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2.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4000" windowHeight="9735" firstSheet="1" activeTab="8"/>
  </bookViews>
  <sheets>
    <sheet name="Over all " sheetId="1" r:id="rId1"/>
    <sheet name="Rehab" sheetId="2" r:id="rId2"/>
    <sheet name="Inventory" sheetId="13" r:id="rId3"/>
    <sheet name="recievable" sheetId="5" r:id="rId4"/>
    <sheet name="absorption rate" sheetId="10" r:id="rId5"/>
    <sheet name="Unsold units valuation" sheetId="14" r:id="rId6"/>
    <sheet name="outflow" sheetId="7" r:id="rId7"/>
    <sheet name="Inflow" sheetId="12" r:id="rId8"/>
    <sheet name="DCF" sheetId="8" r:id="rId9"/>
    <sheet name="Consolidated summary" sheetId="9" r:id="rId10"/>
    <sheet name="Rough" sheetId="11" r:id="rId11"/>
    <sheet name="Godrej Properties" sheetId="15" r:id="rId12"/>
  </sheets>
  <externalReferences>
    <externalReference r:id="rId13"/>
  </externalReferences>
  <calcPr calcId="152511"/>
  <pivotCaches>
    <pivotCache cacheId="0" r:id="rId14"/>
    <pivotCache cacheId="1" r:id="rId15"/>
  </pivotCaches>
</workbook>
</file>

<file path=xl/calcChain.xml><?xml version="1.0" encoding="utf-8"?>
<calcChain xmlns="http://schemas.openxmlformats.org/spreadsheetml/2006/main">
  <c r="K50" i="8" l="1"/>
  <c r="Q78" i="8" l="1"/>
  <c r="R78" i="8" s="1"/>
  <c r="O12" i="8"/>
  <c r="O6" i="8" s="1"/>
  <c r="P8" i="8" s="1"/>
  <c r="D45" i="8" s="1"/>
  <c r="O71" i="8"/>
  <c r="P55" i="13" l="1"/>
  <c r="R55" i="13"/>
  <c r="F6" i="7" l="1"/>
  <c r="J14" i="12"/>
  <c r="H14" i="12"/>
  <c r="I14" i="12"/>
  <c r="G14" i="12"/>
  <c r="G10" i="12" l="1"/>
  <c r="I9" i="12"/>
  <c r="I10" i="12" s="1"/>
  <c r="H9" i="12"/>
  <c r="H10" i="12" s="1"/>
  <c r="R6" i="15" l="1"/>
  <c r="O3" i="15"/>
  <c r="O4" i="15"/>
  <c r="O5" i="15"/>
  <c r="O6" i="15"/>
  <c r="O7" i="15"/>
  <c r="O8" i="15"/>
  <c r="O9" i="15"/>
  <c r="O10" i="15"/>
  <c r="O11" i="15"/>
  <c r="O1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4" i="15"/>
  <c r="O55" i="15"/>
  <c r="O56" i="15"/>
  <c r="O57" i="15"/>
  <c r="O58" i="15"/>
  <c r="O59" i="15"/>
  <c r="O60" i="15"/>
  <c r="O61" i="15"/>
  <c r="O62" i="15"/>
  <c r="O63" i="15"/>
  <c r="O64" i="15"/>
  <c r="O65" i="15"/>
  <c r="O66" i="15"/>
  <c r="O67" i="15"/>
  <c r="O68" i="15"/>
  <c r="O69" i="15"/>
  <c r="O70" i="15"/>
  <c r="O71" i="15"/>
  <c r="O72" i="15"/>
  <c r="O73" i="15"/>
  <c r="O74" i="15"/>
  <c r="O75" i="15"/>
  <c r="O76" i="15"/>
  <c r="O77" i="15"/>
  <c r="O78" i="15"/>
  <c r="O79" i="15"/>
  <c r="O80" i="15"/>
  <c r="O81" i="15"/>
  <c r="O82" i="15"/>
  <c r="O83" i="15"/>
  <c r="O84" i="15"/>
  <c r="O85" i="15"/>
  <c r="O86" i="15"/>
  <c r="O87" i="15"/>
  <c r="O88" i="15"/>
  <c r="O89" i="15"/>
  <c r="O90" i="15"/>
  <c r="O91" i="15"/>
  <c r="O92" i="15"/>
  <c r="O93" i="15"/>
  <c r="O94" i="15"/>
  <c r="O95" i="15"/>
  <c r="O96" i="15"/>
  <c r="O97" i="15"/>
  <c r="O98" i="15"/>
  <c r="O99" i="15"/>
  <c r="O100" i="15"/>
  <c r="O101" i="15"/>
  <c r="O102" i="15"/>
  <c r="O103" i="15"/>
  <c r="O104" i="15"/>
  <c r="O105" i="15"/>
  <c r="O106" i="15"/>
  <c r="O107" i="15"/>
  <c r="O108" i="15"/>
  <c r="O109" i="15"/>
  <c r="O110" i="15"/>
  <c r="O111" i="15"/>
  <c r="O112" i="15"/>
  <c r="O113" i="15"/>
  <c r="O114" i="15"/>
  <c r="O115" i="15"/>
  <c r="O116" i="15"/>
  <c r="O117" i="15"/>
  <c r="O118" i="15"/>
  <c r="O119" i="15"/>
  <c r="O120" i="15"/>
  <c r="O121" i="15"/>
  <c r="O122" i="15"/>
  <c r="O123" i="15"/>
  <c r="O124" i="15"/>
  <c r="O125" i="15"/>
  <c r="O126" i="15"/>
  <c r="O127" i="15"/>
  <c r="O128" i="15"/>
  <c r="O129" i="15"/>
  <c r="O130" i="15"/>
  <c r="O131" i="15"/>
  <c r="O132" i="15"/>
  <c r="O133" i="15"/>
  <c r="O134" i="15"/>
  <c r="O135" i="15"/>
  <c r="O136" i="15"/>
  <c r="O137" i="15"/>
  <c r="O138" i="15"/>
  <c r="O139" i="15"/>
  <c r="O140" i="15"/>
  <c r="O141" i="15"/>
  <c r="O142" i="15"/>
  <c r="O143" i="15"/>
  <c r="O144" i="15"/>
  <c r="O145" i="15"/>
  <c r="O146" i="15"/>
  <c r="O147" i="15"/>
  <c r="O148" i="15"/>
  <c r="O149" i="15"/>
  <c r="O150" i="15"/>
  <c r="O151" i="15"/>
  <c r="O152" i="15"/>
  <c r="O153" i="15"/>
  <c r="O154" i="15"/>
  <c r="O155" i="15"/>
  <c r="O156" i="15"/>
  <c r="O157" i="15"/>
  <c r="O158" i="15"/>
  <c r="O159" i="15"/>
  <c r="O160" i="15"/>
  <c r="O161" i="15"/>
  <c r="O162" i="15"/>
  <c r="O163" i="15"/>
  <c r="O164" i="15"/>
  <c r="O165" i="15"/>
  <c r="O166" i="15"/>
  <c r="O167" i="15"/>
  <c r="O168" i="15"/>
  <c r="O169" i="15"/>
  <c r="O170" i="15"/>
  <c r="O171" i="15"/>
  <c r="O172" i="15"/>
  <c r="O173" i="15"/>
  <c r="O174" i="15"/>
  <c r="O175" i="15"/>
  <c r="O176" i="15"/>
  <c r="O177" i="15"/>
  <c r="O178" i="15"/>
  <c r="O179" i="15"/>
  <c r="O180" i="15"/>
  <c r="O181" i="15"/>
  <c r="O182" i="15"/>
  <c r="O183" i="15"/>
  <c r="O184" i="15"/>
  <c r="O185" i="15"/>
  <c r="O186" i="15"/>
  <c r="O187" i="15"/>
  <c r="O188" i="15"/>
  <c r="O189" i="15"/>
  <c r="O190" i="15"/>
  <c r="O191" i="15"/>
  <c r="O192" i="15"/>
  <c r="O193" i="15"/>
  <c r="O194" i="15"/>
  <c r="O195" i="15"/>
  <c r="O196" i="15"/>
  <c r="O197" i="15"/>
  <c r="O198" i="15"/>
  <c r="O199" i="15"/>
  <c r="O200" i="15"/>
  <c r="O201" i="15"/>
  <c r="O202" i="15"/>
  <c r="O203" i="15"/>
  <c r="O204" i="15"/>
  <c r="O205" i="15"/>
  <c r="O206" i="15"/>
  <c r="O207" i="15"/>
  <c r="O208" i="15"/>
  <c r="O209" i="15"/>
  <c r="O210" i="15"/>
  <c r="O211" i="15"/>
  <c r="O212" i="15"/>
  <c r="O213" i="15"/>
  <c r="O214" i="15"/>
  <c r="O215" i="15"/>
  <c r="O216" i="15"/>
  <c r="O217" i="15"/>
  <c r="O218" i="15"/>
  <c r="O219" i="15"/>
  <c r="O220" i="15"/>
  <c r="O221" i="15"/>
  <c r="O222" i="15"/>
  <c r="O223" i="15"/>
  <c r="O224" i="15"/>
  <c r="O225" i="15"/>
  <c r="O226" i="15"/>
  <c r="O227" i="15"/>
  <c r="O228" i="15"/>
  <c r="O229" i="15"/>
  <c r="O230" i="15"/>
  <c r="O231" i="15"/>
  <c r="O232" i="15"/>
  <c r="O233" i="15"/>
  <c r="O234" i="15"/>
  <c r="O235" i="15"/>
  <c r="O236" i="15"/>
  <c r="O237" i="15"/>
  <c r="O238" i="15"/>
  <c r="O239" i="15"/>
  <c r="O240" i="15"/>
  <c r="O241" i="15"/>
  <c r="O242" i="15"/>
  <c r="O243" i="15"/>
  <c r="O244" i="15"/>
  <c r="O245" i="15"/>
  <c r="O246" i="15"/>
  <c r="O247" i="15"/>
  <c r="O248" i="15"/>
  <c r="O249" i="15"/>
  <c r="O2" i="15"/>
  <c r="E3" i="15"/>
  <c r="E4" i="15"/>
  <c r="E5"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105" i="15"/>
  <c r="E106" i="15"/>
  <c r="E107" i="15"/>
  <c r="E108" i="15"/>
  <c r="E109" i="15"/>
  <c r="E110" i="15"/>
  <c r="E111" i="15"/>
  <c r="E112" i="15"/>
  <c r="E113" i="15"/>
  <c r="E114" i="15"/>
  <c r="E115" i="15"/>
  <c r="E116" i="15"/>
  <c r="E117" i="15"/>
  <c r="E118" i="15"/>
  <c r="E119" i="15"/>
  <c r="E120" i="15"/>
  <c r="E121" i="15"/>
  <c r="E122" i="15"/>
  <c r="E123" i="15"/>
  <c r="E124" i="15"/>
  <c r="E125" i="15"/>
  <c r="E126" i="15"/>
  <c r="E127" i="15"/>
  <c r="E128" i="15"/>
  <c r="E129" i="15"/>
  <c r="E130" i="15"/>
  <c r="E131" i="15"/>
  <c r="E132" i="15"/>
  <c r="E133" i="15"/>
  <c r="E134" i="15"/>
  <c r="E135" i="15"/>
  <c r="E136" i="15"/>
  <c r="E137" i="15"/>
  <c r="E138" i="15"/>
  <c r="E139" i="15"/>
  <c r="E140" i="15"/>
  <c r="E141" i="15"/>
  <c r="E142" i="15"/>
  <c r="E143" i="15"/>
  <c r="E144" i="15"/>
  <c r="E145" i="15"/>
  <c r="E146" i="15"/>
  <c r="E147" i="15"/>
  <c r="E148" i="15"/>
  <c r="E149" i="15"/>
  <c r="E150" i="15"/>
  <c r="E151" i="15"/>
  <c r="E152" i="15"/>
  <c r="E153" i="15"/>
  <c r="E154" i="15"/>
  <c r="E155" i="15"/>
  <c r="E156" i="15"/>
  <c r="E157" i="15"/>
  <c r="E158" i="15"/>
  <c r="E159" i="15"/>
  <c r="E160" i="15"/>
  <c r="E161" i="15"/>
  <c r="E162" i="15"/>
  <c r="E163" i="15"/>
  <c r="E164" i="15"/>
  <c r="E165" i="15"/>
  <c r="E166" i="15"/>
  <c r="E167" i="15"/>
  <c r="E168" i="15"/>
  <c r="E169" i="15"/>
  <c r="E170" i="15"/>
  <c r="E171" i="15"/>
  <c r="E172" i="15"/>
  <c r="E173" i="15"/>
  <c r="E174" i="15"/>
  <c r="E175" i="15"/>
  <c r="E176" i="15"/>
  <c r="E177" i="15"/>
  <c r="E178" i="15"/>
  <c r="E179" i="15"/>
  <c r="E180" i="15"/>
  <c r="E181" i="15"/>
  <c r="E182" i="15"/>
  <c r="E183" i="15"/>
  <c r="E184" i="15"/>
  <c r="E185" i="15"/>
  <c r="E186" i="15"/>
  <c r="E187" i="15"/>
  <c r="E188" i="15"/>
  <c r="E189" i="15"/>
  <c r="E190" i="15"/>
  <c r="E191" i="15"/>
  <c r="E192" i="15"/>
  <c r="E193" i="15"/>
  <c r="E194" i="15"/>
  <c r="E195" i="15"/>
  <c r="E196" i="15"/>
  <c r="E197" i="15"/>
  <c r="E198" i="15"/>
  <c r="E199" i="15"/>
  <c r="E200" i="15"/>
  <c r="E201" i="15"/>
  <c r="E202" i="15"/>
  <c r="E203" i="15"/>
  <c r="E204" i="15"/>
  <c r="E205" i="15"/>
  <c r="E206" i="15"/>
  <c r="E207" i="15"/>
  <c r="E208" i="15"/>
  <c r="E209" i="15"/>
  <c r="E210" i="15"/>
  <c r="E211" i="15"/>
  <c r="E212" i="15"/>
  <c r="E213" i="15"/>
  <c r="E214" i="15"/>
  <c r="E215" i="15"/>
  <c r="E216" i="15"/>
  <c r="E217" i="15"/>
  <c r="E218" i="15"/>
  <c r="E219" i="15"/>
  <c r="E220" i="15"/>
  <c r="E221" i="15"/>
  <c r="E222" i="15"/>
  <c r="E223" i="15"/>
  <c r="E224" i="15"/>
  <c r="E225" i="15"/>
  <c r="E226" i="15"/>
  <c r="E227" i="15"/>
  <c r="E228" i="15"/>
  <c r="E229" i="15"/>
  <c r="E230" i="15"/>
  <c r="E231" i="15"/>
  <c r="E232" i="15"/>
  <c r="E233" i="15"/>
  <c r="E234" i="15"/>
  <c r="E235" i="15"/>
  <c r="E236" i="15"/>
  <c r="E237" i="15"/>
  <c r="E238" i="15"/>
  <c r="E239" i="15"/>
  <c r="E240" i="15"/>
  <c r="E241" i="15"/>
  <c r="E242" i="15"/>
  <c r="E243" i="15"/>
  <c r="E244" i="15"/>
  <c r="E245" i="15"/>
  <c r="E246" i="15"/>
  <c r="E247" i="15"/>
  <c r="E248" i="15"/>
  <c r="E249" i="15"/>
  <c r="E2" i="15"/>
  <c r="L17" i="7"/>
  <c r="L18" i="7" s="1"/>
  <c r="F7" i="7" l="1"/>
  <c r="G5" i="9" l="1"/>
  <c r="F5" i="9"/>
  <c r="F5" i="10" l="1"/>
  <c r="F6" i="10"/>
  <c r="I5" i="14"/>
  <c r="I6" i="14"/>
  <c r="I7" i="14"/>
  <c r="I8" i="14"/>
  <c r="I9" i="14"/>
  <c r="I10" i="14"/>
  <c r="I4" i="14"/>
  <c r="G7" i="7" l="1"/>
  <c r="J6" i="7"/>
  <c r="J7" i="7"/>
  <c r="J8" i="7"/>
  <c r="F10" i="7"/>
  <c r="G5" i="7"/>
  <c r="G8" i="7"/>
  <c r="G6" i="7"/>
  <c r="I8" i="7"/>
  <c r="I7" i="7"/>
  <c r="I6" i="7"/>
  <c r="E20" i="8" l="1"/>
  <c r="D20" i="8"/>
  <c r="E24" i="8"/>
  <c r="D24" i="8"/>
  <c r="E33" i="8"/>
  <c r="D33" i="8"/>
  <c r="I11" i="14"/>
  <c r="F11" i="14"/>
  <c r="E5" i="10"/>
  <c r="F5" i="8"/>
  <c r="D5" i="8"/>
  <c r="E4" i="8"/>
  <c r="E5" i="8" s="1"/>
  <c r="D6" i="10"/>
  <c r="K62" i="1"/>
  <c r="K53" i="1"/>
  <c r="K54" i="1"/>
  <c r="K55" i="1"/>
  <c r="K56" i="1"/>
  <c r="K57" i="1"/>
  <c r="K58" i="1"/>
  <c r="K59" i="1"/>
  <c r="K60" i="1"/>
  <c r="K61" i="1"/>
  <c r="K63" i="1"/>
  <c r="K64" i="1"/>
  <c r="K65" i="1"/>
  <c r="K66" i="1"/>
  <c r="K67" i="1"/>
  <c r="K68" i="1"/>
  <c r="K69" i="1"/>
  <c r="K70" i="1"/>
  <c r="K71" i="1"/>
  <c r="K72" i="1"/>
  <c r="H5" i="5"/>
  <c r="G5" i="5"/>
  <c r="E5" i="5"/>
  <c r="H64" i="13"/>
  <c r="K63" i="13"/>
  <c r="K62" i="13"/>
  <c r="K61" i="13"/>
  <c r="K60" i="13"/>
  <c r="K59" i="13"/>
  <c r="K58" i="13"/>
  <c r="K57" i="13"/>
  <c r="K56" i="13"/>
  <c r="K55" i="13"/>
  <c r="K54" i="13"/>
  <c r="K53" i="13"/>
  <c r="K52" i="13"/>
  <c r="J51" i="13"/>
  <c r="H51" i="13"/>
  <c r="I51" i="13" s="1"/>
  <c r="K51" i="13" s="1"/>
  <c r="K50" i="13"/>
  <c r="K49" i="13"/>
  <c r="K48" i="13"/>
  <c r="J47" i="13"/>
  <c r="I47" i="13"/>
  <c r="K46" i="13"/>
  <c r="K45" i="13"/>
  <c r="J44" i="13"/>
  <c r="I44" i="13"/>
  <c r="J43" i="13"/>
  <c r="I43" i="13"/>
  <c r="K42" i="13"/>
  <c r="K41" i="13"/>
  <c r="K40" i="13"/>
  <c r="J39" i="13"/>
  <c r="I39" i="13"/>
  <c r="K39" i="13" s="1"/>
  <c r="J38" i="13"/>
  <c r="I38" i="13"/>
  <c r="K38" i="13" s="1"/>
  <c r="J37" i="13"/>
  <c r="I37" i="13"/>
  <c r="K36" i="13"/>
  <c r="K35" i="13"/>
  <c r="J34" i="13"/>
  <c r="I34" i="13"/>
  <c r="K33" i="13"/>
  <c r="J32" i="13"/>
  <c r="I32" i="13"/>
  <c r="K32" i="13" s="1"/>
  <c r="J31" i="13"/>
  <c r="I31" i="13"/>
  <c r="J30" i="13"/>
  <c r="I30" i="13"/>
  <c r="J29" i="13"/>
  <c r="I29" i="13"/>
  <c r="I28" i="13"/>
  <c r="K28" i="13" s="1"/>
  <c r="I27" i="13"/>
  <c r="K27" i="13" s="1"/>
  <c r="I26" i="13"/>
  <c r="K26" i="13" s="1"/>
  <c r="I25" i="13"/>
  <c r="K25" i="13" s="1"/>
  <c r="I24" i="13"/>
  <c r="K24" i="13" s="1"/>
  <c r="J23" i="13"/>
  <c r="I23" i="13"/>
  <c r="K22" i="13"/>
  <c r="J21" i="13"/>
  <c r="I21" i="13"/>
  <c r="J20" i="13"/>
  <c r="I20" i="13"/>
  <c r="K20" i="13" s="1"/>
  <c r="J19" i="13"/>
  <c r="I19" i="13"/>
  <c r="K19" i="13" s="1"/>
  <c r="J18" i="13"/>
  <c r="I18" i="13"/>
  <c r="K17" i="13"/>
  <c r="K16" i="13"/>
  <c r="I15" i="13"/>
  <c r="K15" i="13" s="1"/>
  <c r="J14" i="13"/>
  <c r="I14" i="13"/>
  <c r="J13" i="13"/>
  <c r="I13" i="13"/>
  <c r="J12" i="13"/>
  <c r="I12" i="13"/>
  <c r="K12" i="13" s="1"/>
  <c r="J11" i="13"/>
  <c r="I11" i="13"/>
  <c r="J10" i="13"/>
  <c r="I10" i="13"/>
  <c r="K10" i="13" s="1"/>
  <c r="J9" i="13"/>
  <c r="J64" i="13" s="1"/>
  <c r="I9" i="13"/>
  <c r="K9" i="13" s="1"/>
  <c r="K8" i="13"/>
  <c r="K7" i="13"/>
  <c r="K6" i="13"/>
  <c r="I5" i="13"/>
  <c r="D9" i="8" l="1"/>
  <c r="E9" i="8"/>
  <c r="F9" i="8"/>
  <c r="H13" i="14"/>
  <c r="H14" i="14" s="1"/>
  <c r="I5" i="5"/>
  <c r="K13" i="13"/>
  <c r="K44" i="13"/>
  <c r="K30" i="13"/>
  <c r="K34" i="13"/>
  <c r="K14" i="13"/>
  <c r="K21" i="13"/>
  <c r="K23" i="13"/>
  <c r="K11" i="13"/>
  <c r="K47" i="13"/>
  <c r="K18" i="13"/>
  <c r="K29" i="13"/>
  <c r="K43" i="13"/>
  <c r="I64" i="13"/>
  <c r="K37" i="13"/>
  <c r="K31" i="13"/>
  <c r="K5" i="13"/>
  <c r="K64" i="13" l="1"/>
  <c r="H5" i="7" l="1"/>
  <c r="H7" i="7"/>
  <c r="H8" i="7"/>
  <c r="E10" i="7"/>
  <c r="E11" i="7" s="1"/>
  <c r="D10" i="7"/>
  <c r="J10" i="7" s="1"/>
  <c r="H6" i="7"/>
  <c r="J62" i="11"/>
  <c r="I62" i="11"/>
  <c r="I59" i="11"/>
  <c r="I60" i="11"/>
  <c r="I61" i="11"/>
  <c r="I58" i="11"/>
  <c r="H59" i="11"/>
  <c r="H60" i="11"/>
  <c r="H61" i="11"/>
  <c r="H58" i="11"/>
  <c r="G62" i="11"/>
  <c r="F62" i="11"/>
  <c r="I10" i="7" l="1"/>
  <c r="H10" i="7"/>
  <c r="E6" i="10"/>
  <c r="E9" i="5"/>
  <c r="F9" i="5"/>
  <c r="F6" i="5"/>
  <c r="I9" i="5"/>
  <c r="H9" i="5"/>
  <c r="F5" i="5"/>
  <c r="L46" i="2"/>
  <c r="K46" i="2"/>
  <c r="D11" i="8" l="1"/>
  <c r="E11" i="8"/>
  <c r="E13" i="8" s="1"/>
  <c r="F6" i="9" s="1"/>
  <c r="F11" i="8"/>
  <c r="F13" i="8" s="1"/>
  <c r="G6" i="9" s="1"/>
  <c r="D13" i="8"/>
  <c r="E6" i="9" s="1"/>
  <c r="G10" i="7"/>
  <c r="G9" i="8"/>
  <c r="G9" i="5"/>
  <c r="H6" i="9" l="1"/>
  <c r="G11" i="8"/>
  <c r="D28" i="8"/>
  <c r="E28" i="8"/>
  <c r="G13" i="8"/>
  <c r="G28" i="8" l="1"/>
  <c r="G24" i="8" l="1"/>
  <c r="G33" i="8" l="1"/>
  <c r="G20" i="8" l="1"/>
  <c r="K52" i="1" l="1"/>
  <c r="K50" i="1"/>
  <c r="K49" i="1"/>
  <c r="K48" i="1"/>
  <c r="K46" i="1"/>
  <c r="K45" i="1"/>
  <c r="K42" i="1"/>
  <c r="K41" i="1"/>
  <c r="K40" i="1"/>
  <c r="K36" i="1"/>
  <c r="K35" i="1"/>
  <c r="K33" i="1"/>
  <c r="K22" i="1"/>
  <c r="K17" i="1"/>
  <c r="K16" i="1"/>
  <c r="K8" i="1"/>
  <c r="K7" i="1"/>
  <c r="K6" i="1"/>
  <c r="J51" i="1"/>
  <c r="J47" i="1"/>
  <c r="J44" i="1"/>
  <c r="J43" i="1"/>
  <c r="J39" i="1"/>
  <c r="J38" i="1"/>
  <c r="J37" i="1"/>
  <c r="J34" i="1"/>
  <c r="J32" i="1"/>
  <c r="J31" i="1"/>
  <c r="J30" i="1"/>
  <c r="J29" i="1"/>
  <c r="J23" i="1"/>
  <c r="J21" i="1"/>
  <c r="J20" i="1"/>
  <c r="J19" i="1"/>
  <c r="J18" i="1"/>
  <c r="J14" i="1"/>
  <c r="J13" i="1"/>
  <c r="J12" i="1"/>
  <c r="J11" i="1"/>
  <c r="J10" i="1"/>
  <c r="J9" i="1"/>
  <c r="I73" i="1"/>
  <c r="K73" i="1" s="1"/>
  <c r="H51" i="1"/>
  <c r="H76" i="1" s="1"/>
  <c r="I47" i="1"/>
  <c r="K47" i="1" s="1"/>
  <c r="I44" i="1"/>
  <c r="I43" i="1"/>
  <c r="K43" i="1" s="1"/>
  <c r="I39" i="1"/>
  <c r="K39" i="1" s="1"/>
  <c r="I38" i="1"/>
  <c r="K38" i="1" s="1"/>
  <c r="I37" i="1"/>
  <c r="K37" i="1" s="1"/>
  <c r="I34" i="1"/>
  <c r="I32" i="1"/>
  <c r="I31" i="1"/>
  <c r="K31" i="1" s="1"/>
  <c r="I30" i="1"/>
  <c r="K30" i="1" s="1"/>
  <c r="I29" i="1"/>
  <c r="K29" i="1" s="1"/>
  <c r="I28" i="1"/>
  <c r="K28" i="1" s="1"/>
  <c r="I27" i="1"/>
  <c r="K27" i="1" s="1"/>
  <c r="I26" i="1"/>
  <c r="K26" i="1" s="1"/>
  <c r="I25" i="1"/>
  <c r="K25" i="1" s="1"/>
  <c r="I24" i="1"/>
  <c r="K24" i="1" s="1"/>
  <c r="I23" i="1"/>
  <c r="K23" i="1" s="1"/>
  <c r="I21" i="1"/>
  <c r="I20" i="1"/>
  <c r="I19" i="1"/>
  <c r="I18" i="1"/>
  <c r="I15" i="1"/>
  <c r="K15" i="1" s="1"/>
  <c r="I14" i="1"/>
  <c r="I13" i="1"/>
  <c r="I12" i="1"/>
  <c r="I11" i="1"/>
  <c r="I10" i="1"/>
  <c r="I9" i="1"/>
  <c r="K9" i="1" s="1"/>
  <c r="I5" i="1"/>
  <c r="J76" i="1" l="1"/>
  <c r="K44" i="1"/>
  <c r="K18" i="1"/>
  <c r="K20" i="1"/>
  <c r="I76" i="1"/>
  <c r="K32" i="1"/>
  <c r="K11" i="1"/>
  <c r="I51" i="1"/>
  <c r="K51" i="1" s="1"/>
  <c r="K5" i="1"/>
  <c r="K10" i="1"/>
  <c r="K14" i="1"/>
  <c r="K21" i="1"/>
  <c r="K13" i="1"/>
  <c r="K34" i="1"/>
  <c r="K12" i="1"/>
  <c r="K19" i="1"/>
  <c r="K76" i="1" l="1"/>
  <c r="H11" i="7"/>
  <c r="F11" i="7"/>
  <c r="I11" i="7" s="1"/>
  <c r="D11" i="7"/>
  <c r="G9" i="7" s="1"/>
  <c r="D37" i="8" l="1"/>
  <c r="D39" i="8" s="1"/>
  <c r="E7" i="9" s="1"/>
  <c r="E37" i="8"/>
  <c r="E39" i="8" s="1"/>
  <c r="F37" i="8"/>
  <c r="F39" i="8" s="1"/>
  <c r="G11" i="7"/>
  <c r="E41" i="8" l="1"/>
  <c r="F9" i="9" s="1"/>
  <c r="F7" i="9"/>
  <c r="F41" i="8"/>
  <c r="G9" i="9" s="1"/>
  <c r="G7" i="9"/>
  <c r="G37" i="8"/>
  <c r="H7" i="9" l="1"/>
  <c r="H9" i="9" s="1"/>
  <c r="G39" i="8"/>
  <c r="D41" i="8"/>
  <c r="E9" i="9" l="1"/>
  <c r="D43" i="8"/>
  <c r="E11" i="9" s="1"/>
  <c r="E12" i="9" s="1"/>
  <c r="G41" i="8"/>
  <c r="E15" i="9" l="1"/>
  <c r="E14" i="9"/>
  <c r="I14" i="9" s="1"/>
</calcChain>
</file>

<file path=xl/sharedStrings.xml><?xml version="1.0" encoding="utf-8"?>
<sst xmlns="http://schemas.openxmlformats.org/spreadsheetml/2006/main" count="781" uniqueCount="265">
  <si>
    <t>Name of Customer</t>
  </si>
  <si>
    <t>Purpose</t>
  </si>
  <si>
    <t>1st floor</t>
  </si>
  <si>
    <t xml:space="preserve">Club House </t>
  </si>
  <si>
    <t xml:space="preserve"> </t>
  </si>
  <si>
    <t>Mr. Mahendra Ganpat Mhaske</t>
  </si>
  <si>
    <t>2 bhk + Terrace</t>
  </si>
  <si>
    <t>Sale</t>
  </si>
  <si>
    <t>unsold</t>
  </si>
  <si>
    <t>2nd</t>
  </si>
  <si>
    <t>Mr.Vishvesh Kavdi</t>
  </si>
  <si>
    <t>5th</t>
  </si>
  <si>
    <t>Mr.Vishwas Vijay Vaidya</t>
  </si>
  <si>
    <t>2 BHK</t>
  </si>
  <si>
    <t>11th</t>
  </si>
  <si>
    <t>Mrs Deepa Chhatre</t>
  </si>
  <si>
    <t>2.5 BHK</t>
  </si>
  <si>
    <t>14th FLOOR</t>
  </si>
  <si>
    <t>Mrs.Karndikar</t>
  </si>
  <si>
    <t>3 BHK</t>
  </si>
  <si>
    <t>15th Floor</t>
  </si>
  <si>
    <t>Mr. Ujwal Deskmukh</t>
  </si>
  <si>
    <t>Mrs. Varsha Deskmukh</t>
  </si>
  <si>
    <t>Mr. Vinay D. Thakurdesai / Manjusha V Thakurdesai</t>
  </si>
  <si>
    <t>3 bhk+Terrace</t>
  </si>
  <si>
    <t>16th FLOOR</t>
  </si>
  <si>
    <t xml:space="preserve">Mr. Deepak N. Nawathe </t>
  </si>
  <si>
    <t>Ms. Seema Sanjay Mokal / Akshay S. Mokal</t>
  </si>
  <si>
    <t>17th FLOOR</t>
  </si>
  <si>
    <t>Mr. Avinash Joshi</t>
  </si>
  <si>
    <t xml:space="preserve">Mr. Mandar S. Ghole </t>
  </si>
  <si>
    <t>REFUGEE</t>
  </si>
  <si>
    <t>Refugee</t>
  </si>
  <si>
    <t>Mrs. Reshma V Chavan</t>
  </si>
  <si>
    <t>18th FLOOR</t>
  </si>
  <si>
    <t xml:space="preserve">Sajal Boricha </t>
  </si>
  <si>
    <t>19th FLOOR</t>
  </si>
  <si>
    <t>Mr. Devesh C Deskmukh</t>
  </si>
  <si>
    <t>Mrs.Prajakta Vaman Salvi</t>
  </si>
  <si>
    <t>Mr. Vijay Sakpale</t>
  </si>
  <si>
    <t>20th FLOOR</t>
  </si>
  <si>
    <t xml:space="preserve">Mr. Sandeep Mone </t>
  </si>
  <si>
    <t>Mr. Shavachardra Mulay</t>
  </si>
  <si>
    <t>`</t>
  </si>
  <si>
    <t>21st FLOOR</t>
  </si>
  <si>
    <t>Mr.Mukesh Malve</t>
  </si>
  <si>
    <t>Mrs.Nisha a Desai</t>
  </si>
  <si>
    <t>Mr. Rahul Mahajan</t>
  </si>
  <si>
    <t>Mr.Swanand C Wakankar</t>
  </si>
  <si>
    <t>22nd FLOOR</t>
  </si>
  <si>
    <t xml:space="preserve">Mr. Subodh Datttatray Thanekar </t>
  </si>
  <si>
    <t>23rd FLOOR</t>
  </si>
  <si>
    <t>Mr. Suresh V. Chhatre</t>
  </si>
  <si>
    <t>Mr.Hrushikesh Vinayak Deodhar</t>
  </si>
  <si>
    <t>24th FLOOR</t>
  </si>
  <si>
    <t>sale</t>
  </si>
  <si>
    <t>Mrs.Pallavi Sachin Velankar</t>
  </si>
  <si>
    <t>25th FLOOR</t>
  </si>
  <si>
    <t>3 bhk</t>
  </si>
  <si>
    <t>26th FLOOR</t>
  </si>
  <si>
    <t>27th FLOOR</t>
  </si>
  <si>
    <t>28th Floor</t>
  </si>
  <si>
    <t>29th Floor</t>
  </si>
  <si>
    <t>30th Floor</t>
  </si>
  <si>
    <t xml:space="preserve">     Mrs. Pradnya Lrishnakant Sawant</t>
  </si>
  <si>
    <t>Registration Done</t>
  </si>
  <si>
    <t>YES</t>
  </si>
  <si>
    <t>Not reg</t>
  </si>
  <si>
    <t>yes</t>
  </si>
  <si>
    <t>AGREEMENT</t>
  </si>
  <si>
    <t>gst</t>
  </si>
  <si>
    <t>Received Amt</t>
  </si>
  <si>
    <t>Balance amt</t>
  </si>
  <si>
    <t>Sr.No.</t>
  </si>
  <si>
    <r>
      <rPr>
        <b/>
        <sz val="16"/>
        <rFont val="Tahoma"/>
        <family val="2"/>
      </rPr>
      <t>`</t>
    </r>
  </si>
  <si>
    <r>
      <rPr>
        <b/>
        <sz val="16"/>
        <rFont val="Tahoma"/>
        <family val="2"/>
      </rPr>
      <t>Name</t>
    </r>
    <r>
      <rPr>
        <sz val="16"/>
        <rFont val="Times New Roman"/>
        <family val="1"/>
      </rPr>
      <t xml:space="preserve"> </t>
    </r>
    <r>
      <rPr>
        <b/>
        <sz val="16"/>
        <rFont val="Tahoma"/>
        <family val="2"/>
      </rPr>
      <t>of</t>
    </r>
    <r>
      <rPr>
        <sz val="16"/>
        <rFont val="Times New Roman"/>
        <family val="1"/>
      </rPr>
      <t xml:space="preserve"> </t>
    </r>
    <r>
      <rPr>
        <b/>
        <sz val="16"/>
        <rFont val="Tahoma"/>
        <family val="2"/>
      </rPr>
      <t>Customer</t>
    </r>
  </si>
  <si>
    <r>
      <rPr>
        <b/>
        <sz val="16"/>
        <rFont val="Tahoma"/>
        <family val="2"/>
      </rPr>
      <t>Unit</t>
    </r>
    <r>
      <rPr>
        <sz val="16"/>
        <rFont val="Times New Roman"/>
        <family val="1"/>
      </rPr>
      <t xml:space="preserve"> </t>
    </r>
    <r>
      <rPr>
        <b/>
        <sz val="16"/>
        <rFont val="Tahoma"/>
        <family val="2"/>
      </rPr>
      <t>No.</t>
    </r>
  </si>
  <si>
    <r>
      <rPr>
        <b/>
        <sz val="16"/>
        <rFont val="Tahoma"/>
        <family val="2"/>
      </rPr>
      <t>Purpose</t>
    </r>
  </si>
  <si>
    <r>
      <rPr>
        <b/>
        <sz val="16"/>
        <rFont val="Tahoma"/>
        <family val="2"/>
      </rPr>
      <t>Regist</t>
    </r>
    <r>
      <rPr>
        <sz val="16"/>
        <rFont val="Times New Roman"/>
        <family val="1"/>
      </rPr>
      <t xml:space="preserve"> </t>
    </r>
    <r>
      <rPr>
        <b/>
        <sz val="16"/>
        <rFont val="Tahoma"/>
        <family val="2"/>
      </rPr>
      <t>ration</t>
    </r>
    <r>
      <rPr>
        <sz val="16"/>
        <rFont val="Times New Roman"/>
        <family val="1"/>
      </rPr>
      <t xml:space="preserve"> </t>
    </r>
    <r>
      <rPr>
        <b/>
        <sz val="16"/>
        <rFont val="Tahoma"/>
        <family val="2"/>
      </rPr>
      <t>Done</t>
    </r>
  </si>
  <si>
    <r>
      <rPr>
        <sz val="11"/>
        <rFont val="Verdana"/>
        <family val="2"/>
      </rPr>
      <t>2nd</t>
    </r>
    <r>
      <rPr>
        <sz val="11"/>
        <rFont val="Times New Roman"/>
        <family val="1"/>
      </rPr>
      <t xml:space="preserve"> </t>
    </r>
    <r>
      <rPr>
        <sz val="11"/>
        <rFont val="Verdana"/>
        <family val="2"/>
      </rPr>
      <t>Floor</t>
    </r>
  </si>
  <si>
    <r>
      <rPr>
        <sz val="16"/>
        <rFont val="Verdana"/>
        <family val="2"/>
      </rPr>
      <t>Smt.Latika</t>
    </r>
    <r>
      <rPr>
        <sz val="16"/>
        <rFont val="Times New Roman"/>
        <family val="1"/>
      </rPr>
      <t xml:space="preserve"> </t>
    </r>
    <r>
      <rPr>
        <sz val="16"/>
        <rFont val="Verdana"/>
        <family val="2"/>
      </rPr>
      <t>Vivek</t>
    </r>
    <r>
      <rPr>
        <sz val="16"/>
        <rFont val="Times New Roman"/>
        <family val="1"/>
      </rPr>
      <t xml:space="preserve"> </t>
    </r>
    <r>
      <rPr>
        <sz val="16"/>
        <rFont val="Verdana"/>
        <family val="2"/>
      </rPr>
      <t>Rangnekar</t>
    </r>
  </si>
  <si>
    <r>
      <rPr>
        <sz val="16"/>
        <rFont val="Verdana"/>
        <family val="2"/>
      </rPr>
      <t>Rehab</t>
    </r>
  </si>
  <si>
    <r>
      <rPr>
        <sz val="16"/>
        <rFont val="Verdana"/>
        <family val="2"/>
      </rPr>
      <t>YES</t>
    </r>
  </si>
  <si>
    <r>
      <rPr>
        <sz val="11"/>
        <rFont val="Verdana"/>
        <family val="2"/>
      </rPr>
      <t>3rd</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</si>
  <si>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Sachin</t>
    </r>
    <r>
      <rPr>
        <sz val="16"/>
        <rFont val="Times New Roman"/>
        <family val="1"/>
      </rPr>
      <t xml:space="preserve"> </t>
    </r>
    <r>
      <rPr>
        <sz val="16"/>
        <rFont val="Verdana"/>
        <family val="2"/>
      </rPr>
      <t>Vishnu</t>
    </r>
    <r>
      <rPr>
        <sz val="16"/>
        <rFont val="Times New Roman"/>
        <family val="1"/>
      </rPr>
      <t xml:space="preserve"> </t>
    </r>
    <r>
      <rPr>
        <sz val="16"/>
        <rFont val="Verdana"/>
        <family val="2"/>
      </rPr>
      <t>Joshi</t>
    </r>
  </si>
  <si>
    <r>
      <rPr>
        <sz val="16"/>
        <rFont val="Verdana"/>
        <family val="2"/>
      </rPr>
      <t>Mr.</t>
    </r>
    <r>
      <rPr>
        <sz val="16"/>
        <rFont val="Times New Roman"/>
        <family val="1"/>
      </rPr>
      <t xml:space="preserve"> </t>
    </r>
    <r>
      <rPr>
        <sz val="16"/>
        <rFont val="Verdana"/>
        <family val="2"/>
      </rPr>
      <t>Suresh</t>
    </r>
    <r>
      <rPr>
        <sz val="16"/>
        <rFont val="Times New Roman"/>
        <family val="1"/>
      </rPr>
      <t xml:space="preserve"> </t>
    </r>
    <r>
      <rPr>
        <sz val="16"/>
        <rFont val="Verdana"/>
        <family val="2"/>
      </rPr>
      <t>Vinayak.</t>
    </r>
    <r>
      <rPr>
        <sz val="16"/>
        <rFont val="Times New Roman"/>
        <family val="1"/>
      </rPr>
      <t xml:space="preserve"> </t>
    </r>
    <r>
      <rPr>
        <sz val="16"/>
        <rFont val="Verdana"/>
        <family val="2"/>
      </rPr>
      <t>Abhyankar</t>
    </r>
  </si>
  <si>
    <r>
      <rPr>
        <sz val="16"/>
        <rFont val="Verdana"/>
        <family val="2"/>
      </rPr>
      <t>Smt.</t>
    </r>
    <r>
      <rPr>
        <sz val="16"/>
        <rFont val="Times New Roman"/>
        <family val="1"/>
      </rPr>
      <t xml:space="preserve"> </t>
    </r>
    <r>
      <rPr>
        <sz val="16"/>
        <rFont val="Verdana"/>
        <family val="2"/>
      </rPr>
      <t>Vatsala</t>
    </r>
    <r>
      <rPr>
        <sz val="16"/>
        <rFont val="Times New Roman"/>
        <family val="1"/>
      </rPr>
      <t xml:space="preserve"> </t>
    </r>
    <r>
      <rPr>
        <sz val="16"/>
        <rFont val="Verdana"/>
        <family val="2"/>
      </rPr>
      <t>Kaluram</t>
    </r>
    <r>
      <rPr>
        <sz val="16"/>
        <rFont val="Times New Roman"/>
        <family val="1"/>
      </rPr>
      <t xml:space="preserve"> </t>
    </r>
    <r>
      <rPr>
        <sz val="16"/>
        <rFont val="Verdana"/>
        <family val="2"/>
      </rPr>
      <t>Mundhe</t>
    </r>
  </si>
  <si>
    <r>
      <rPr>
        <sz val="16"/>
        <rFont val="Verdana"/>
        <family val="2"/>
      </rPr>
      <t>Mr.</t>
    </r>
    <r>
      <rPr>
        <sz val="16"/>
        <rFont val="Times New Roman"/>
        <family val="1"/>
      </rPr>
      <t xml:space="preserve"> </t>
    </r>
    <r>
      <rPr>
        <sz val="16"/>
        <rFont val="Verdana"/>
        <family val="2"/>
      </rPr>
      <t>Dhananjay</t>
    </r>
    <r>
      <rPr>
        <sz val="16"/>
        <rFont val="Times New Roman"/>
        <family val="1"/>
      </rPr>
      <t xml:space="preserve"> </t>
    </r>
    <r>
      <rPr>
        <sz val="16"/>
        <rFont val="Verdana"/>
        <family val="2"/>
      </rPr>
      <t xml:space="preserve">Ramakant
</t>
    </r>
    <r>
      <rPr>
        <sz val="16"/>
        <rFont val="Verdana"/>
        <family val="2"/>
      </rPr>
      <t>Mondkar</t>
    </r>
  </si>
  <si>
    <r>
      <rPr>
        <sz val="11"/>
        <rFont val="Verdana"/>
        <family val="2"/>
      </rPr>
      <t>4th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</si>
  <si>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Milind</t>
    </r>
    <r>
      <rPr>
        <sz val="16"/>
        <rFont val="Times New Roman"/>
        <family val="1"/>
      </rPr>
      <t xml:space="preserve"> </t>
    </r>
    <r>
      <rPr>
        <sz val="16"/>
        <rFont val="Verdana"/>
        <family val="2"/>
      </rPr>
      <t>Hemchandra</t>
    </r>
    <r>
      <rPr>
        <sz val="16"/>
        <rFont val="Times New Roman"/>
        <family val="1"/>
      </rPr>
      <t xml:space="preserve"> </t>
    </r>
    <r>
      <rPr>
        <sz val="16"/>
        <rFont val="Verdana"/>
        <family val="2"/>
      </rPr>
      <t>Khopkar</t>
    </r>
  </si>
  <si>
    <r>
      <rPr>
        <sz val="16"/>
        <rFont val="Verdana"/>
        <family val="2"/>
      </rPr>
      <t>Smt.</t>
    </r>
    <r>
      <rPr>
        <sz val="16"/>
        <rFont val="Times New Roman"/>
        <family val="1"/>
      </rPr>
      <t xml:space="preserve"> </t>
    </r>
    <r>
      <rPr>
        <sz val="16"/>
        <rFont val="Verdana"/>
        <family val="2"/>
      </rPr>
      <t>Anuradha</t>
    </r>
    <r>
      <rPr>
        <sz val="16"/>
        <rFont val="Times New Roman"/>
        <family val="1"/>
      </rPr>
      <t xml:space="preserve"> </t>
    </r>
    <r>
      <rPr>
        <sz val="16"/>
        <rFont val="Verdana"/>
        <family val="2"/>
      </rPr>
      <t xml:space="preserve">Pushpahas
</t>
    </r>
    <r>
      <rPr>
        <sz val="16"/>
        <rFont val="Verdana"/>
        <family val="2"/>
      </rPr>
      <t>Gokhale</t>
    </r>
  </si>
  <si>
    <r>
      <rPr>
        <sz val="16"/>
        <rFont val="Verdana"/>
        <family val="2"/>
      </rPr>
      <t>Mr.</t>
    </r>
    <r>
      <rPr>
        <sz val="16"/>
        <rFont val="Times New Roman"/>
        <family val="1"/>
      </rPr>
      <t xml:space="preserve"> </t>
    </r>
    <r>
      <rPr>
        <sz val="16"/>
        <rFont val="Verdana"/>
        <family val="2"/>
      </rPr>
      <t>Arvind</t>
    </r>
    <r>
      <rPr>
        <sz val="16"/>
        <rFont val="Times New Roman"/>
        <family val="1"/>
      </rPr>
      <t xml:space="preserve"> </t>
    </r>
    <r>
      <rPr>
        <sz val="16"/>
        <rFont val="Verdana"/>
        <family val="2"/>
      </rPr>
      <t>Moreshwar</t>
    </r>
    <r>
      <rPr>
        <sz val="16"/>
        <rFont val="Times New Roman"/>
        <family val="1"/>
      </rPr>
      <t xml:space="preserve"> </t>
    </r>
    <r>
      <rPr>
        <sz val="16"/>
        <rFont val="Verdana"/>
        <family val="2"/>
      </rPr>
      <t>Gharat</t>
    </r>
  </si>
  <si>
    <r>
      <rPr>
        <sz val="16"/>
        <rFont val="Verdana"/>
        <family val="2"/>
      </rPr>
      <t>Mr.</t>
    </r>
    <r>
      <rPr>
        <sz val="16"/>
        <rFont val="Times New Roman"/>
        <family val="1"/>
      </rPr>
      <t xml:space="preserve"> </t>
    </r>
    <r>
      <rPr>
        <sz val="16"/>
        <rFont val="Verdana"/>
        <family val="2"/>
      </rPr>
      <t>Sandeep</t>
    </r>
    <r>
      <rPr>
        <sz val="16"/>
        <rFont val="Times New Roman"/>
        <family val="1"/>
      </rPr>
      <t xml:space="preserve"> </t>
    </r>
    <r>
      <rPr>
        <sz val="16"/>
        <rFont val="Verdana"/>
        <family val="2"/>
      </rPr>
      <t>Rangnath</t>
    </r>
    <r>
      <rPr>
        <sz val="16"/>
        <rFont val="Times New Roman"/>
        <family val="1"/>
      </rPr>
      <t xml:space="preserve"> </t>
    </r>
    <r>
      <rPr>
        <sz val="16"/>
        <rFont val="Verdana"/>
        <family val="2"/>
      </rPr>
      <t>Joshi</t>
    </r>
  </si>
  <si>
    <r>
      <rPr>
        <sz val="11"/>
        <rFont val="Verdana"/>
        <family val="2"/>
      </rPr>
      <t>5th</t>
    </r>
    <r>
      <rPr>
        <sz val="11"/>
        <rFont val="Times New Roman"/>
        <family val="1"/>
      </rPr>
      <t xml:space="preserve"> </t>
    </r>
    <r>
      <rPr>
        <sz val="11"/>
        <rFont val="Verdana"/>
        <family val="2"/>
      </rPr>
      <t>Floor</t>
    </r>
  </si>
  <si>
    <r>
      <rPr>
        <sz val="16"/>
        <rFont val="Verdana"/>
        <family val="2"/>
      </rPr>
      <t>Ms.</t>
    </r>
    <r>
      <rPr>
        <sz val="16"/>
        <rFont val="Times New Roman"/>
        <family val="1"/>
      </rPr>
      <t xml:space="preserve"> </t>
    </r>
    <r>
      <rPr>
        <sz val="16"/>
        <rFont val="Verdana"/>
        <family val="2"/>
      </rPr>
      <t>Theresa</t>
    </r>
    <r>
      <rPr>
        <sz val="16"/>
        <rFont val="Times New Roman"/>
        <family val="1"/>
      </rPr>
      <t xml:space="preserve"> </t>
    </r>
    <r>
      <rPr>
        <sz val="16"/>
        <rFont val="Verdana"/>
        <family val="2"/>
      </rPr>
      <t>Elizabeth</t>
    </r>
    <r>
      <rPr>
        <sz val="16"/>
        <rFont val="Times New Roman"/>
        <family val="1"/>
      </rPr>
      <t xml:space="preserve"> </t>
    </r>
    <r>
      <rPr>
        <sz val="16"/>
        <rFont val="Verdana"/>
        <family val="2"/>
      </rPr>
      <t>Almeida</t>
    </r>
  </si>
  <si>
    <r>
      <rPr>
        <sz val="16"/>
        <rFont val="Verdana"/>
        <family val="2"/>
      </rPr>
      <t>Mr.</t>
    </r>
    <r>
      <rPr>
        <sz val="16"/>
        <rFont val="Times New Roman"/>
        <family val="1"/>
      </rPr>
      <t xml:space="preserve"> </t>
    </r>
    <r>
      <rPr>
        <sz val="16"/>
        <rFont val="Verdana"/>
        <family val="2"/>
      </rPr>
      <t>Charuhas</t>
    </r>
    <r>
      <rPr>
        <sz val="16"/>
        <rFont val="Times New Roman"/>
        <family val="1"/>
      </rPr>
      <t xml:space="preserve"> </t>
    </r>
    <r>
      <rPr>
        <sz val="16"/>
        <rFont val="Verdana"/>
        <family val="2"/>
      </rPr>
      <t xml:space="preserve">Chandrakant
</t>
    </r>
    <r>
      <rPr>
        <sz val="16"/>
        <rFont val="Verdana"/>
        <family val="2"/>
      </rPr>
      <t>Sawant</t>
    </r>
  </si>
  <si>
    <r>
      <rPr>
        <sz val="16"/>
        <rFont val="Verdana"/>
        <family val="2"/>
      </rPr>
      <t>Mr.</t>
    </r>
    <r>
      <rPr>
        <sz val="16"/>
        <rFont val="Times New Roman"/>
        <family val="1"/>
      </rPr>
      <t xml:space="preserve"> </t>
    </r>
    <r>
      <rPr>
        <sz val="16"/>
        <rFont val="Verdana"/>
        <family val="2"/>
      </rPr>
      <t>Vishnu</t>
    </r>
    <r>
      <rPr>
        <sz val="16"/>
        <rFont val="Times New Roman"/>
        <family val="1"/>
      </rPr>
      <t xml:space="preserve"> </t>
    </r>
    <r>
      <rPr>
        <sz val="16"/>
        <rFont val="Verdana"/>
        <family val="2"/>
      </rPr>
      <t>Vasudeo</t>
    </r>
    <r>
      <rPr>
        <sz val="16"/>
        <rFont val="Times New Roman"/>
        <family val="1"/>
      </rPr>
      <t xml:space="preserve"> </t>
    </r>
    <r>
      <rPr>
        <sz val="16"/>
        <rFont val="Verdana"/>
        <family val="2"/>
      </rPr>
      <t>Walavalakar</t>
    </r>
  </si>
  <si>
    <r>
      <rPr>
        <sz val="11"/>
        <rFont val="Verdana"/>
        <family val="2"/>
      </rPr>
      <t>6th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</si>
  <si>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Pravin</t>
    </r>
    <r>
      <rPr>
        <sz val="16"/>
        <rFont val="Times New Roman"/>
        <family val="1"/>
      </rPr>
      <t xml:space="preserve"> </t>
    </r>
    <r>
      <rPr>
        <sz val="16"/>
        <rFont val="Verdana"/>
        <family val="2"/>
      </rPr>
      <t>Janardan</t>
    </r>
    <r>
      <rPr>
        <sz val="16"/>
        <rFont val="Times New Roman"/>
        <family val="1"/>
      </rPr>
      <t xml:space="preserve"> </t>
    </r>
    <r>
      <rPr>
        <sz val="16"/>
        <rFont val="Verdana"/>
        <family val="2"/>
      </rPr>
      <t>Joshi</t>
    </r>
  </si>
  <si>
    <r>
      <rPr>
        <sz val="16"/>
        <rFont val="Verdana"/>
        <family val="2"/>
      </rPr>
      <t>Smt.</t>
    </r>
    <r>
      <rPr>
        <sz val="16"/>
        <rFont val="Times New Roman"/>
        <family val="1"/>
      </rPr>
      <t xml:space="preserve"> </t>
    </r>
    <r>
      <rPr>
        <sz val="16"/>
        <rFont val="Verdana"/>
        <family val="2"/>
      </rPr>
      <t>Geeta</t>
    </r>
    <r>
      <rPr>
        <sz val="16"/>
        <rFont val="Times New Roman"/>
        <family val="1"/>
      </rPr>
      <t xml:space="preserve"> </t>
    </r>
    <r>
      <rPr>
        <sz val="16"/>
        <rFont val="Verdana"/>
        <family val="2"/>
      </rPr>
      <t>Nandlal</t>
    </r>
    <r>
      <rPr>
        <sz val="16"/>
        <rFont val="Times New Roman"/>
        <family val="1"/>
      </rPr>
      <t xml:space="preserve"> </t>
    </r>
    <r>
      <rPr>
        <sz val="16"/>
        <rFont val="Verdana"/>
        <family val="2"/>
      </rPr>
      <t>vawani</t>
    </r>
  </si>
  <si>
    <r>
      <rPr>
        <sz val="16"/>
        <rFont val="Verdana"/>
        <family val="2"/>
      </rPr>
      <t>Smt.</t>
    </r>
    <r>
      <rPr>
        <sz val="16"/>
        <rFont val="Times New Roman"/>
        <family val="1"/>
      </rPr>
      <t xml:space="preserve"> </t>
    </r>
    <r>
      <rPr>
        <sz val="16"/>
        <rFont val="Verdana"/>
        <family val="2"/>
      </rPr>
      <t>Malati</t>
    </r>
    <r>
      <rPr>
        <sz val="16"/>
        <rFont val="Times New Roman"/>
        <family val="1"/>
      </rPr>
      <t xml:space="preserve"> </t>
    </r>
    <r>
      <rPr>
        <sz val="16"/>
        <rFont val="Verdana"/>
        <family val="2"/>
      </rPr>
      <t xml:space="preserve">Madhukar
</t>
    </r>
    <r>
      <rPr>
        <sz val="16"/>
        <rFont val="Verdana"/>
        <family val="2"/>
      </rPr>
      <t>Kolangade</t>
    </r>
  </si>
  <si>
    <r>
      <rPr>
        <sz val="16"/>
        <rFont val="Verdana"/>
        <family val="2"/>
      </rPr>
      <t>Mr.</t>
    </r>
    <r>
      <rPr>
        <sz val="16"/>
        <rFont val="Times New Roman"/>
        <family val="1"/>
      </rPr>
      <t xml:space="preserve"> </t>
    </r>
    <r>
      <rPr>
        <sz val="16"/>
        <rFont val="Verdana"/>
        <family val="2"/>
      </rPr>
      <t>Ulhas</t>
    </r>
    <r>
      <rPr>
        <sz val="16"/>
        <rFont val="Times New Roman"/>
        <family val="1"/>
      </rPr>
      <t xml:space="preserve"> </t>
    </r>
    <r>
      <rPr>
        <sz val="16"/>
        <rFont val="Verdana"/>
        <family val="2"/>
      </rPr>
      <t>Shankar</t>
    </r>
    <r>
      <rPr>
        <sz val="16"/>
        <rFont val="Times New Roman"/>
        <family val="1"/>
      </rPr>
      <t xml:space="preserve"> </t>
    </r>
    <r>
      <rPr>
        <sz val="16"/>
        <rFont val="Verdana"/>
        <family val="2"/>
      </rPr>
      <t>Pradhan</t>
    </r>
  </si>
  <si>
    <r>
      <rPr>
        <sz val="11"/>
        <rFont val="Verdana"/>
        <family val="2"/>
      </rPr>
      <t>7th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</si>
  <si>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Manoj</t>
    </r>
    <r>
      <rPr>
        <sz val="16"/>
        <rFont val="Times New Roman"/>
        <family val="1"/>
      </rPr>
      <t xml:space="preserve"> </t>
    </r>
    <r>
      <rPr>
        <sz val="16"/>
        <rFont val="Verdana"/>
        <family val="2"/>
      </rPr>
      <t>Eknath</t>
    </r>
    <r>
      <rPr>
        <sz val="16"/>
        <rFont val="Times New Roman"/>
        <family val="1"/>
      </rPr>
      <t xml:space="preserve"> </t>
    </r>
    <r>
      <rPr>
        <sz val="16"/>
        <rFont val="Verdana"/>
        <family val="2"/>
      </rPr>
      <t>Paranjpe</t>
    </r>
  </si>
  <si>
    <r>
      <rPr>
        <sz val="16"/>
        <rFont val="Verdana"/>
        <family val="2"/>
      </rPr>
      <t>Mr.</t>
    </r>
    <r>
      <rPr>
        <sz val="16"/>
        <rFont val="Times New Roman"/>
        <family val="1"/>
      </rPr>
      <t xml:space="preserve"> </t>
    </r>
    <r>
      <rPr>
        <sz val="16"/>
        <rFont val="Verdana"/>
        <family val="2"/>
      </rPr>
      <t>Jitendra</t>
    </r>
    <r>
      <rPr>
        <sz val="16"/>
        <rFont val="Times New Roman"/>
        <family val="1"/>
      </rPr>
      <t xml:space="preserve"> </t>
    </r>
    <r>
      <rPr>
        <sz val="16"/>
        <rFont val="Verdana"/>
        <family val="2"/>
      </rPr>
      <t>Ramdas</t>
    </r>
    <r>
      <rPr>
        <sz val="16"/>
        <rFont val="Times New Roman"/>
        <family val="1"/>
      </rPr>
      <t xml:space="preserve"> </t>
    </r>
    <r>
      <rPr>
        <sz val="16"/>
        <rFont val="Verdana"/>
        <family val="2"/>
      </rPr>
      <t>Mavinkurve</t>
    </r>
  </si>
  <si>
    <r>
      <rPr>
        <sz val="16"/>
        <rFont val="Verdana"/>
        <family val="2"/>
      </rPr>
      <t>Mr.</t>
    </r>
    <r>
      <rPr>
        <sz val="16"/>
        <rFont val="Times New Roman"/>
        <family val="1"/>
      </rPr>
      <t xml:space="preserve"> </t>
    </r>
    <r>
      <rPr>
        <sz val="16"/>
        <rFont val="Verdana"/>
        <family val="2"/>
      </rPr>
      <t>Mayuresh</t>
    </r>
    <r>
      <rPr>
        <sz val="16"/>
        <rFont val="Times New Roman"/>
        <family val="1"/>
      </rPr>
      <t xml:space="preserve"> </t>
    </r>
    <r>
      <rPr>
        <sz val="16"/>
        <rFont val="Verdana"/>
        <family val="2"/>
      </rPr>
      <t>Dashrath</t>
    </r>
    <r>
      <rPr>
        <sz val="16"/>
        <rFont val="Times New Roman"/>
        <family val="1"/>
      </rPr>
      <t xml:space="preserve"> </t>
    </r>
    <r>
      <rPr>
        <sz val="16"/>
        <rFont val="Verdana"/>
        <family val="2"/>
      </rPr>
      <t>Shevale</t>
    </r>
  </si>
  <si>
    <r>
      <rPr>
        <sz val="16"/>
        <rFont val="Verdana"/>
        <family val="2"/>
      </rPr>
      <t>Mr.</t>
    </r>
    <r>
      <rPr>
        <sz val="16"/>
        <rFont val="Times New Roman"/>
        <family val="1"/>
      </rPr>
      <t xml:space="preserve"> </t>
    </r>
    <r>
      <rPr>
        <sz val="16"/>
        <rFont val="Verdana"/>
        <family val="2"/>
      </rPr>
      <t>Subhash</t>
    </r>
    <r>
      <rPr>
        <sz val="16"/>
        <rFont val="Times New Roman"/>
        <family val="1"/>
      </rPr>
      <t xml:space="preserve"> </t>
    </r>
    <r>
      <rPr>
        <sz val="16"/>
        <rFont val="Verdana"/>
        <family val="2"/>
      </rPr>
      <t>Balkrishna</t>
    </r>
    <r>
      <rPr>
        <sz val="16"/>
        <rFont val="Times New Roman"/>
        <family val="1"/>
      </rPr>
      <t xml:space="preserve"> </t>
    </r>
    <r>
      <rPr>
        <sz val="16"/>
        <rFont val="Verdana"/>
        <family val="2"/>
      </rPr>
      <t>Namjoshi</t>
    </r>
  </si>
  <si>
    <r>
      <rPr>
        <sz val="11"/>
        <rFont val="Verdana"/>
        <family val="2"/>
      </rPr>
      <t>8th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</si>
  <si>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Jagannath</t>
    </r>
    <r>
      <rPr>
        <sz val="16"/>
        <rFont val="Times New Roman"/>
        <family val="1"/>
      </rPr>
      <t xml:space="preserve"> </t>
    </r>
    <r>
      <rPr>
        <sz val="16"/>
        <rFont val="Verdana"/>
        <family val="2"/>
      </rPr>
      <t>Anajali</t>
    </r>
    <r>
      <rPr>
        <sz val="16"/>
        <rFont val="Times New Roman"/>
        <family val="1"/>
      </rPr>
      <t xml:space="preserve"> </t>
    </r>
    <r>
      <rPr>
        <sz val="16"/>
        <rFont val="Verdana"/>
        <family val="2"/>
      </rPr>
      <t>Dalvi</t>
    </r>
  </si>
  <si>
    <r>
      <rPr>
        <sz val="16"/>
        <rFont val="Verdana"/>
        <family val="2"/>
      </rPr>
      <t>Smt.</t>
    </r>
    <r>
      <rPr>
        <sz val="16"/>
        <rFont val="Times New Roman"/>
        <family val="1"/>
      </rPr>
      <t xml:space="preserve"> </t>
    </r>
    <r>
      <rPr>
        <sz val="16"/>
        <rFont val="Verdana"/>
        <family val="2"/>
      </rPr>
      <t>Urmila</t>
    </r>
    <r>
      <rPr>
        <sz val="16"/>
        <rFont val="Times New Roman"/>
        <family val="1"/>
      </rPr>
      <t xml:space="preserve"> </t>
    </r>
    <r>
      <rPr>
        <sz val="16"/>
        <rFont val="Verdana"/>
        <family val="2"/>
      </rPr>
      <t xml:space="preserve">Gajanan
</t>
    </r>
    <r>
      <rPr>
        <sz val="16"/>
        <rFont val="Verdana"/>
        <family val="2"/>
      </rPr>
      <t>Gondhalekar</t>
    </r>
  </si>
  <si>
    <r>
      <rPr>
        <sz val="16"/>
        <rFont val="Verdana"/>
        <family val="2"/>
      </rPr>
      <t>Smt.</t>
    </r>
    <r>
      <rPr>
        <sz val="16"/>
        <rFont val="Times New Roman"/>
        <family val="1"/>
      </rPr>
      <t xml:space="preserve"> </t>
    </r>
    <r>
      <rPr>
        <sz val="16"/>
        <rFont val="Verdana"/>
        <family val="2"/>
      </rPr>
      <t>Anagha</t>
    </r>
    <r>
      <rPr>
        <sz val="16"/>
        <rFont val="Times New Roman"/>
        <family val="1"/>
      </rPr>
      <t xml:space="preserve"> </t>
    </r>
    <r>
      <rPr>
        <sz val="16"/>
        <rFont val="Verdana"/>
        <family val="2"/>
      </rPr>
      <t>Ashok</t>
    </r>
    <r>
      <rPr>
        <sz val="16"/>
        <rFont val="Times New Roman"/>
        <family val="1"/>
      </rPr>
      <t xml:space="preserve"> </t>
    </r>
    <r>
      <rPr>
        <sz val="16"/>
        <rFont val="Verdana"/>
        <family val="2"/>
      </rPr>
      <t>Raut</t>
    </r>
  </si>
  <si>
    <r>
      <rPr>
        <sz val="16"/>
        <rFont val="Verdana"/>
        <family val="2"/>
      </rPr>
      <t>Mr.</t>
    </r>
    <r>
      <rPr>
        <sz val="16"/>
        <rFont val="Times New Roman"/>
        <family val="1"/>
      </rPr>
      <t xml:space="preserve"> </t>
    </r>
    <r>
      <rPr>
        <sz val="16"/>
        <rFont val="Verdana"/>
        <family val="2"/>
      </rPr>
      <t>Bhalchandra</t>
    </r>
    <r>
      <rPr>
        <sz val="16"/>
        <rFont val="Times New Roman"/>
        <family val="1"/>
      </rPr>
      <t xml:space="preserve"> </t>
    </r>
    <r>
      <rPr>
        <sz val="16"/>
        <rFont val="Verdana"/>
        <family val="2"/>
      </rPr>
      <t xml:space="preserve">Balwant
</t>
    </r>
    <r>
      <rPr>
        <sz val="16"/>
        <rFont val="Verdana"/>
        <family val="2"/>
      </rPr>
      <t>Namjoshi</t>
    </r>
  </si>
  <si>
    <r>
      <rPr>
        <sz val="11"/>
        <rFont val="Verdana"/>
        <family val="2"/>
      </rPr>
      <t>9th</t>
    </r>
    <r>
      <rPr>
        <sz val="11"/>
        <rFont val="Times New Roman"/>
        <family val="1"/>
      </rPr>
      <t xml:space="preserve"> </t>
    </r>
    <r>
      <rPr>
        <sz val="11"/>
        <rFont val="Verdana"/>
        <family val="2"/>
      </rPr>
      <t>Floor</t>
    </r>
  </si>
  <si>
    <r>
      <rPr>
        <sz val="16"/>
        <rFont val="Verdana"/>
        <family val="2"/>
      </rPr>
      <t>Smt.</t>
    </r>
    <r>
      <rPr>
        <sz val="16"/>
        <rFont val="Times New Roman"/>
        <family val="1"/>
      </rPr>
      <t xml:space="preserve"> </t>
    </r>
    <r>
      <rPr>
        <sz val="16"/>
        <rFont val="Verdana"/>
        <family val="2"/>
      </rPr>
      <t>Ashwini</t>
    </r>
    <r>
      <rPr>
        <sz val="16"/>
        <rFont val="Times New Roman"/>
        <family val="1"/>
      </rPr>
      <t xml:space="preserve"> </t>
    </r>
    <r>
      <rPr>
        <sz val="16"/>
        <rFont val="Verdana"/>
        <family val="2"/>
      </rPr>
      <t>Shashikant</t>
    </r>
    <r>
      <rPr>
        <sz val="16"/>
        <rFont val="Times New Roman"/>
        <family val="1"/>
      </rPr>
      <t xml:space="preserve"> </t>
    </r>
    <r>
      <rPr>
        <sz val="16"/>
        <rFont val="Verdana"/>
        <family val="2"/>
      </rPr>
      <t>Ukidve</t>
    </r>
  </si>
  <si>
    <r>
      <rPr>
        <sz val="16"/>
        <rFont val="Verdana"/>
        <family val="2"/>
      </rPr>
      <t>Mr.</t>
    </r>
    <r>
      <rPr>
        <sz val="16"/>
        <rFont val="Times New Roman"/>
        <family val="1"/>
      </rPr>
      <t xml:space="preserve"> </t>
    </r>
    <r>
      <rPr>
        <sz val="16"/>
        <rFont val="Verdana"/>
        <family val="2"/>
      </rPr>
      <t>Ramesh</t>
    </r>
    <r>
      <rPr>
        <sz val="16"/>
        <rFont val="Times New Roman"/>
        <family val="1"/>
      </rPr>
      <t xml:space="preserve"> </t>
    </r>
    <r>
      <rPr>
        <sz val="16"/>
        <rFont val="Verdana"/>
        <family val="2"/>
      </rPr>
      <t>Shridhar</t>
    </r>
    <r>
      <rPr>
        <sz val="16"/>
        <rFont val="Times New Roman"/>
        <family val="1"/>
      </rPr>
      <t xml:space="preserve"> </t>
    </r>
    <r>
      <rPr>
        <sz val="16"/>
        <rFont val="Verdana"/>
        <family val="2"/>
      </rPr>
      <t>Kotasthane</t>
    </r>
  </si>
  <si>
    <r>
      <rPr>
        <sz val="16"/>
        <rFont val="Verdana"/>
        <family val="2"/>
      </rPr>
      <t>Mr.</t>
    </r>
    <r>
      <rPr>
        <sz val="16"/>
        <rFont val="Times New Roman"/>
        <family val="1"/>
      </rPr>
      <t xml:space="preserve"> </t>
    </r>
    <r>
      <rPr>
        <sz val="16"/>
        <rFont val="Verdana"/>
        <family val="2"/>
      </rPr>
      <t>Leslie</t>
    </r>
    <r>
      <rPr>
        <sz val="16"/>
        <rFont val="Times New Roman"/>
        <family val="1"/>
      </rPr>
      <t xml:space="preserve"> </t>
    </r>
    <r>
      <rPr>
        <sz val="16"/>
        <rFont val="Verdana"/>
        <family val="2"/>
      </rPr>
      <t>Basil</t>
    </r>
    <r>
      <rPr>
        <sz val="16"/>
        <rFont val="Times New Roman"/>
        <family val="1"/>
      </rPr>
      <t xml:space="preserve"> </t>
    </r>
    <r>
      <rPr>
        <sz val="16"/>
        <rFont val="Verdana"/>
        <family val="2"/>
      </rPr>
      <t>D'souza</t>
    </r>
  </si>
  <si>
    <r>
      <rPr>
        <sz val="16"/>
        <rFont val="Verdana"/>
        <family val="2"/>
      </rPr>
      <t>Smt.</t>
    </r>
    <r>
      <rPr>
        <sz val="16"/>
        <rFont val="Times New Roman"/>
        <family val="1"/>
      </rPr>
      <t xml:space="preserve"> </t>
    </r>
    <r>
      <rPr>
        <sz val="16"/>
        <rFont val="Verdana"/>
        <family val="2"/>
      </rPr>
      <t>Savita</t>
    </r>
    <r>
      <rPr>
        <sz val="16"/>
        <rFont val="Times New Roman"/>
        <family val="1"/>
      </rPr>
      <t xml:space="preserve"> </t>
    </r>
    <r>
      <rPr>
        <sz val="16"/>
        <rFont val="Verdana"/>
        <family val="2"/>
      </rPr>
      <t xml:space="preserve">Nandkumar
</t>
    </r>
    <r>
      <rPr>
        <sz val="16"/>
        <rFont val="Verdana"/>
        <family val="2"/>
      </rPr>
      <t>Gajendragadkar</t>
    </r>
  </si>
  <si>
    <r>
      <rPr>
        <sz val="11"/>
        <rFont val="Verdana"/>
        <family val="2"/>
      </rPr>
      <t>10th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</si>
  <si>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Prasad</t>
    </r>
    <r>
      <rPr>
        <sz val="16"/>
        <rFont val="Times New Roman"/>
        <family val="1"/>
      </rPr>
      <t xml:space="preserve"> </t>
    </r>
    <r>
      <rPr>
        <sz val="16"/>
        <rFont val="Verdana"/>
        <family val="2"/>
      </rPr>
      <t>Balaram</t>
    </r>
    <r>
      <rPr>
        <sz val="16"/>
        <rFont val="Times New Roman"/>
        <family val="1"/>
      </rPr>
      <t xml:space="preserve"> </t>
    </r>
    <r>
      <rPr>
        <sz val="16"/>
        <rFont val="Verdana"/>
        <family val="2"/>
      </rPr>
      <t>Parekar</t>
    </r>
  </si>
  <si>
    <r>
      <rPr>
        <sz val="16"/>
        <rFont val="Verdana"/>
        <family val="2"/>
      </rPr>
      <t>Mr.</t>
    </r>
    <r>
      <rPr>
        <sz val="16"/>
        <rFont val="Times New Roman"/>
        <family val="1"/>
      </rPr>
      <t xml:space="preserve"> </t>
    </r>
    <r>
      <rPr>
        <sz val="16"/>
        <rFont val="Verdana"/>
        <family val="2"/>
      </rPr>
      <t>Arvind</t>
    </r>
    <r>
      <rPr>
        <sz val="16"/>
        <rFont val="Times New Roman"/>
        <family val="1"/>
      </rPr>
      <t xml:space="preserve"> </t>
    </r>
    <r>
      <rPr>
        <sz val="16"/>
        <rFont val="Verdana"/>
        <family val="2"/>
      </rPr>
      <t>Dhakoji</t>
    </r>
    <r>
      <rPr>
        <sz val="16"/>
        <rFont val="Times New Roman"/>
        <family val="1"/>
      </rPr>
      <t xml:space="preserve"> </t>
    </r>
    <r>
      <rPr>
        <sz val="16"/>
        <rFont val="Verdana"/>
        <family val="2"/>
      </rPr>
      <t>Shinde</t>
    </r>
  </si>
  <si>
    <r>
      <rPr>
        <sz val="16"/>
        <rFont val="Verdana"/>
        <family val="2"/>
      </rPr>
      <t>Mr.</t>
    </r>
    <r>
      <rPr>
        <sz val="16"/>
        <rFont val="Times New Roman"/>
        <family val="1"/>
      </rPr>
      <t xml:space="preserve"> </t>
    </r>
    <r>
      <rPr>
        <sz val="16"/>
        <rFont val="Verdana"/>
        <family val="2"/>
      </rPr>
      <t>Madhav</t>
    </r>
    <r>
      <rPr>
        <sz val="16"/>
        <rFont val="Times New Roman"/>
        <family val="1"/>
      </rPr>
      <t xml:space="preserve"> </t>
    </r>
    <r>
      <rPr>
        <sz val="16"/>
        <rFont val="Verdana"/>
        <family val="2"/>
      </rPr>
      <t>Narayan</t>
    </r>
    <r>
      <rPr>
        <sz val="16"/>
        <rFont val="Times New Roman"/>
        <family val="1"/>
      </rPr>
      <t xml:space="preserve"> </t>
    </r>
    <r>
      <rPr>
        <sz val="16"/>
        <rFont val="Verdana"/>
        <family val="2"/>
      </rPr>
      <t>Deodhar</t>
    </r>
  </si>
  <si>
    <r>
      <rPr>
        <sz val="16"/>
        <rFont val="Verdana"/>
        <family val="2"/>
      </rPr>
      <t>Smt.</t>
    </r>
    <r>
      <rPr>
        <sz val="16"/>
        <rFont val="Times New Roman"/>
        <family val="1"/>
      </rPr>
      <t xml:space="preserve"> </t>
    </r>
    <r>
      <rPr>
        <sz val="16"/>
        <rFont val="Verdana"/>
        <family val="2"/>
      </rPr>
      <t>Rekha</t>
    </r>
    <r>
      <rPr>
        <sz val="16"/>
        <rFont val="Times New Roman"/>
        <family val="1"/>
      </rPr>
      <t xml:space="preserve"> </t>
    </r>
    <r>
      <rPr>
        <sz val="16"/>
        <rFont val="Verdana"/>
        <family val="2"/>
      </rPr>
      <t>Anant</t>
    </r>
    <r>
      <rPr>
        <sz val="16"/>
        <rFont val="Times New Roman"/>
        <family val="1"/>
      </rPr>
      <t xml:space="preserve"> </t>
    </r>
    <r>
      <rPr>
        <sz val="16"/>
        <rFont val="Verdana"/>
        <family val="2"/>
      </rPr>
      <t>Parchure</t>
    </r>
  </si>
  <si>
    <r>
      <rPr>
        <sz val="11"/>
        <rFont val="Verdana"/>
        <family val="2"/>
      </rPr>
      <t>11th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</si>
  <si>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Sanjay</t>
    </r>
    <r>
      <rPr>
        <sz val="16"/>
        <rFont val="Times New Roman"/>
        <family val="1"/>
      </rPr>
      <t xml:space="preserve"> </t>
    </r>
    <r>
      <rPr>
        <sz val="16"/>
        <rFont val="Verdana"/>
        <family val="2"/>
      </rPr>
      <t>Ningoji</t>
    </r>
    <r>
      <rPr>
        <sz val="16"/>
        <rFont val="Times New Roman"/>
        <family val="1"/>
      </rPr>
      <t xml:space="preserve"> </t>
    </r>
    <r>
      <rPr>
        <sz val="16"/>
        <rFont val="Verdana"/>
        <family val="2"/>
      </rPr>
      <t>Rajarampatil</t>
    </r>
  </si>
  <si>
    <r>
      <rPr>
        <sz val="16"/>
        <rFont val="Verdana"/>
        <family val="2"/>
      </rPr>
      <t>Mr.Madhav</t>
    </r>
    <r>
      <rPr>
        <sz val="16"/>
        <rFont val="Times New Roman"/>
        <family val="1"/>
      </rPr>
      <t xml:space="preserve"> </t>
    </r>
    <r>
      <rPr>
        <sz val="16"/>
        <rFont val="Verdana"/>
        <family val="2"/>
      </rPr>
      <t xml:space="preserve">Parshuram
</t>
    </r>
    <r>
      <rPr>
        <sz val="16"/>
        <rFont val="Verdana"/>
        <family val="2"/>
      </rPr>
      <t>Khambete</t>
    </r>
  </si>
  <si>
    <r>
      <rPr>
        <sz val="16"/>
        <rFont val="Verdana"/>
        <family val="2"/>
      </rPr>
      <t>Mr.</t>
    </r>
    <r>
      <rPr>
        <sz val="16"/>
        <rFont val="Times New Roman"/>
        <family val="1"/>
      </rPr>
      <t xml:space="preserve"> </t>
    </r>
    <r>
      <rPr>
        <sz val="16"/>
        <rFont val="Verdana"/>
        <family val="2"/>
      </rPr>
      <t>Vasant</t>
    </r>
    <r>
      <rPr>
        <sz val="16"/>
        <rFont val="Times New Roman"/>
        <family val="1"/>
      </rPr>
      <t xml:space="preserve"> </t>
    </r>
    <r>
      <rPr>
        <sz val="16"/>
        <rFont val="Verdana"/>
        <family val="2"/>
      </rPr>
      <t>Achyut</t>
    </r>
    <r>
      <rPr>
        <sz val="16"/>
        <rFont val="Times New Roman"/>
        <family val="1"/>
      </rPr>
      <t xml:space="preserve"> </t>
    </r>
    <r>
      <rPr>
        <sz val="16"/>
        <rFont val="Verdana"/>
        <family val="2"/>
      </rPr>
      <t>Joshi</t>
    </r>
    <r>
      <rPr>
        <sz val="16"/>
        <rFont val="Times New Roman"/>
        <family val="1"/>
      </rPr>
      <t xml:space="preserve"> </t>
    </r>
    <r>
      <rPr>
        <sz val="16"/>
        <rFont val="Verdana"/>
        <family val="2"/>
      </rPr>
      <t>&amp;</t>
    </r>
    <r>
      <rPr>
        <sz val="16"/>
        <rFont val="Times New Roman"/>
        <family val="1"/>
      </rPr>
      <t xml:space="preserve"> </t>
    </r>
    <r>
      <rPr>
        <sz val="16"/>
        <rFont val="Verdana"/>
        <family val="2"/>
      </rPr>
      <t xml:space="preserve">Mr.
</t>
    </r>
    <r>
      <rPr>
        <sz val="16"/>
        <rFont val="Verdana"/>
        <family val="2"/>
      </rPr>
      <t>Jayesh</t>
    </r>
    <r>
      <rPr>
        <sz val="16"/>
        <rFont val="Times New Roman"/>
        <family val="1"/>
      </rPr>
      <t xml:space="preserve"> </t>
    </r>
    <r>
      <rPr>
        <sz val="16"/>
        <rFont val="Verdana"/>
        <family val="2"/>
      </rPr>
      <t>Vasant</t>
    </r>
    <r>
      <rPr>
        <sz val="16"/>
        <rFont val="Times New Roman"/>
        <family val="1"/>
      </rPr>
      <t xml:space="preserve"> </t>
    </r>
    <r>
      <rPr>
        <sz val="16"/>
        <rFont val="Verdana"/>
        <family val="2"/>
      </rPr>
      <t>Joshi</t>
    </r>
  </si>
  <si>
    <r>
      <rPr>
        <sz val="11"/>
        <rFont val="Verdana"/>
        <family val="2"/>
      </rPr>
      <t>12th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</si>
  <si>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Shambhunath</t>
    </r>
    <r>
      <rPr>
        <sz val="16"/>
        <rFont val="Times New Roman"/>
        <family val="1"/>
      </rPr>
      <t xml:space="preserve"> </t>
    </r>
    <r>
      <rPr>
        <sz val="16"/>
        <rFont val="Verdana"/>
        <family val="2"/>
      </rPr>
      <t xml:space="preserve">Damodar
</t>
    </r>
    <r>
      <rPr>
        <sz val="16"/>
        <rFont val="Verdana"/>
        <family val="2"/>
      </rPr>
      <t>Ganu</t>
    </r>
  </si>
  <si>
    <r>
      <rPr>
        <sz val="16"/>
        <rFont val="Verdana"/>
        <family val="2"/>
      </rPr>
      <t>Ms.</t>
    </r>
    <r>
      <rPr>
        <sz val="16"/>
        <rFont val="Times New Roman"/>
        <family val="1"/>
      </rPr>
      <t xml:space="preserve"> </t>
    </r>
    <r>
      <rPr>
        <sz val="16"/>
        <rFont val="Verdana"/>
        <family val="2"/>
      </rPr>
      <t>Renu</t>
    </r>
    <r>
      <rPr>
        <sz val="16"/>
        <rFont val="Times New Roman"/>
        <family val="1"/>
      </rPr>
      <t xml:space="preserve"> </t>
    </r>
    <r>
      <rPr>
        <sz val="16"/>
        <rFont val="Verdana"/>
        <family val="2"/>
      </rPr>
      <t>Inder</t>
    </r>
    <r>
      <rPr>
        <sz val="16"/>
        <rFont val="Times New Roman"/>
        <family val="1"/>
      </rPr>
      <t xml:space="preserve"> </t>
    </r>
    <r>
      <rPr>
        <sz val="16"/>
        <rFont val="Verdana"/>
        <family val="2"/>
      </rPr>
      <t>Gandhi</t>
    </r>
    <r>
      <rPr>
        <sz val="16"/>
        <rFont val="Times New Roman"/>
        <family val="1"/>
      </rPr>
      <t xml:space="preserve"> </t>
    </r>
    <r>
      <rPr>
        <sz val="16"/>
        <rFont val="Verdana"/>
        <family val="2"/>
      </rPr>
      <t>&amp;</t>
    </r>
    <r>
      <rPr>
        <sz val="16"/>
        <rFont val="Times New Roman"/>
        <family val="1"/>
      </rPr>
      <t xml:space="preserve"> </t>
    </r>
    <r>
      <rPr>
        <sz val="16"/>
        <rFont val="Verdana"/>
        <family val="2"/>
      </rPr>
      <t xml:space="preserve">Mr.
</t>
    </r>
    <r>
      <rPr>
        <sz val="16"/>
        <rFont val="Verdana"/>
        <family val="2"/>
      </rPr>
      <t>Sunil</t>
    </r>
    <r>
      <rPr>
        <sz val="16"/>
        <rFont val="Times New Roman"/>
        <family val="1"/>
      </rPr>
      <t xml:space="preserve"> </t>
    </r>
    <r>
      <rPr>
        <sz val="16"/>
        <rFont val="Verdana"/>
        <family val="2"/>
      </rPr>
      <t>Inder</t>
    </r>
    <r>
      <rPr>
        <sz val="16"/>
        <rFont val="Times New Roman"/>
        <family val="1"/>
      </rPr>
      <t xml:space="preserve"> </t>
    </r>
    <r>
      <rPr>
        <sz val="16"/>
        <rFont val="Verdana"/>
        <family val="2"/>
      </rPr>
      <t>Gandhi</t>
    </r>
  </si>
  <si>
    <r>
      <rPr>
        <sz val="16"/>
        <rFont val="Verdana"/>
        <family val="2"/>
      </rPr>
      <t>Mr.</t>
    </r>
    <r>
      <rPr>
        <sz val="16"/>
        <rFont val="Times New Roman"/>
        <family val="1"/>
      </rPr>
      <t xml:space="preserve"> </t>
    </r>
    <r>
      <rPr>
        <sz val="16"/>
        <rFont val="Verdana"/>
        <family val="2"/>
      </rPr>
      <t>Ashutosh</t>
    </r>
    <r>
      <rPr>
        <sz val="16"/>
        <rFont val="Times New Roman"/>
        <family val="1"/>
      </rPr>
      <t xml:space="preserve"> </t>
    </r>
    <r>
      <rPr>
        <sz val="16"/>
        <rFont val="Verdana"/>
        <family val="2"/>
      </rPr>
      <t>Gajanan</t>
    </r>
    <r>
      <rPr>
        <sz val="16"/>
        <rFont val="Times New Roman"/>
        <family val="1"/>
      </rPr>
      <t xml:space="preserve"> </t>
    </r>
    <r>
      <rPr>
        <sz val="16"/>
        <rFont val="Verdana"/>
        <family val="2"/>
      </rPr>
      <t>Joshi</t>
    </r>
  </si>
  <si>
    <r>
      <rPr>
        <sz val="16"/>
        <rFont val="Verdana"/>
        <family val="2"/>
      </rPr>
      <t>Mr.</t>
    </r>
    <r>
      <rPr>
        <sz val="16"/>
        <rFont val="Times New Roman"/>
        <family val="1"/>
      </rPr>
      <t xml:space="preserve"> </t>
    </r>
    <r>
      <rPr>
        <sz val="16"/>
        <rFont val="Verdana"/>
        <family val="2"/>
      </rPr>
      <t>Shivraj</t>
    </r>
    <r>
      <rPr>
        <sz val="16"/>
        <rFont val="Times New Roman"/>
        <family val="1"/>
      </rPr>
      <t xml:space="preserve"> </t>
    </r>
    <r>
      <rPr>
        <sz val="16"/>
        <rFont val="Verdana"/>
        <family val="2"/>
      </rPr>
      <t>Jayaram</t>
    </r>
    <r>
      <rPr>
        <sz val="16"/>
        <rFont val="Times New Roman"/>
        <family val="1"/>
      </rPr>
      <t xml:space="preserve"> </t>
    </r>
    <r>
      <rPr>
        <sz val="16"/>
        <rFont val="Verdana"/>
        <family val="2"/>
      </rPr>
      <t>Pandit</t>
    </r>
  </si>
  <si>
    <r>
      <rPr>
        <sz val="16"/>
        <rFont val="Verdana"/>
        <family val="2"/>
      </rPr>
      <t>Mr.</t>
    </r>
    <r>
      <rPr>
        <sz val="16"/>
        <rFont val="Times New Roman"/>
        <family val="1"/>
      </rPr>
      <t xml:space="preserve"> </t>
    </r>
    <r>
      <rPr>
        <sz val="16"/>
        <rFont val="Verdana"/>
        <family val="2"/>
      </rPr>
      <t>Rohit</t>
    </r>
    <r>
      <rPr>
        <sz val="16"/>
        <rFont val="Times New Roman"/>
        <family val="1"/>
      </rPr>
      <t xml:space="preserve"> </t>
    </r>
    <r>
      <rPr>
        <sz val="16"/>
        <rFont val="Verdana"/>
        <family val="2"/>
      </rPr>
      <t>Arun</t>
    </r>
    <r>
      <rPr>
        <sz val="16"/>
        <rFont val="Times New Roman"/>
        <family val="1"/>
      </rPr>
      <t xml:space="preserve">  </t>
    </r>
    <r>
      <rPr>
        <sz val="16"/>
        <rFont val="Verdana"/>
        <family val="2"/>
      </rPr>
      <t>Rane</t>
    </r>
  </si>
  <si>
    <r>
      <rPr>
        <sz val="16"/>
        <rFont val="Verdana"/>
        <family val="2"/>
      </rPr>
      <t>Mrs.</t>
    </r>
    <r>
      <rPr>
        <sz val="16"/>
        <rFont val="Times New Roman"/>
        <family val="1"/>
      </rPr>
      <t xml:space="preserve"> </t>
    </r>
    <r>
      <rPr>
        <sz val="16"/>
        <rFont val="Verdana"/>
        <family val="2"/>
      </rPr>
      <t>Usha</t>
    </r>
    <r>
      <rPr>
        <sz val="16"/>
        <rFont val="Times New Roman"/>
        <family val="1"/>
      </rPr>
      <t xml:space="preserve"> </t>
    </r>
    <r>
      <rPr>
        <sz val="16"/>
        <rFont val="Verdana"/>
        <family val="2"/>
      </rPr>
      <t>Gangadhar</t>
    </r>
    <r>
      <rPr>
        <sz val="16"/>
        <rFont val="Times New Roman"/>
        <family val="1"/>
      </rPr>
      <t xml:space="preserve"> </t>
    </r>
    <r>
      <rPr>
        <sz val="16"/>
        <rFont val="Verdana"/>
        <family val="2"/>
      </rPr>
      <t>Paranjape</t>
    </r>
  </si>
  <si>
    <r>
      <rPr>
        <sz val="11"/>
        <rFont val="Verdana"/>
        <family val="2"/>
      </rPr>
      <t>13th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</si>
  <si>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Sanjay</t>
    </r>
    <r>
      <rPr>
        <sz val="16"/>
        <rFont val="Times New Roman"/>
        <family val="1"/>
      </rPr>
      <t xml:space="preserve"> </t>
    </r>
    <r>
      <rPr>
        <sz val="16"/>
        <rFont val="Verdana"/>
        <family val="2"/>
      </rPr>
      <t>Narayan</t>
    </r>
    <r>
      <rPr>
        <sz val="16"/>
        <rFont val="Times New Roman"/>
        <family val="1"/>
      </rPr>
      <t xml:space="preserve"> </t>
    </r>
    <r>
      <rPr>
        <sz val="16"/>
        <rFont val="Verdana"/>
        <family val="2"/>
      </rPr>
      <t>Agashe</t>
    </r>
    <r>
      <rPr>
        <sz val="16"/>
        <rFont val="Times New Roman"/>
        <family val="1"/>
      </rPr>
      <t xml:space="preserve"> </t>
    </r>
    <r>
      <rPr>
        <sz val="16"/>
        <rFont val="Verdana"/>
        <family val="2"/>
      </rPr>
      <t xml:space="preserve">&amp;
</t>
    </r>
    <r>
      <rPr>
        <sz val="16"/>
        <rFont val="Verdana"/>
        <family val="2"/>
      </rPr>
      <t>Mrs.Smita</t>
    </r>
    <r>
      <rPr>
        <sz val="16"/>
        <rFont val="Times New Roman"/>
        <family val="1"/>
      </rPr>
      <t xml:space="preserve"> </t>
    </r>
    <r>
      <rPr>
        <sz val="16"/>
        <rFont val="Verdana"/>
        <family val="2"/>
      </rPr>
      <t>SanjayAgashe</t>
    </r>
  </si>
  <si>
    <r>
      <rPr>
        <sz val="16"/>
        <rFont val="Verdana"/>
        <family val="2"/>
      </rPr>
      <t>Mr.</t>
    </r>
    <r>
      <rPr>
        <sz val="16"/>
        <rFont val="Times New Roman"/>
        <family val="1"/>
      </rPr>
      <t xml:space="preserve"> </t>
    </r>
    <r>
      <rPr>
        <sz val="16"/>
        <rFont val="Verdana"/>
        <family val="2"/>
      </rPr>
      <t>Vivek</t>
    </r>
    <r>
      <rPr>
        <sz val="16"/>
        <rFont val="Times New Roman"/>
        <family val="1"/>
      </rPr>
      <t xml:space="preserve"> </t>
    </r>
    <r>
      <rPr>
        <sz val="16"/>
        <rFont val="Verdana"/>
        <family val="2"/>
      </rPr>
      <t>Vasant</t>
    </r>
    <r>
      <rPr>
        <sz val="16"/>
        <rFont val="Times New Roman"/>
        <family val="1"/>
      </rPr>
      <t xml:space="preserve"> </t>
    </r>
    <r>
      <rPr>
        <sz val="16"/>
        <rFont val="Verdana"/>
        <family val="2"/>
      </rPr>
      <t>Alat</t>
    </r>
    <r>
      <rPr>
        <sz val="16"/>
        <rFont val="Times New Roman"/>
        <family val="1"/>
      </rPr>
      <t xml:space="preserve"> </t>
    </r>
    <r>
      <rPr>
        <sz val="16"/>
        <rFont val="Verdana"/>
        <family val="2"/>
      </rPr>
      <t>&amp;</t>
    </r>
    <r>
      <rPr>
        <sz val="16"/>
        <rFont val="Times New Roman"/>
        <family val="1"/>
      </rPr>
      <t xml:space="preserve"> </t>
    </r>
    <r>
      <rPr>
        <sz val="16"/>
        <rFont val="Verdana"/>
        <family val="2"/>
      </rPr>
      <t xml:space="preserve">Mrs.
</t>
    </r>
    <r>
      <rPr>
        <sz val="16"/>
        <rFont val="Verdana"/>
        <family val="2"/>
      </rPr>
      <t>Sonal</t>
    </r>
    <r>
      <rPr>
        <sz val="16"/>
        <rFont val="Times New Roman"/>
        <family val="1"/>
      </rPr>
      <t xml:space="preserve"> </t>
    </r>
    <r>
      <rPr>
        <sz val="16"/>
        <rFont val="Verdana"/>
        <family val="2"/>
      </rPr>
      <t>Vivek</t>
    </r>
    <r>
      <rPr>
        <sz val="16"/>
        <rFont val="Times New Roman"/>
        <family val="1"/>
      </rPr>
      <t xml:space="preserve"> </t>
    </r>
    <r>
      <rPr>
        <sz val="16"/>
        <rFont val="Verdana"/>
        <family val="2"/>
      </rPr>
      <t>Alat</t>
    </r>
  </si>
  <si>
    <r>
      <rPr>
        <sz val="11"/>
        <rFont val="Verdana"/>
        <family val="2"/>
      </rPr>
      <t>14th</t>
    </r>
    <r>
      <rPr>
        <sz val="11"/>
        <rFont val="Times New Roman"/>
        <family val="1"/>
      </rPr>
      <t xml:space="preserve"> </t>
    </r>
    <r>
      <rPr>
        <sz val="11"/>
        <rFont val="Verdana"/>
        <family val="2"/>
      </rPr>
      <t>Floor</t>
    </r>
  </si>
  <si>
    <r>
      <rPr>
        <sz val="16"/>
        <rFont val="Verdana"/>
        <family val="2"/>
      </rPr>
      <t>Mr.</t>
    </r>
    <r>
      <rPr>
        <sz val="16"/>
        <rFont val="Times New Roman"/>
        <family val="1"/>
      </rPr>
      <t xml:space="preserve"> </t>
    </r>
    <r>
      <rPr>
        <sz val="16"/>
        <rFont val="Verdana"/>
        <family val="2"/>
      </rPr>
      <t>Prabhakar</t>
    </r>
    <r>
      <rPr>
        <sz val="16"/>
        <rFont val="Times New Roman"/>
        <family val="1"/>
      </rPr>
      <t xml:space="preserve"> </t>
    </r>
    <r>
      <rPr>
        <sz val="16"/>
        <rFont val="Verdana"/>
        <family val="2"/>
      </rPr>
      <t>Damodar</t>
    </r>
    <r>
      <rPr>
        <sz val="16"/>
        <rFont val="Times New Roman"/>
        <family val="1"/>
      </rPr>
      <t xml:space="preserve"> </t>
    </r>
    <r>
      <rPr>
        <sz val="16"/>
        <rFont val="Verdana"/>
        <family val="2"/>
      </rPr>
      <t>Joshi</t>
    </r>
    <r>
      <rPr>
        <sz val="16"/>
        <rFont val="Times New Roman"/>
        <family val="1"/>
      </rPr>
      <t xml:space="preserve"> </t>
    </r>
    <r>
      <rPr>
        <sz val="16"/>
        <rFont val="Verdana"/>
        <family val="2"/>
      </rPr>
      <t xml:space="preserve">&amp;
</t>
    </r>
    <r>
      <rPr>
        <sz val="16"/>
        <rFont val="Verdana"/>
        <family val="2"/>
      </rPr>
      <t>Yogesh</t>
    </r>
    <r>
      <rPr>
        <sz val="16"/>
        <rFont val="Times New Roman"/>
        <family val="1"/>
      </rPr>
      <t xml:space="preserve"> </t>
    </r>
    <r>
      <rPr>
        <sz val="16"/>
        <rFont val="Verdana"/>
        <family val="2"/>
      </rPr>
      <t>Prabhakar</t>
    </r>
    <r>
      <rPr>
        <sz val="16"/>
        <rFont val="Times New Roman"/>
        <family val="1"/>
      </rPr>
      <t xml:space="preserve"> </t>
    </r>
    <r>
      <rPr>
        <sz val="16"/>
        <rFont val="Verdana"/>
        <family val="2"/>
      </rPr>
      <t>Joshi</t>
    </r>
  </si>
  <si>
    <r>
      <rPr>
        <sz val="16"/>
        <rFont val="Verdana"/>
        <family val="2"/>
      </rPr>
      <t>Smt.</t>
    </r>
    <r>
      <rPr>
        <sz val="16"/>
        <rFont val="Times New Roman"/>
        <family val="1"/>
      </rPr>
      <t xml:space="preserve"> </t>
    </r>
    <r>
      <rPr>
        <sz val="16"/>
        <rFont val="Verdana"/>
        <family val="2"/>
      </rPr>
      <t>Vijaya</t>
    </r>
    <r>
      <rPr>
        <sz val="16"/>
        <rFont val="Times New Roman"/>
        <family val="1"/>
      </rPr>
      <t xml:space="preserve"> </t>
    </r>
    <r>
      <rPr>
        <sz val="16"/>
        <rFont val="Verdana"/>
        <family val="2"/>
      </rPr>
      <t>Balasubramanian</t>
    </r>
  </si>
  <si>
    <r>
      <rPr>
        <sz val="16"/>
        <rFont val="Verdana"/>
        <family val="2"/>
      </rPr>
      <t>Mr.</t>
    </r>
    <r>
      <rPr>
        <sz val="16"/>
        <rFont val="Times New Roman"/>
        <family val="1"/>
      </rPr>
      <t xml:space="preserve"> </t>
    </r>
    <r>
      <rPr>
        <sz val="16"/>
        <rFont val="Verdana"/>
        <family val="2"/>
      </rPr>
      <t>Gajanan</t>
    </r>
    <r>
      <rPr>
        <sz val="16"/>
        <rFont val="Times New Roman"/>
        <family val="1"/>
      </rPr>
      <t xml:space="preserve"> </t>
    </r>
    <r>
      <rPr>
        <sz val="16"/>
        <rFont val="Verdana"/>
        <family val="2"/>
      </rPr>
      <t xml:space="preserve">Prabhakar
</t>
    </r>
    <r>
      <rPr>
        <sz val="16"/>
        <rFont val="Verdana"/>
        <family val="2"/>
      </rPr>
      <t>Paranjape</t>
    </r>
  </si>
  <si>
    <r>
      <rPr>
        <sz val="11"/>
        <rFont val="Verdana"/>
        <family val="2"/>
      </rPr>
      <t>15th</t>
    </r>
    <r>
      <rPr>
        <sz val="11"/>
        <rFont val="Times New Roman"/>
        <family val="1"/>
      </rPr>
      <t xml:space="preserve"> </t>
    </r>
    <r>
      <rPr>
        <sz val="11"/>
        <rFont val="Verdana"/>
        <family val="2"/>
      </rPr>
      <t>Floor</t>
    </r>
  </si>
  <si>
    <r>
      <rPr>
        <sz val="16"/>
        <rFont val="Verdana"/>
        <family val="2"/>
      </rPr>
      <t>Smt.</t>
    </r>
    <r>
      <rPr>
        <sz val="16"/>
        <rFont val="Times New Roman"/>
        <family val="1"/>
      </rPr>
      <t xml:space="preserve"> </t>
    </r>
    <r>
      <rPr>
        <sz val="16"/>
        <rFont val="Verdana"/>
        <family val="2"/>
      </rPr>
      <t>Vijaya</t>
    </r>
    <r>
      <rPr>
        <sz val="16"/>
        <rFont val="Times New Roman"/>
        <family val="1"/>
      </rPr>
      <t xml:space="preserve"> </t>
    </r>
    <r>
      <rPr>
        <sz val="16"/>
        <rFont val="Verdana"/>
        <family val="2"/>
      </rPr>
      <t>Bhaskar</t>
    </r>
    <r>
      <rPr>
        <sz val="16"/>
        <rFont val="Times New Roman"/>
        <family val="1"/>
      </rPr>
      <t xml:space="preserve"> </t>
    </r>
    <r>
      <rPr>
        <sz val="16"/>
        <rFont val="Verdana"/>
        <family val="2"/>
      </rPr>
      <t>Thakur</t>
    </r>
  </si>
  <si>
    <r>
      <rPr>
        <sz val="16"/>
        <rFont val="Verdana"/>
        <family val="2"/>
      </rPr>
      <t>rehab</t>
    </r>
  </si>
  <si>
    <t>Unit</t>
  </si>
  <si>
    <t>No. of Units</t>
  </si>
  <si>
    <r>
      <t xml:space="preserve">Total Super Area 
</t>
    </r>
    <r>
      <rPr>
        <i/>
        <sz val="10"/>
        <color theme="1"/>
        <rFont val="Calibri"/>
        <family val="2"/>
        <scheme val="minor"/>
      </rPr>
      <t>(in sq.ft.)</t>
    </r>
  </si>
  <si>
    <t>Total Amount Received</t>
  </si>
  <si>
    <t>Total Recievables</t>
  </si>
  <si>
    <t>Total Amount</t>
  </si>
  <si>
    <t>Booked</t>
  </si>
  <si>
    <t>Unbooked</t>
  </si>
  <si>
    <t>Total</t>
  </si>
  <si>
    <t>Rehab</t>
  </si>
  <si>
    <t>Column4</t>
  </si>
  <si>
    <t>Unit No</t>
  </si>
  <si>
    <t>Description</t>
  </si>
  <si>
    <t>Total Proposed Cost of Complete Project</t>
  </si>
  <si>
    <t>Yet to be Incurred</t>
  </si>
  <si>
    <t>Construction Cost</t>
  </si>
  <si>
    <t>Administrative Cost</t>
  </si>
  <si>
    <t>Finance Charges</t>
  </si>
  <si>
    <t>Plan Approval and TDR Cost</t>
  </si>
  <si>
    <t>CASHFLOWS</t>
  </si>
  <si>
    <t>Year</t>
  </si>
  <si>
    <t>CASH FLOW SUMMATION</t>
  </si>
  <si>
    <t>Earnings (Inflow)</t>
  </si>
  <si>
    <r>
      <t xml:space="preserve">TOTAL INFLOW </t>
    </r>
    <r>
      <rPr>
        <i/>
        <sz val="11"/>
        <color theme="1"/>
        <rFont val="Calibri"/>
        <family val="2"/>
        <scheme val="minor"/>
      </rPr>
      <t xml:space="preserve">(in Mn) </t>
    </r>
    <r>
      <rPr>
        <b/>
        <sz val="11"/>
        <color theme="1"/>
        <rFont val="Calibri"/>
        <family val="2"/>
        <scheme val="minor"/>
      </rPr>
      <t>(A)</t>
    </r>
  </si>
  <si>
    <t>Expenses (outgoings)</t>
  </si>
  <si>
    <t>CAPEX</t>
  </si>
  <si>
    <t>OPEX</t>
  </si>
  <si>
    <r>
      <t xml:space="preserve">TOTAL OUTFLOW </t>
    </r>
    <r>
      <rPr>
        <i/>
        <sz val="11"/>
        <color theme="1"/>
        <rFont val="Calibri"/>
        <family val="2"/>
        <scheme val="minor"/>
      </rPr>
      <t xml:space="preserve">(in Mn) </t>
    </r>
    <r>
      <rPr>
        <b/>
        <sz val="11"/>
        <color theme="1"/>
        <rFont val="Calibri"/>
        <family val="2"/>
        <scheme val="minor"/>
      </rPr>
      <t>(B)</t>
    </r>
  </si>
  <si>
    <r>
      <t xml:space="preserve">PROJECT CASHFLOW </t>
    </r>
    <r>
      <rPr>
        <i/>
        <sz val="11"/>
        <color theme="1"/>
        <rFont val="Calibri"/>
        <family val="2"/>
        <scheme val="minor"/>
      </rPr>
      <t xml:space="preserve">(in Mn) </t>
    </r>
    <r>
      <rPr>
        <b/>
        <sz val="11"/>
        <color theme="1"/>
        <rFont val="Calibri"/>
        <family val="2"/>
        <scheme val="minor"/>
      </rPr>
      <t>(A-B)</t>
    </r>
  </si>
  <si>
    <t>Debt</t>
  </si>
  <si>
    <r>
      <t xml:space="preserve">Net Present Value (NPV) </t>
    </r>
    <r>
      <rPr>
        <i/>
        <sz val="11"/>
        <color theme="1"/>
        <rFont val="Calibri"/>
        <family val="2"/>
        <scheme val="minor"/>
      </rPr>
      <t>(in Mn)</t>
    </r>
  </si>
  <si>
    <t>Equity</t>
  </si>
  <si>
    <t>Discount Rate</t>
  </si>
  <si>
    <t>WACC</t>
  </si>
  <si>
    <t>Important Notes:-</t>
  </si>
  <si>
    <r>
      <t xml:space="preserve">CASH FLOW SUMMATION
</t>
    </r>
    <r>
      <rPr>
        <i/>
        <sz val="10"/>
        <color theme="1"/>
        <rFont val="Calibri"/>
        <family val="2"/>
        <scheme val="minor"/>
      </rPr>
      <t>(in Million Rupees)</t>
    </r>
  </si>
  <si>
    <r>
      <t xml:space="preserve">INFLOW </t>
    </r>
    <r>
      <rPr>
        <i/>
        <sz val="10"/>
        <color theme="1"/>
        <rFont val="Calibri"/>
        <family val="2"/>
        <scheme val="minor"/>
      </rPr>
      <t>(In Million Rupees)</t>
    </r>
  </si>
  <si>
    <r>
      <t xml:space="preserve">OUTFLOW </t>
    </r>
    <r>
      <rPr>
        <i/>
        <sz val="10"/>
        <color theme="1"/>
        <rFont val="Calibri"/>
        <family val="2"/>
        <scheme val="minor"/>
      </rPr>
      <t>(In Million Rupees)</t>
    </r>
  </si>
  <si>
    <r>
      <t xml:space="preserve">NET PROJECT CASH INFLOW </t>
    </r>
    <r>
      <rPr>
        <i/>
        <sz val="10"/>
        <color theme="1"/>
        <rFont val="Calibri"/>
        <family val="2"/>
        <scheme val="minor"/>
      </rPr>
      <t>(In Million Rupees)</t>
    </r>
  </si>
  <si>
    <r>
      <t xml:space="preserve">Net Present Value (NPV)-A </t>
    </r>
    <r>
      <rPr>
        <i/>
        <sz val="10"/>
        <color theme="1"/>
        <rFont val="Calibri"/>
        <family val="2"/>
        <scheme val="minor"/>
      </rPr>
      <t>(In Million Rupees)</t>
    </r>
  </si>
  <si>
    <r>
      <t xml:space="preserve">Round Off Value-A
</t>
    </r>
    <r>
      <rPr>
        <i/>
        <sz val="10"/>
        <color theme="1"/>
        <rFont val="Calibri"/>
        <family val="2"/>
        <scheme val="minor"/>
      </rPr>
      <t>(In Million Rupees)</t>
    </r>
  </si>
  <si>
    <r>
      <t xml:space="preserve">EXPECTED REALIZABLE VALUE^ (@ ~15% less)
</t>
    </r>
    <r>
      <rPr>
        <i/>
        <sz val="10"/>
        <color theme="1"/>
        <rFont val="Calibri"/>
        <family val="2"/>
        <scheme val="minor"/>
      </rPr>
      <t>(In Million Rupees)</t>
    </r>
  </si>
  <si>
    <r>
      <t xml:space="preserve">EXPECTED DISTRESS VALUE* (@ ~25% less)
</t>
    </r>
    <r>
      <rPr>
        <i/>
        <sz val="10"/>
        <color theme="1"/>
        <rFont val="Calibri"/>
        <family val="2"/>
        <scheme val="minor"/>
      </rPr>
      <t>(In Million Rupees)</t>
    </r>
  </si>
  <si>
    <t>The above mentioned values are in Millions Rupees.
1 Million = Rs.10,00,000/-</t>
  </si>
  <si>
    <t>Project Details</t>
  </si>
  <si>
    <t>Unbooked Inventory Absorption</t>
  </si>
  <si>
    <t>d</t>
  </si>
  <si>
    <t>Siddhesh Properties</t>
  </si>
  <si>
    <t>Om Sai Properties (Naupada Thane West)</t>
  </si>
  <si>
    <t>Arnav properties</t>
  </si>
  <si>
    <t>Rf</t>
  </si>
  <si>
    <t>Ri</t>
  </si>
  <si>
    <t>B</t>
  </si>
  <si>
    <t>Rm</t>
  </si>
  <si>
    <t>Land Cost</t>
  </si>
  <si>
    <t>Cost already Incurred (as on 31-12-2021)</t>
  </si>
  <si>
    <t xml:space="preserve">Construction Cost </t>
  </si>
  <si>
    <r>
      <t>Finance Charges</t>
    </r>
    <r>
      <rPr>
        <sz val="11"/>
        <color theme="1"/>
        <rFont val="Calibri"/>
        <family val="2"/>
        <scheme val="minor"/>
      </rPr>
      <t xml:space="preserve"> </t>
    </r>
  </si>
  <si>
    <t>Column1</t>
  </si>
  <si>
    <t>Unit No.</t>
  </si>
  <si>
    <t>Column2</t>
  </si>
  <si>
    <t>Row Labels</t>
  </si>
  <si>
    <t>Count of Unit No.</t>
  </si>
  <si>
    <t>Sum of Received Amt</t>
  </si>
  <si>
    <t>Sum of Balance amt</t>
  </si>
  <si>
    <t>Sum of AGREEMENT</t>
  </si>
  <si>
    <t>Sum of gst</t>
  </si>
  <si>
    <t>(blank)</t>
  </si>
  <si>
    <t>Grand Total</t>
  </si>
  <si>
    <r>
      <t>Total Earnings Through Unbooked Residential Units</t>
    </r>
    <r>
      <rPr>
        <i/>
        <sz val="11"/>
        <color theme="1"/>
        <rFont val="Calibri"/>
        <family val="2"/>
        <scheme val="minor"/>
      </rPr>
      <t xml:space="preserve"> </t>
    </r>
  </si>
  <si>
    <r>
      <t xml:space="preserve">Total Balance/Recievables of Booked Units </t>
    </r>
    <r>
      <rPr>
        <i/>
        <sz val="11"/>
        <color theme="1"/>
        <rFont val="Calibri"/>
        <family val="2"/>
        <scheme val="minor"/>
      </rPr>
      <t xml:space="preserve"> </t>
    </r>
  </si>
  <si>
    <t>Unsold Units</t>
  </si>
  <si>
    <t>S.No.</t>
  </si>
  <si>
    <t>No. of Unbooked Flats</t>
  </si>
  <si>
    <r>
      <t xml:space="preserve">Adopted Market Rates 
</t>
    </r>
    <r>
      <rPr>
        <i/>
        <sz val="11"/>
        <color theme="0"/>
        <rFont val="Calibri"/>
        <family val="2"/>
        <scheme val="minor"/>
      </rPr>
      <t>(per sq.ft.)</t>
    </r>
  </si>
  <si>
    <t>Market Value</t>
  </si>
  <si>
    <t>Count of Purpose</t>
  </si>
  <si>
    <t>Type</t>
  </si>
  <si>
    <t>2 BHK + Terrace</t>
  </si>
  <si>
    <t>Marketing Cost</t>
  </si>
  <si>
    <r>
      <t xml:space="preserve">Administrative Expenses </t>
    </r>
    <r>
      <rPr>
        <i/>
        <sz val="11"/>
        <color theme="1"/>
        <rFont val="Calibri"/>
        <family val="2"/>
        <scheme val="minor"/>
      </rPr>
      <t>(in Mn)</t>
    </r>
  </si>
  <si>
    <r>
      <t xml:space="preserve">Marketing Expenses </t>
    </r>
    <r>
      <rPr>
        <i/>
        <sz val="11"/>
        <color theme="1"/>
        <rFont val="Calibri"/>
        <family val="2"/>
        <scheme val="minor"/>
      </rPr>
      <t>(in Mn)</t>
    </r>
  </si>
  <si>
    <t>Date</t>
  </si>
  <si>
    <t>Total Returns Index</t>
  </si>
  <si>
    <t>Return</t>
  </si>
  <si>
    <t>Prev Close</t>
  </si>
  <si>
    <t>Open Price</t>
  </si>
  <si>
    <t>High Price</t>
  </si>
  <si>
    <t>Low Price</t>
  </si>
  <si>
    <t>Last Price</t>
  </si>
  <si>
    <t>Close Price</t>
  </si>
  <si>
    <t xml:space="preserve"> NET PRESENT VALUE FOR GIRIRAJ DREAMS</t>
  </si>
  <si>
    <t>Cost already Incurred (as on 03-03-2022)</t>
  </si>
  <si>
    <t>Receivables Details | Giriraj dreams|C.T.S 271 TO 279,76, 2026, Thane-400602, Mumbai|</t>
  </si>
  <si>
    <t>Absorption Rate | Giriraj dreams|C.T.S 271 TO 279,76, 2026, Thane-400602, Mumbai|</t>
  </si>
  <si>
    <t>Unbooked inventory Valuation | Giriraj dreams|C.T.S 271 TO 279,76, 2026, Thane-400602, Mumbai</t>
  </si>
  <si>
    <t>% Sale of the Giriraj dreams</t>
  </si>
  <si>
    <t>% increment</t>
  </si>
  <si>
    <t>% Realisation of the recievables</t>
  </si>
  <si>
    <t xml:space="preserve">% Increment  </t>
  </si>
  <si>
    <t>% construction Cost Incurred</t>
  </si>
  <si>
    <t>% financial charges incurred</t>
  </si>
  <si>
    <t>% Plan Approval and TDR Cost incurred</t>
  </si>
  <si>
    <t>% of Administrative Expenses  incurred</t>
  </si>
  <si>
    <t>Usable Area</t>
  </si>
  <si>
    <t>Total build up area</t>
  </si>
  <si>
    <t>Rate (in per sq.mtr.)</t>
  </si>
  <si>
    <t>Rate (in per sq.ft.)</t>
  </si>
  <si>
    <t>Beta</t>
  </si>
  <si>
    <t>% Sale of the Flats</t>
  </si>
  <si>
    <t>No. of the flats</t>
  </si>
  <si>
    <t>Project Inflow| Giriraj dreams|C.T.S 271 TO 279,76, 2026, Thane-400602, Mumbai|</t>
  </si>
  <si>
    <t>4. The total Value of inventory to be sold each year as shown above is in Millions Rupees.</t>
  </si>
  <si>
    <r>
      <t>Giriraj Dreams (Phase-III) (Flats)</t>
    </r>
    <r>
      <rPr>
        <i/>
        <sz val="11"/>
        <color theme="1"/>
        <rFont val="Calibri"/>
        <family val="2"/>
        <scheme val="minor"/>
      </rPr>
      <t xml:space="preserve">
(in Million Rupees)</t>
    </r>
  </si>
  <si>
    <t>1. As per market/ industry practice and our market study, we are of the view that company will monetize the unsold units of The Essentia (Phase-II) in the micro market within Three years @ 30% in first year, 40% in second &amp; balance 30% in Third year.</t>
  </si>
  <si>
    <t xml:space="preserve">2. The average market rate for residential flats in the subject project is varying in between Rs.21,000/-per sq.ft. to Rs22,500/-per sq.ft. including charges like PLC, IFMS Charges, Utility Charges. </t>
  </si>
  <si>
    <t>3. As per the general real estate market scenario, the market rate for available inventory will increase @ 2.5% for selling of units in each year after the project will be completed and ready to move</t>
  </si>
  <si>
    <t xml:space="preserve">1. The RCC frame structure and Brick work up to 23rd floor is complete whereas the slab work of 24th to 26th floor was in progress during the site visit. The Above construction status is as per the information provided during site survey and data available for the subject project. </t>
  </si>
  <si>
    <t>2. The Capital Expenditure (CAPEX) and operational expenditure (OPEX) of the project has been taken from cost of project (CA certificate) which is provided by the bank and relied upon in good faith</t>
  </si>
  <si>
    <t>4. The above mentioned values are in Millions Rupees.
1 Million = Rs.10,00,000/-</t>
  </si>
  <si>
    <t>SUMMARY | NET PRESENT VALUE (NPV) OF UNBOOKED UNITS| Giriraj dreams|C.T.S 271 TO 279,76, 2026, Thane-400602, Mumbai|</t>
  </si>
  <si>
    <t xml:space="preserve">3. The discount rate or WACC has been taken as per the discussion with the market participants based on the current real estate markets scenario in Mumbai and based on the current rate of lending by the Indian scheduled banks in real estate sector. The discount rate for the projects depends upon the liquidity factor &amp; Demand and supply gap in the market. Presently Mumbai real estate is considered to be Stable and the realisation of the units in the redevelopment project is considered to be good. But the return on investment in such project is low as compare to new developed society  due to availability of  50-60% of the total unit for sale .In Banking also the minimum ROI on real estate Projects is prevailing from minimum 12% to 18% depending upon the Project profile and creditworthiness of the developer company. Therefore we have taken discount rate or ROR as 15.67% which any investor would be expecting in present market scenario &amp; condition.
For the calculation of discount rate we have assumed 25% of capex as debt and 75% of capex as equity @ 12.50% &amp; 16.7% interest rate. 16.7% of equity interest rate is adopted considering the Low risk involved in such real estate projects in present scenario. By this WACC arrived is 15.67%.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</si>
</sst>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 #,##0.00;[Red]&quot;₹&quot;\ \-#,##0.00"/>
    <numFmt numFmtId="44" formatCode="_ &quot;₹&quot;\ * #,##0.00_ ;_ &quot;₹&quot;\ * \-#,##0.00_ ;_ &quot;₹&quot;\ * &quot;-&quot;??_ ;_ @_ "/>
    <numFmt numFmtId="43" formatCode="_ * #,##0.00_ ;_ * \-#,##0.00_ ;_ * &quot;-&quot;??_ ;_ @_ "/>
    <numFmt numFmtId="164" formatCode="_(* #,##0_);_(* \(#,##0\);_(* &quot;-&quot;??_);_(@_)"/>
    <numFmt numFmtId="165" formatCode="_ [$₹-4009]\ * #,##0.00_ ;_ [$₹-4009]\ * \-#,##0.00_ ;_ [$₹-4009]\ * &quot;-&quot;??_ ;_ @_ "/>
    <numFmt numFmtId="166" formatCode="_(* #,##0.0_);_(* \(#,##0.0\);_(* &quot;-&quot;??_);_(@_)"/>
    <numFmt numFmtId="167" formatCode="_(&quot;$&quot;* #,##0.000_);_(&quot;$&quot;* \(#,##0.000\);_(&quot;$&quot;* &quot;-&quot;??_);_(@_)"/>
    <numFmt numFmtId="168" formatCode="0.0%"/>
  </numFmts>
  <fonts count="27">
    <font>
      <sz val="11"/>
      <color theme="1"/>
      <name val="Calibri"/>
      <family val="2"/>
      <scheme val="minor"/>
    </font>
    <font>
      <sz val="11"/>
      <color theme="1"/>
      <name val="Calibri"/>
      <family val="2"/>
      <scheme val="minor"/>
    </font>
    <font>
      <b/>
      <sz val="14"/>
      <color theme="1"/>
      <name val="Century Gothic"/>
      <family val="2"/>
    </font>
    <font>
      <sz val="12"/>
      <color theme="1"/>
      <name val="Century Gothic"/>
      <family val="2"/>
    </font>
    <font>
      <sz val="12"/>
      <color theme="1"/>
      <name val="Calibri"/>
      <family val="2"/>
      <scheme val="minor"/>
    </font>
    <font>
      <b/>
      <sz val="11"/>
      <color theme="0"/>
      <name val="Calibri"/>
      <family val="2"/>
      <scheme val="minor"/>
    </font>
    <font>
      <b/>
      <sz val="11"/>
      <color theme="1"/>
      <name val="Calibri"/>
      <family val="2"/>
      <scheme val="minor"/>
    </font>
    <font>
      <b/>
      <sz val="16"/>
      <name val="Tahoma"/>
      <family val="2"/>
    </font>
    <font>
      <sz val="16"/>
      <name val="Times New Roman"/>
      <family val="1"/>
    </font>
    <font>
      <sz val="11"/>
      <name val="Verdana"/>
      <family val="2"/>
    </font>
    <font>
      <sz val="11"/>
      <name val="Times New Roman"/>
      <family val="1"/>
    </font>
    <font>
      <sz val="16"/>
      <name val="Verdana"/>
      <family val="2"/>
    </font>
    <font>
      <sz val="16"/>
      <color rgb="FF000000"/>
      <name val="Verdana"/>
      <family val="2"/>
    </font>
    <font>
      <sz val="16"/>
      <name val="Verdana"/>
      <family val="2"/>
    </font>
    <font>
      <sz val="10"/>
      <color rgb="FF000000"/>
      <name val="Times New Roman"/>
      <family val="1"/>
    </font>
    <font>
      <b/>
      <sz val="12"/>
      <color theme="0"/>
      <name val="Calibri"/>
      <family val="2"/>
      <scheme val="minor"/>
    </font>
    <font>
      <i/>
      <sz val="10"/>
      <color theme="1"/>
      <name val="Calibri"/>
      <family val="2"/>
      <scheme val="minor"/>
    </font>
    <font>
      <sz val="11"/>
      <color rgb="FF000000"/>
      <name val="Calibri"/>
      <family val="2"/>
      <scheme val="minor"/>
    </font>
    <font>
      <b/>
      <sz val="12"/>
      <color theme="1"/>
      <name val="Calibri"/>
      <family val="2"/>
      <scheme val="minor"/>
    </font>
    <font>
      <i/>
      <sz val="11"/>
      <color theme="1"/>
      <name val="Calibri"/>
      <family val="2"/>
      <scheme val="minor"/>
    </font>
    <font>
      <b/>
      <sz val="11"/>
      <name val="Calibri"/>
      <family val="2"/>
      <scheme val="minor"/>
    </font>
    <font>
      <sz val="11"/>
      <name val="Calibri"/>
      <family val="2"/>
      <scheme val="minor"/>
    </font>
    <font>
      <b/>
      <i/>
      <sz val="11"/>
      <color theme="1"/>
      <name val="Calibri"/>
      <family val="2"/>
      <scheme val="minor"/>
    </font>
    <font>
      <sz val="9"/>
      <color rgb="FF333333"/>
      <name val="Open Sans"/>
      <family val="2"/>
    </font>
    <font>
      <b/>
      <sz val="12"/>
      <color theme="1"/>
      <name val="Century Gothic"/>
      <family val="2"/>
    </font>
    <font>
      <i/>
      <sz val="11"/>
      <color theme="0"/>
      <name val="Calibri"/>
      <family val="2"/>
      <scheme val="minor"/>
    </font>
    <font>
      <b/>
      <i/>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9F9F9"/>
        <bgColor indexed="64"/>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rgb="FFDDDDDD"/>
      </left>
      <right style="medium">
        <color rgb="FFDDDDDD"/>
      </right>
      <top style="medium">
        <color rgb="FFDDDDDD"/>
      </top>
      <bottom style="medium">
        <color rgb="FFDDDDDD"/>
      </bottom>
      <diagonal/>
    </border>
    <border>
      <left style="medium">
        <color rgb="FFDDDDDD"/>
      </left>
      <right/>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3" fontId="1" fillId="0" borderId="0" applyFont="0" applyFill="0" applyBorder="0" applyAlignment="0" applyProtection="0"/>
    <xf numFmtId="44" fontId="1" fillId="0" borderId="0" applyFont="0" applyFill="0" applyBorder="0" applyAlignment="0" applyProtection="0"/>
  </cellStyleXfs>
  <cellXfs count="269">
    <xf numFmtId="0" fontId="0" fillId="0" borderId="0" xfId="0"/>
    <xf numFmtId="0" fontId="3"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0" fillId="0" borderId="7" xfId="0" applyFill="1" applyBorder="1" applyAlignment="1">
      <alignment horizontal="left" vertical="center" wrapText="1" indent="7"/>
    </xf>
    <xf numFmtId="0" fontId="0" fillId="0" borderId="7" xfId="0" applyFill="1" applyBorder="1" applyAlignment="1">
      <alignment horizontal="center" vertical="center" wrapText="1"/>
    </xf>
    <xf numFmtId="0" fontId="0" fillId="0" borderId="7" xfId="0" applyFill="1" applyBorder="1" applyAlignment="1">
      <alignment horizontal="left" vertical="top" wrapText="1"/>
    </xf>
    <xf numFmtId="0" fontId="0" fillId="0" borderId="0" xfId="0" applyFill="1" applyBorder="1" applyAlignment="1">
      <alignment horizontal="left" vertical="top"/>
    </xf>
    <xf numFmtId="0" fontId="0" fillId="0" borderId="7" xfId="0" applyFill="1" applyBorder="1" applyAlignment="1">
      <alignment horizontal="left" vertical="top" wrapText="1" indent="2"/>
    </xf>
    <xf numFmtId="1" fontId="12" fillId="0" borderId="7" xfId="0" applyNumberFormat="1" applyFont="1" applyFill="1" applyBorder="1" applyAlignment="1">
      <alignment horizontal="center" vertical="top" shrinkToFit="1"/>
    </xf>
    <xf numFmtId="0" fontId="13" fillId="0" borderId="7" xfId="0" applyFont="1" applyFill="1" applyBorder="1" applyAlignment="1">
      <alignment horizontal="center" vertical="top" wrapText="1"/>
    </xf>
    <xf numFmtId="0" fontId="0" fillId="0" borderId="9" xfId="0" applyFill="1" applyBorder="1" applyAlignment="1">
      <alignment horizontal="left" vertical="center" wrapText="1"/>
    </xf>
    <xf numFmtId="0" fontId="13" fillId="0" borderId="7" xfId="0" applyFont="1" applyFill="1" applyBorder="1" applyAlignment="1">
      <alignment horizontal="right" vertical="top" wrapText="1" indent="1"/>
    </xf>
    <xf numFmtId="1" fontId="12" fillId="0" borderId="7" xfId="0" applyNumberFormat="1" applyFont="1" applyFill="1" applyBorder="1" applyAlignment="1">
      <alignment horizontal="right" vertical="top" indent="2" shrinkToFit="1"/>
    </xf>
    <xf numFmtId="0" fontId="13" fillId="0" borderId="7" xfId="0" applyFont="1" applyFill="1" applyBorder="1" applyAlignment="1">
      <alignment horizontal="left" vertical="top" wrapText="1" indent="1"/>
    </xf>
    <xf numFmtId="0" fontId="0" fillId="0" borderId="1" xfId="0" applyBorder="1" applyAlignment="1">
      <alignment horizontal="center" vertical="center"/>
    </xf>
    <xf numFmtId="0" fontId="4" fillId="0" borderId="1" xfId="0" applyFont="1" applyBorder="1" applyAlignment="1">
      <alignment horizontal="center" vertical="center"/>
    </xf>
    <xf numFmtId="44" fontId="17" fillId="0" borderId="1" xfId="0" applyNumberFormat="1" applyFont="1" applyBorder="1"/>
    <xf numFmtId="44" fontId="0" fillId="0" borderId="1" xfId="0" applyNumberFormat="1" applyFont="1" applyBorder="1" applyAlignment="1">
      <alignment horizontal="center" vertical="center"/>
    </xf>
    <xf numFmtId="44" fontId="0" fillId="0" borderId="1" xfId="0" applyNumberFormat="1" applyBorder="1" applyAlignment="1">
      <alignment horizontal="center" vertical="center"/>
    </xf>
    <xf numFmtId="0" fontId="6" fillId="0" borderId="1" xfId="0" applyFont="1" applyBorder="1" applyAlignment="1">
      <alignment horizontal="center" vertical="center"/>
    </xf>
    <xf numFmtId="44" fontId="6" fillId="0" borderId="1" xfId="0" applyNumberFormat="1" applyFont="1" applyBorder="1" applyAlignment="1">
      <alignment horizontal="center" vertical="center"/>
    </xf>
    <xf numFmtId="0" fontId="6" fillId="4"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0" xfId="0" applyAlignment="1">
      <alignment horizontal="center"/>
    </xf>
    <xf numFmtId="0" fontId="3" fillId="0" borderId="3" xfId="0" applyFont="1" applyFill="1" applyBorder="1" applyAlignment="1" applyProtection="1">
      <alignment horizontal="center" vertical="center" wrapText="1"/>
      <protection locked="0"/>
    </xf>
    <xf numFmtId="3" fontId="3"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3" fillId="0" borderId="3" xfId="1" applyNumberFormat="1" applyFont="1" applyFill="1" applyBorder="1" applyAlignment="1">
      <alignment horizontal="center" vertical="center" wrapText="1"/>
    </xf>
    <xf numFmtId="164" fontId="3" fillId="0" borderId="3" xfId="1" applyNumberFormat="1" applyFont="1" applyFill="1" applyBorder="1" applyAlignment="1">
      <alignment horizontal="center" vertical="center" wrapText="1"/>
    </xf>
    <xf numFmtId="0" fontId="0" fillId="0" borderId="0" xfId="0" applyBorder="1" applyAlignment="1">
      <alignment horizontal="center" wrapText="1"/>
    </xf>
    <xf numFmtId="164" fontId="3" fillId="0" borderId="0" xfId="1" applyNumberFormat="1" applyFont="1" applyBorder="1" applyAlignment="1">
      <alignment horizontal="center" wrapText="1"/>
    </xf>
    <xf numFmtId="0" fontId="4" fillId="0" borderId="1" xfId="0" applyFont="1" applyBorder="1" applyAlignment="1">
      <alignment horizontal="center" wrapText="1"/>
    </xf>
    <xf numFmtId="3" fontId="3" fillId="0" borderId="1" xfId="0" applyNumberFormat="1" applyFont="1" applyFill="1" applyBorder="1" applyAlignment="1">
      <alignment horizontal="center" vertical="center" wrapText="1"/>
    </xf>
    <xf numFmtId="164" fontId="3" fillId="0" borderId="1" xfId="1" applyNumberFormat="1" applyFont="1" applyBorder="1" applyAlignment="1">
      <alignment horizontal="center" wrapText="1"/>
    </xf>
    <xf numFmtId="0" fontId="3" fillId="0" borderId="1" xfId="0" applyFont="1" applyBorder="1" applyAlignment="1">
      <alignment horizontal="center" wrapText="1"/>
    </xf>
    <xf numFmtId="0" fontId="3" fillId="0" borderId="1" xfId="0" applyFont="1" applyFill="1" applyBorder="1" applyAlignment="1">
      <alignment horizontal="center" wrapText="1"/>
    </xf>
    <xf numFmtId="0" fontId="3" fillId="0" borderId="3" xfId="0" applyFont="1" applyFill="1" applyBorder="1" applyAlignment="1">
      <alignment horizontal="center" wrapText="1"/>
    </xf>
    <xf numFmtId="0" fontId="0" fillId="0" borderId="0" xfId="0" applyAlignment="1">
      <alignment horizontal="center" wrapText="1"/>
    </xf>
    <xf numFmtId="164" fontId="2" fillId="0" borderId="1" xfId="1" applyNumberFormat="1" applyFont="1" applyBorder="1" applyAlignment="1">
      <alignment horizontal="center" wrapText="1"/>
    </xf>
    <xf numFmtId="165" fontId="18" fillId="0" borderId="0" xfId="0" applyNumberFormat="1" applyFont="1" applyAlignment="1">
      <alignment horizontal="center" wrapText="1"/>
    </xf>
    <xf numFmtId="0" fontId="20" fillId="4" borderId="1" xfId="0" applyFont="1" applyFill="1" applyBorder="1" applyAlignment="1">
      <alignment horizontal="center" vertical="center" wrapText="1"/>
    </xf>
    <xf numFmtId="0" fontId="0" fillId="0" borderId="1" xfId="0" applyBorder="1" applyAlignment="1">
      <alignment horizontal="left" vertical="center" wrapText="1"/>
    </xf>
    <xf numFmtId="17" fontId="6" fillId="4" borderId="1" xfId="2" applyNumberFormat="1" applyFont="1" applyFill="1" applyBorder="1" applyAlignment="1">
      <alignment horizontal="center" vertical="center"/>
    </xf>
    <xf numFmtId="0" fontId="5" fillId="5" borderId="1" xfId="0" applyFont="1" applyFill="1" applyBorder="1" applyAlignment="1">
      <alignment vertical="center"/>
    </xf>
    <xf numFmtId="0" fontId="0" fillId="5" borderId="1" xfId="0" applyFill="1" applyBorder="1" applyAlignment="1">
      <alignment vertical="center"/>
    </xf>
    <xf numFmtId="44" fontId="0" fillId="0" borderId="1" xfId="2" applyFont="1" applyBorder="1" applyAlignment="1">
      <alignment horizontal="center" vertical="center"/>
    </xf>
    <xf numFmtId="44" fontId="21" fillId="2" borderId="1" xfId="2" applyFont="1" applyFill="1" applyBorder="1" applyAlignment="1">
      <alignment vertical="center"/>
    </xf>
    <xf numFmtId="165" fontId="0" fillId="0" borderId="0" xfId="0" applyNumberFormat="1"/>
    <xf numFmtId="166" fontId="21" fillId="2" borderId="1" xfId="1" applyNumberFormat="1" applyFont="1" applyFill="1" applyBorder="1" applyAlignment="1">
      <alignment vertical="center"/>
    </xf>
    <xf numFmtId="44" fontId="0" fillId="0" borderId="0" xfId="0" applyNumberFormat="1"/>
    <xf numFmtId="0" fontId="6" fillId="0" borderId="1" xfId="0" applyFont="1" applyBorder="1" applyAlignment="1">
      <alignment vertical="center"/>
    </xf>
    <xf numFmtId="9" fontId="0" fillId="0" borderId="0" xfId="0" applyNumberFormat="1"/>
    <xf numFmtId="165" fontId="0" fillId="0" borderId="1" xfId="0" applyNumberFormat="1" applyBorder="1" applyAlignment="1">
      <alignment vertical="center"/>
    </xf>
    <xf numFmtId="10" fontId="0" fillId="0" borderId="0" xfId="0" applyNumberFormat="1"/>
    <xf numFmtId="8" fontId="0" fillId="0" borderId="0" xfId="0" applyNumberFormat="1"/>
    <xf numFmtId="10" fontId="0" fillId="0" borderId="0" xfId="3" applyNumberFormat="1" applyFont="1"/>
    <xf numFmtId="166" fontId="21" fillId="4" borderId="1" xfId="1" applyNumberFormat="1" applyFont="1" applyFill="1" applyBorder="1" applyAlignment="1">
      <alignment vertical="center"/>
    </xf>
    <xf numFmtId="165" fontId="6" fillId="0" borderId="1" xfId="2" applyNumberFormat="1" applyFont="1" applyFill="1" applyBorder="1" applyAlignment="1">
      <alignment vertical="center"/>
    </xf>
    <xf numFmtId="10" fontId="0" fillId="0" borderId="1" xfId="3" applyNumberFormat="1" applyFont="1" applyFill="1" applyBorder="1" applyAlignment="1">
      <alignment vertical="center"/>
    </xf>
    <xf numFmtId="9" fontId="0" fillId="0" borderId="1" xfId="3" applyFont="1" applyBorder="1" applyAlignment="1">
      <alignment horizontal="center" vertical="center"/>
    </xf>
    <xf numFmtId="44" fontId="5" fillId="0" borderId="0" xfId="2" applyFont="1" applyFill="1" applyBorder="1" applyAlignment="1">
      <alignment vertical="top"/>
    </xf>
    <xf numFmtId="0" fontId="17" fillId="0" borderId="0" xfId="0" applyFont="1"/>
    <xf numFmtId="17" fontId="6" fillId="4" borderId="1" xfId="2" applyNumberFormat="1" applyFont="1" applyFill="1" applyBorder="1" applyAlignment="1">
      <alignment horizontal="center" vertical="center" wrapText="1"/>
    </xf>
    <xf numFmtId="2" fontId="17" fillId="0" borderId="1" xfId="2" applyNumberFormat="1" applyFont="1" applyBorder="1" applyAlignment="1">
      <alignment horizontal="right" vertical="center"/>
    </xf>
    <xf numFmtId="2" fontId="17" fillId="0" borderId="0" xfId="0" applyNumberFormat="1" applyFont="1"/>
    <xf numFmtId="165" fontId="6" fillId="0" borderId="1" xfId="0" applyNumberFormat="1" applyFont="1" applyBorder="1" applyAlignment="1">
      <alignment horizontal="center" vertical="center"/>
    </xf>
    <xf numFmtId="44" fontId="6" fillId="0" borderId="1" xfId="2" applyFont="1" applyBorder="1" applyAlignment="1">
      <alignment vertical="center"/>
    </xf>
    <xf numFmtId="44" fontId="17" fillId="0" borderId="0" xfId="0" applyNumberFormat="1" applyFont="1"/>
    <xf numFmtId="44" fontId="17" fillId="0" borderId="0" xfId="2" applyFont="1"/>
    <xf numFmtId="0" fontId="17" fillId="0" borderId="1" xfId="0" applyFont="1" applyBorder="1" applyAlignment="1">
      <alignment horizontal="center" wrapText="1"/>
    </xf>
    <xf numFmtId="1" fontId="0" fillId="0" borderId="1" xfId="0" applyNumberFormat="1" applyBorder="1" applyAlignment="1">
      <alignment horizontal="center" vertical="center"/>
    </xf>
    <xf numFmtId="0" fontId="23" fillId="8" borderId="18" xfId="0" applyFont="1" applyFill="1" applyBorder="1" applyAlignment="1">
      <alignment vertical="top" wrapText="1"/>
    </xf>
    <xf numFmtId="0" fontId="23" fillId="9" borderId="18" xfId="0" applyFont="1" applyFill="1" applyBorder="1" applyAlignment="1">
      <alignment vertical="top" wrapText="1"/>
    </xf>
    <xf numFmtId="9" fontId="0" fillId="0" borderId="0" xfId="3" applyFont="1"/>
    <xf numFmtId="0" fontId="23" fillId="8" borderId="19" xfId="0" applyFont="1" applyFill="1" applyBorder="1" applyAlignment="1">
      <alignment vertical="top" wrapText="1"/>
    </xf>
    <xf numFmtId="0" fontId="23" fillId="9" borderId="0" xfId="0" applyFont="1" applyFill="1" applyBorder="1" applyAlignment="1">
      <alignment vertical="top" wrapText="1"/>
    </xf>
    <xf numFmtId="9" fontId="23" fillId="8" borderId="19" xfId="3" applyFont="1" applyFill="1" applyBorder="1" applyAlignment="1">
      <alignment vertical="top" wrapText="1"/>
    </xf>
    <xf numFmtId="9" fontId="23" fillId="8" borderId="0" xfId="3" applyFont="1" applyFill="1" applyBorder="1" applyAlignment="1">
      <alignment vertical="top" wrapText="1"/>
    </xf>
    <xf numFmtId="165" fontId="0" fillId="0" borderId="1" xfId="0" applyNumberFormat="1" applyBorder="1" applyAlignment="1">
      <alignment horizontal="center" vertical="center"/>
    </xf>
    <xf numFmtId="44" fontId="21" fillId="2" borderId="1" xfId="2" quotePrefix="1" applyFont="1" applyFill="1" applyBorder="1" applyAlignment="1">
      <alignment vertical="center"/>
    </xf>
    <xf numFmtId="0" fontId="24" fillId="0" borderId="4" xfId="0" applyFont="1" applyBorder="1" applyAlignment="1">
      <alignment horizontal="center" vertical="center"/>
    </xf>
    <xf numFmtId="0" fontId="24" fillId="0" borderId="4" xfId="0" applyFont="1" applyBorder="1" applyAlignment="1">
      <alignment horizontal="center" vertical="center" wrapText="1"/>
    </xf>
    <xf numFmtId="164" fontId="24" fillId="0" borderId="14" xfId="1" applyNumberFormat="1" applyFont="1" applyBorder="1" applyAlignment="1">
      <alignment wrapText="1"/>
    </xf>
    <xf numFmtId="0" fontId="3" fillId="0" borderId="2"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164" fontId="3" fillId="0" borderId="0" xfId="1" applyNumberFormat="1" applyFont="1"/>
    <xf numFmtId="0" fontId="4" fillId="0" borderId="1" xfId="0" applyFont="1" applyBorder="1"/>
    <xf numFmtId="0" fontId="3" fillId="0" borderId="6" xfId="0" applyFont="1" applyBorder="1" applyAlignment="1">
      <alignment horizontal="center" vertical="center" wrapText="1"/>
    </xf>
    <xf numFmtId="3" fontId="3" fillId="0" borderId="1" xfId="0" applyNumberFormat="1" applyFont="1" applyBorder="1" applyAlignment="1">
      <alignment horizontal="right" vertical="center"/>
    </xf>
    <xf numFmtId="3" fontId="3" fillId="0" borderId="1" xfId="1" applyNumberFormat="1" applyFont="1" applyFill="1" applyBorder="1" applyAlignment="1">
      <alignment horizontal="center" vertical="center"/>
    </xf>
    <xf numFmtId="164" fontId="3" fillId="0" borderId="1" xfId="1" applyNumberFormat="1" applyFont="1" applyBorder="1"/>
    <xf numFmtId="164" fontId="3" fillId="0" borderId="1" xfId="1" applyNumberFormat="1" applyFont="1" applyFill="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pplyProtection="1">
      <alignment horizontal="left" vertical="center" wrapText="1"/>
      <protection locked="0"/>
    </xf>
    <xf numFmtId="0" fontId="3" fillId="0" borderId="1" xfId="0" applyFont="1" applyBorder="1"/>
    <xf numFmtId="0" fontId="3" fillId="0" borderId="4" xfId="0" applyFont="1" applyBorder="1" applyAlignment="1">
      <alignment vertical="center"/>
    </xf>
    <xf numFmtId="0" fontId="3" fillId="2" borderId="1" xfId="0" applyFont="1" applyFill="1" applyBorder="1" applyAlignment="1">
      <alignment horizontal="center" vertical="center"/>
    </xf>
    <xf numFmtId="0" fontId="3" fillId="0" borderId="1" xfId="0" applyFont="1" applyBorder="1" applyAlignment="1">
      <alignment horizontal="left" vertical="center" wrapText="1"/>
    </xf>
    <xf numFmtId="3" fontId="3" fillId="0" borderId="3" xfId="1" applyNumberFormat="1" applyFont="1" applyFill="1" applyBorder="1" applyAlignment="1">
      <alignment horizontal="center" vertical="center"/>
    </xf>
    <xf numFmtId="0" fontId="3" fillId="2" borderId="1" xfId="0" applyFont="1" applyFill="1" applyBorder="1" applyAlignment="1">
      <alignment horizontal="left" vertical="center"/>
    </xf>
    <xf numFmtId="164" fontId="3" fillId="0" borderId="3" xfId="1" applyNumberFormat="1" applyFont="1" applyFill="1" applyBorder="1" applyAlignment="1">
      <alignment horizontal="center" vertical="center"/>
    </xf>
    <xf numFmtId="0" fontId="0" fillId="0" borderId="0" xfId="0" applyAlignment="1">
      <alignment horizontal="left"/>
    </xf>
    <xf numFmtId="0" fontId="3" fillId="0" borderId="5" xfId="0" applyFont="1" applyBorder="1" applyAlignment="1">
      <alignment horizontal="left" vertical="center"/>
    </xf>
    <xf numFmtId="0" fontId="0" fillId="0" borderId="0" xfId="0" pivotButton="1"/>
    <xf numFmtId="165" fontId="0" fillId="0" borderId="1" xfId="2" applyNumberFormat="1" applyFont="1" applyFill="1" applyBorder="1" applyAlignment="1">
      <alignment horizontal="center" vertical="center"/>
    </xf>
    <xf numFmtId="165" fontId="0" fillId="0" borderId="1" xfId="0" applyNumberFormat="1" applyFill="1" applyBorder="1" applyAlignment="1">
      <alignment horizontal="center" vertical="center"/>
    </xf>
    <xf numFmtId="17" fontId="6" fillId="4" borderId="3" xfId="2" applyNumberFormat="1" applyFont="1" applyFill="1" applyBorder="1" applyAlignment="1">
      <alignment horizontal="center" vertical="center"/>
    </xf>
    <xf numFmtId="0" fontId="18" fillId="0" borderId="1" xfId="0" applyFont="1" applyBorder="1" applyAlignment="1">
      <alignment horizontal="center" vertical="center"/>
    </xf>
    <xf numFmtId="0" fontId="0" fillId="0" borderId="0" xfId="0" applyNumberFormat="1"/>
    <xf numFmtId="44" fontId="4" fillId="0" borderId="1" xfId="0" applyNumberFormat="1" applyFont="1" applyBorder="1" applyAlignment="1">
      <alignment horizontal="center" vertical="center"/>
    </xf>
    <xf numFmtId="0" fontId="0" fillId="0" borderId="0" xfId="0" applyAlignment="1">
      <alignment horizontal="left" indent="1"/>
    </xf>
    <xf numFmtId="0" fontId="0" fillId="0" borderId="1" xfId="0" applyFont="1" applyBorder="1" applyAlignment="1">
      <alignment horizontal="left" indent="1"/>
    </xf>
    <xf numFmtId="0" fontId="6" fillId="0" borderId="1" xfId="0" applyFont="1" applyFill="1" applyBorder="1" applyAlignment="1">
      <alignment horizontal="center" vertical="center"/>
    </xf>
    <xf numFmtId="0" fontId="18" fillId="0" borderId="1" xfId="0" applyFont="1" applyBorder="1" applyAlignment="1">
      <alignment horizontal="center" vertical="center"/>
    </xf>
    <xf numFmtId="0" fontId="0" fillId="0" borderId="1" xfId="0" applyNumberFormat="1" applyFont="1" applyBorder="1" applyAlignment="1">
      <alignment horizontal="center"/>
    </xf>
    <xf numFmtId="0" fontId="0" fillId="0" borderId="0" xfId="0" applyAlignment="1">
      <alignment horizontal="left" indent="2"/>
    </xf>
    <xf numFmtId="0" fontId="0" fillId="0" borderId="0" xfId="0" applyFont="1" applyAlignment="1">
      <alignment horizontal="left" indent="2"/>
    </xf>
    <xf numFmtId="0" fontId="0" fillId="0" borderId="1" xfId="0" applyBorder="1"/>
    <xf numFmtId="10" fontId="0" fillId="0" borderId="1" xfId="0" applyNumberFormat="1" applyBorder="1"/>
    <xf numFmtId="9" fontId="0" fillId="0" borderId="1" xfId="0" applyNumberFormat="1" applyBorder="1"/>
    <xf numFmtId="168" fontId="0" fillId="0" borderId="1" xfId="3" applyNumberFormat="1" applyFont="1" applyBorder="1"/>
    <xf numFmtId="10" fontId="0" fillId="0" borderId="1" xfId="3" applyNumberFormat="1" applyFont="1" applyBorder="1"/>
    <xf numFmtId="0" fontId="6"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17" fontId="6" fillId="4" borderId="3" xfId="2" applyNumberFormat="1" applyFont="1" applyFill="1" applyBorder="1" applyAlignment="1">
      <alignment horizontal="center" vertical="center"/>
    </xf>
    <xf numFmtId="0" fontId="3" fillId="0" borderId="1" xfId="0" applyFont="1" applyFill="1" applyBorder="1" applyAlignment="1">
      <alignment horizontal="center" vertical="center"/>
    </xf>
    <xf numFmtId="165" fontId="6" fillId="0" borderId="1" xfId="0" applyNumberFormat="1" applyFont="1" applyFill="1" applyBorder="1" applyAlignment="1">
      <alignment horizontal="center" vertical="center"/>
    </xf>
    <xf numFmtId="165" fontId="18" fillId="0" borderId="1" xfId="0" applyNumberFormat="1" applyFont="1" applyBorder="1" applyAlignment="1">
      <alignment horizontal="center" vertical="center"/>
    </xf>
    <xf numFmtId="165" fontId="18" fillId="0" borderId="1" xfId="2" applyNumberFormat="1" applyFont="1" applyBorder="1" applyAlignment="1">
      <alignment horizontal="center" vertical="center"/>
    </xf>
    <xf numFmtId="15" fontId="0" fillId="0" borderId="0" xfId="0" applyNumberFormat="1"/>
    <xf numFmtId="0" fontId="0" fillId="0" borderId="0" xfId="0" applyFill="1" applyAlignment="1">
      <alignment horizontal="left" indent="2"/>
    </xf>
    <xf numFmtId="0" fontId="0" fillId="0" borderId="0" xfId="0" applyNumberFormat="1" applyFill="1"/>
    <xf numFmtId="0" fontId="0" fillId="0" borderId="0" xfId="0" applyFill="1"/>
    <xf numFmtId="0" fontId="0" fillId="0" borderId="0" xfId="0" applyFont="1" applyFill="1" applyAlignment="1">
      <alignment horizontal="left" indent="2"/>
    </xf>
    <xf numFmtId="0" fontId="0" fillId="0" borderId="0" xfId="0" applyFill="1" applyAlignment="1">
      <alignment horizontal="left" indent="1"/>
    </xf>
    <xf numFmtId="0" fontId="0" fillId="0" borderId="1" xfId="0" applyNumberFormat="1" applyBorder="1" applyAlignment="1">
      <alignment horizontal="center" vertical="center"/>
    </xf>
    <xf numFmtId="0" fontId="4" fillId="0" borderId="1" xfId="0" applyNumberFormat="1" applyFont="1" applyBorder="1" applyAlignment="1">
      <alignment horizontal="center" vertical="center"/>
    </xf>
    <xf numFmtId="0" fontId="20" fillId="2" borderId="1" xfId="0" applyFont="1" applyFill="1" applyBorder="1" applyAlignment="1">
      <alignment vertical="center"/>
    </xf>
    <xf numFmtId="9" fontId="21" fillId="2" borderId="1" xfId="0" applyNumberFormat="1" applyFont="1" applyFill="1" applyBorder="1" applyAlignment="1">
      <alignment vertical="center"/>
    </xf>
    <xf numFmtId="0" fontId="0" fillId="0" borderId="1" xfId="0" applyBorder="1" applyAlignment="1">
      <alignment horizontal="left" vertical="center"/>
    </xf>
    <xf numFmtId="10" fontId="21" fillId="2" borderId="1" xfId="0" applyNumberFormat="1" applyFont="1" applyFill="1" applyBorder="1" applyAlignment="1">
      <alignment vertical="center"/>
    </xf>
    <xf numFmtId="0" fontId="6" fillId="0" borderId="1" xfId="0" applyFont="1" applyBorder="1" applyAlignment="1">
      <alignment horizontal="left" vertical="center"/>
    </xf>
    <xf numFmtId="9" fontId="0" fillId="0" borderId="1" xfId="3" applyFont="1" applyBorder="1" applyAlignment="1">
      <alignment horizontal="right" vertical="center"/>
    </xf>
    <xf numFmtId="9" fontId="1" fillId="0" borderId="1" xfId="3" applyFont="1" applyBorder="1" applyAlignment="1">
      <alignment horizontal="right" vertical="center"/>
    </xf>
    <xf numFmtId="9" fontId="21" fillId="2" borderId="1" xfId="3" applyFont="1" applyFill="1" applyBorder="1" applyAlignment="1">
      <alignment vertical="center"/>
    </xf>
    <xf numFmtId="9" fontId="0" fillId="0" borderId="1" xfId="0" applyNumberFormat="1" applyFont="1" applyBorder="1" applyAlignment="1">
      <alignment horizontal="right" vertical="center"/>
    </xf>
    <xf numFmtId="0" fontId="6" fillId="0" borderId="3" xfId="0" applyFont="1" applyBorder="1" applyAlignment="1">
      <alignment vertical="center" wrapText="1"/>
    </xf>
    <xf numFmtId="0" fontId="6" fillId="0" borderId="5" xfId="0" applyFont="1" applyBorder="1" applyAlignment="1">
      <alignment vertical="center" wrapText="1"/>
    </xf>
    <xf numFmtId="0" fontId="0" fillId="0" borderId="0" xfId="0" applyBorder="1"/>
    <xf numFmtId="0" fontId="0" fillId="0" borderId="1" xfId="0" applyFont="1" applyBorder="1" applyAlignment="1">
      <alignment horizontal="right" vertical="center"/>
    </xf>
    <xf numFmtId="165" fontId="0" fillId="0" borderId="1" xfId="0" applyNumberFormat="1" applyBorder="1"/>
    <xf numFmtId="15" fontId="0" fillId="0" borderId="1" xfId="0" applyNumberFormat="1" applyBorder="1"/>
    <xf numFmtId="0" fontId="0" fillId="10" borderId="1" xfId="0" applyFill="1" applyBorder="1"/>
    <xf numFmtId="17" fontId="6" fillId="4" borderId="3" xfId="2" applyNumberFormat="1" applyFont="1" applyFill="1" applyBorder="1" applyAlignment="1">
      <alignment horizontal="center" vertical="center"/>
    </xf>
    <xf numFmtId="44" fontId="1" fillId="0" borderId="1" xfId="3" applyNumberFormat="1" applyFont="1" applyBorder="1" applyAlignment="1">
      <alignment horizontal="right" vertical="center"/>
    </xf>
    <xf numFmtId="44" fontId="0" fillId="0" borderId="1" xfId="0" applyNumberFormat="1" applyFont="1" applyBorder="1" applyAlignment="1">
      <alignment horizontal="right" vertical="center"/>
    </xf>
    <xf numFmtId="10" fontId="0" fillId="0" borderId="1" xfId="0" applyNumberFormat="1" applyFont="1" applyBorder="1" applyAlignment="1">
      <alignment horizontal="right" vertical="center"/>
    </xf>
    <xf numFmtId="44" fontId="21" fillId="2" borderId="1" xfId="3" applyNumberFormat="1" applyFont="1" applyFill="1" applyBorder="1" applyAlignment="1">
      <alignment vertical="center"/>
    </xf>
    <xf numFmtId="0" fontId="0" fillId="0" borderId="1" xfId="0" applyBorder="1" applyAlignment="1">
      <alignment horizontal="center"/>
    </xf>
    <xf numFmtId="9" fontId="21" fillId="2" borderId="1" xfId="0" applyNumberFormat="1" applyFont="1" applyFill="1" applyBorder="1" applyAlignment="1">
      <alignment horizontal="center" vertical="center"/>
    </xf>
    <xf numFmtId="44" fontId="21" fillId="2" borderId="1" xfId="3" applyNumberFormat="1" applyFont="1" applyFill="1" applyBorder="1" applyAlignment="1">
      <alignment horizontal="center" vertical="center"/>
    </xf>
    <xf numFmtId="10" fontId="21" fillId="2" borderId="1" xfId="0" applyNumberFormat="1" applyFont="1" applyFill="1" applyBorder="1" applyAlignment="1">
      <alignment horizontal="center" vertical="center"/>
    </xf>
    <xf numFmtId="0" fontId="21" fillId="2" borderId="3" xfId="0" applyFont="1" applyFill="1" applyBorder="1" applyAlignment="1">
      <alignment horizontal="center" vertical="center"/>
    </xf>
    <xf numFmtId="0" fontId="17" fillId="0" borderId="1" xfId="0" applyFont="1" applyBorder="1" applyAlignment="1">
      <alignment horizontal="left" vertical="center" wrapText="1"/>
    </xf>
    <xf numFmtId="166" fontId="21" fillId="4" borderId="3" xfId="1" applyNumberFormat="1" applyFont="1" applyFill="1" applyBorder="1" applyAlignment="1">
      <alignment vertical="center"/>
    </xf>
    <xf numFmtId="0" fontId="0" fillId="0" borderId="3" xfId="0" applyBorder="1" applyAlignment="1">
      <alignment vertical="center"/>
    </xf>
    <xf numFmtId="0" fontId="0" fillId="0" borderId="0" xfId="0" applyFill="1" applyBorder="1"/>
    <xf numFmtId="10" fontId="0" fillId="0" borderId="0" xfId="0" applyNumberFormat="1" applyFill="1" applyBorder="1"/>
    <xf numFmtId="9" fontId="0" fillId="0" borderId="0" xfId="0" applyNumberFormat="1" applyFill="1" applyBorder="1"/>
    <xf numFmtId="8" fontId="0" fillId="0" borderId="0" xfId="0" applyNumberFormat="1" applyFill="1" applyBorder="1"/>
    <xf numFmtId="165" fontId="0" fillId="0" borderId="0" xfId="0" applyNumberFormat="1" applyFill="1" applyBorder="1"/>
    <xf numFmtId="168" fontId="0" fillId="0" borderId="0" xfId="3" applyNumberFormat="1" applyFont="1" applyFill="1" applyBorder="1"/>
    <xf numFmtId="10" fontId="0" fillId="0" borderId="0" xfId="3" applyNumberFormat="1" applyFont="1" applyFill="1" applyBorder="1"/>
    <xf numFmtId="166" fontId="21" fillId="0" borderId="0" xfId="1" applyNumberFormat="1" applyFont="1" applyFill="1" applyBorder="1" applyAlignment="1">
      <alignment vertical="center"/>
    </xf>
    <xf numFmtId="0" fontId="0" fillId="0" borderId="0" xfId="0" applyFill="1" applyBorder="1" applyAlignment="1">
      <alignment horizontal="center" vertical="center"/>
    </xf>
    <xf numFmtId="9" fontId="0" fillId="0" borderId="0" xfId="3" applyFont="1" applyFill="1" applyBorder="1" applyAlignment="1">
      <alignment horizontal="center" vertical="center"/>
    </xf>
    <xf numFmtId="10" fontId="0" fillId="0" borderId="0" xfId="3" applyNumberFormat="1" applyFont="1" applyFill="1" applyBorder="1" applyAlignment="1">
      <alignment horizontal="center" vertical="center"/>
    </xf>
    <xf numFmtId="0" fontId="0" fillId="0" borderId="10" xfId="0" applyFill="1" applyBorder="1" applyAlignment="1">
      <alignment horizontal="left" vertical="top" wrapText="1" indent="1"/>
    </xf>
    <xf numFmtId="0" fontId="0" fillId="0" borderId="9" xfId="0" applyFill="1" applyBorder="1" applyAlignment="1">
      <alignment horizontal="left" vertical="top" wrapText="1" indent="1"/>
    </xf>
    <xf numFmtId="0" fontId="0" fillId="0" borderId="8" xfId="0" applyFill="1" applyBorder="1" applyAlignment="1">
      <alignment horizontal="left" vertical="top" wrapText="1" indent="1"/>
    </xf>
    <xf numFmtId="0" fontId="0" fillId="0" borderId="8" xfId="0" applyFill="1" applyBorder="1" applyAlignment="1">
      <alignment horizontal="left" vertical="center" wrapText="1" indent="1"/>
    </xf>
    <xf numFmtId="0" fontId="0" fillId="0" borderId="10" xfId="0" applyFill="1" applyBorder="1" applyAlignment="1">
      <alignment horizontal="left" vertical="center" wrapText="1" indent="1"/>
    </xf>
    <xf numFmtId="0" fontId="0" fillId="0" borderId="9" xfId="0" applyFill="1" applyBorder="1" applyAlignment="1">
      <alignment horizontal="left" vertical="center" wrapText="1" indent="1"/>
    </xf>
    <xf numFmtId="0" fontId="0" fillId="0" borderId="8" xfId="0" applyFill="1" applyBorder="1" applyAlignment="1">
      <alignment horizontal="left" vertical="center" wrapText="1"/>
    </xf>
    <xf numFmtId="0" fontId="0" fillId="0" borderId="10" xfId="0" applyFill="1" applyBorder="1" applyAlignment="1">
      <alignment horizontal="left" vertical="center" wrapText="1"/>
    </xf>
    <xf numFmtId="0" fontId="0" fillId="0" borderId="8" xfId="0" applyFill="1" applyBorder="1" applyAlignment="1">
      <alignment horizontal="left" wrapText="1" indent="1"/>
    </xf>
    <xf numFmtId="0" fontId="0" fillId="0" borderId="10" xfId="0" applyFill="1" applyBorder="1" applyAlignment="1">
      <alignment horizontal="left" wrapText="1" indent="1"/>
    </xf>
    <xf numFmtId="0" fontId="15" fillId="3" borderId="1"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4" xfId="0" applyFont="1" applyFill="1" applyBorder="1" applyAlignment="1">
      <alignment horizontal="center" vertical="center"/>
    </xf>
    <xf numFmtId="17" fontId="6" fillId="4" borderId="2" xfId="2" applyNumberFormat="1" applyFont="1" applyFill="1" applyBorder="1" applyAlignment="1">
      <alignment horizontal="center" vertical="center"/>
    </xf>
    <xf numFmtId="17" fontId="6" fillId="4" borderId="6" xfId="2" applyNumberFormat="1" applyFont="1" applyFill="1" applyBorder="1" applyAlignment="1">
      <alignment horizontal="center" vertical="center"/>
    </xf>
    <xf numFmtId="17" fontId="6" fillId="4" borderId="4" xfId="2" applyNumberFormat="1" applyFont="1" applyFill="1" applyBorder="1" applyAlignment="1">
      <alignment horizontal="center" vertical="center"/>
    </xf>
    <xf numFmtId="17" fontId="6" fillId="4" borderId="3" xfId="2" applyNumberFormat="1" applyFont="1" applyFill="1" applyBorder="1" applyAlignment="1">
      <alignment horizontal="center" vertical="center"/>
    </xf>
    <xf numFmtId="17" fontId="6" fillId="4" borderId="11" xfId="2" applyNumberFormat="1" applyFont="1" applyFill="1" applyBorder="1" applyAlignment="1">
      <alignment horizontal="center" vertical="center"/>
    </xf>
    <xf numFmtId="17" fontId="6" fillId="4" borderId="5" xfId="2" applyNumberFormat="1" applyFont="1" applyFill="1" applyBorder="1" applyAlignment="1">
      <alignment horizontal="center" vertical="center"/>
    </xf>
    <xf numFmtId="0" fontId="15" fillId="3" borderId="1" xfId="0" applyFont="1" applyFill="1" applyBorder="1" applyAlignment="1">
      <alignment horizontal="center" vertical="center" wrapText="1"/>
    </xf>
    <xf numFmtId="0" fontId="18" fillId="0" borderId="1" xfId="0" applyFont="1" applyBorder="1" applyAlignment="1">
      <alignment horizontal="center" vertical="center"/>
    </xf>
    <xf numFmtId="0" fontId="15" fillId="3" borderId="1" xfId="0" applyFont="1" applyFill="1" applyBorder="1" applyAlignment="1">
      <alignment horizontal="center" wrapText="1"/>
    </xf>
    <xf numFmtId="9" fontId="19" fillId="0" borderId="1" xfId="3" applyFont="1" applyFill="1" applyBorder="1" applyAlignment="1">
      <alignment horizontal="left" vertical="center" wrapText="1"/>
    </xf>
    <xf numFmtId="0" fontId="19" fillId="0" borderId="1" xfId="0" applyFont="1" applyFill="1" applyBorder="1" applyAlignment="1">
      <alignment horizontal="lef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left"/>
    </xf>
    <xf numFmtId="0" fontId="0" fillId="0" borderId="1" xfId="0" applyBorder="1" applyAlignment="1">
      <alignment horizontal="center" vertical="top"/>
    </xf>
    <xf numFmtId="0" fontId="0" fillId="0" borderId="3" xfId="0" applyBorder="1" applyAlignment="1">
      <alignment horizontal="center" vertical="top"/>
    </xf>
    <xf numFmtId="0" fontId="22" fillId="0" borderId="1" xfId="0" applyFont="1" applyFill="1" applyBorder="1" applyAlignment="1">
      <alignment horizontal="left" wrapText="1"/>
    </xf>
    <xf numFmtId="0" fontId="6" fillId="2" borderId="1" xfId="0" applyFont="1" applyFill="1" applyBorder="1" applyAlignment="1">
      <alignment vertical="center"/>
    </xf>
    <xf numFmtId="0" fontId="6" fillId="0" borderId="1" xfId="0" applyFont="1" applyBorder="1" applyAlignment="1">
      <alignment horizontal="center" vertical="center"/>
    </xf>
    <xf numFmtId="0" fontId="6" fillId="4" borderId="1" xfId="0" applyFont="1" applyFill="1" applyBorder="1" applyAlignment="1">
      <alignment vertical="center"/>
    </xf>
    <xf numFmtId="0" fontId="6" fillId="0" borderId="1" xfId="0" applyFont="1" applyBorder="1" applyAlignment="1">
      <alignment vertical="center"/>
    </xf>
    <xf numFmtId="44" fontId="0" fillId="0" borderId="1" xfId="2" applyFont="1" applyBorder="1" applyAlignment="1">
      <alignment vertical="center"/>
    </xf>
    <xf numFmtId="0" fontId="0" fillId="0" borderId="1" xfId="0" applyBorder="1" applyAlignment="1">
      <alignment vertical="center" wrapText="1"/>
    </xf>
    <xf numFmtId="0" fontId="0" fillId="6" borderId="1" xfId="0" applyFill="1" applyBorder="1" applyAlignment="1">
      <alignmen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vertical="center" wrapText="1"/>
    </xf>
    <xf numFmtId="0" fontId="6" fillId="0" borderId="1" xfId="0" applyFont="1" applyBorder="1" applyAlignment="1">
      <alignment horizontal="left"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5" fillId="3" borderId="1" xfId="0" applyFont="1" applyFill="1" applyBorder="1" applyAlignment="1">
      <alignment vertical="center"/>
    </xf>
    <xf numFmtId="0" fontId="20" fillId="2" borderId="3" xfId="0" applyFont="1" applyFill="1" applyBorder="1" applyAlignment="1">
      <alignment horizontal="left" vertical="center"/>
    </xf>
    <xf numFmtId="0" fontId="20" fillId="2" borderId="5" xfId="0" applyFont="1" applyFill="1" applyBorder="1" applyAlignment="1">
      <alignment horizontal="left" vertical="center"/>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44" fontId="15" fillId="3" borderId="1" xfId="2" applyFont="1" applyFill="1" applyBorder="1" applyAlignment="1">
      <alignment horizontal="center" vertical="center" wrapText="1"/>
    </xf>
    <xf numFmtId="0" fontId="6" fillId="4" borderId="1" xfId="0" applyFont="1" applyFill="1" applyBorder="1" applyAlignment="1">
      <alignment horizontal="center" vertical="center"/>
    </xf>
    <xf numFmtId="17" fontId="6" fillId="4" borderId="1" xfId="2" applyNumberFormat="1" applyFont="1" applyFill="1" applyBorder="1" applyAlignment="1">
      <alignment horizontal="center" vertical="center" wrapText="1"/>
    </xf>
    <xf numFmtId="0" fontId="26" fillId="0" borderId="3" xfId="0" applyFont="1" applyBorder="1" applyAlignment="1">
      <alignment horizontal="left"/>
    </xf>
    <xf numFmtId="0" fontId="26" fillId="0" borderId="11" xfId="0" applyFont="1" applyBorder="1" applyAlignment="1">
      <alignment horizontal="left"/>
    </xf>
    <xf numFmtId="0" fontId="26" fillId="0" borderId="5" xfId="0" applyFont="1" applyBorder="1" applyAlignment="1">
      <alignment horizontal="left"/>
    </xf>
    <xf numFmtId="0" fontId="20" fillId="2" borderId="3" xfId="0" applyFont="1" applyFill="1" applyBorder="1" applyAlignment="1">
      <alignment horizontal="center" vertical="top"/>
    </xf>
    <xf numFmtId="0" fontId="20" fillId="2" borderId="11" xfId="0" applyFont="1" applyFill="1" applyBorder="1" applyAlignment="1">
      <alignment horizontal="center" vertical="top"/>
    </xf>
    <xf numFmtId="0" fontId="20" fillId="2" borderId="5" xfId="0" applyFont="1" applyFill="1" applyBorder="1" applyAlignment="1">
      <alignment horizontal="center" vertical="top"/>
    </xf>
    <xf numFmtId="0" fontId="6" fillId="4" borderId="3" xfId="0" applyFont="1" applyFill="1" applyBorder="1" applyAlignment="1">
      <alignment horizontal="left" vertical="top" wrapText="1"/>
    </xf>
    <xf numFmtId="0" fontId="6" fillId="4" borderId="5" xfId="0" applyFont="1" applyFill="1" applyBorder="1" applyAlignment="1">
      <alignment horizontal="left" vertical="top" wrapText="1"/>
    </xf>
    <xf numFmtId="167" fontId="17" fillId="0" borderId="15" xfId="2" applyNumberFormat="1" applyFont="1" applyBorder="1" applyAlignment="1">
      <alignment horizontal="center" vertical="top"/>
    </xf>
    <xf numFmtId="167" fontId="17" fillId="0" borderId="16" xfId="2" applyNumberFormat="1" applyFont="1" applyBorder="1" applyAlignment="1">
      <alignment horizontal="center" vertical="top"/>
    </xf>
    <xf numFmtId="167" fontId="17" fillId="0" borderId="12" xfId="2" applyNumberFormat="1" applyFont="1" applyBorder="1" applyAlignment="1">
      <alignment horizontal="center" vertical="top"/>
    </xf>
    <xf numFmtId="167" fontId="17" fillId="0" borderId="14" xfId="2" applyNumberFormat="1" applyFont="1" applyBorder="1" applyAlignment="1">
      <alignment horizontal="center" vertical="top"/>
    </xf>
    <xf numFmtId="167" fontId="17" fillId="0" borderId="17" xfId="2" applyNumberFormat="1" applyFont="1" applyBorder="1" applyAlignment="1">
      <alignment horizontal="center" vertical="top"/>
    </xf>
    <xf numFmtId="167" fontId="17" fillId="0" borderId="13" xfId="2" applyNumberFormat="1" applyFont="1" applyBorder="1" applyAlignment="1">
      <alignment horizontal="center" vertical="top"/>
    </xf>
    <xf numFmtId="0" fontId="17" fillId="0" borderId="3" xfId="0" applyFont="1" applyBorder="1" applyAlignment="1">
      <alignment horizontal="center"/>
    </xf>
    <xf numFmtId="0" fontId="17" fillId="0" borderId="11" xfId="0" applyFont="1" applyBorder="1" applyAlignment="1">
      <alignment horizontal="center"/>
    </xf>
    <xf numFmtId="0" fontId="17" fillId="0" borderId="5" xfId="0" applyFont="1" applyBorder="1" applyAlignment="1">
      <alignment horizontal="center"/>
    </xf>
    <xf numFmtId="44" fontId="17" fillId="0" borderId="15" xfId="2" applyFont="1" applyBorder="1" applyAlignment="1">
      <alignment horizontal="center"/>
    </xf>
    <xf numFmtId="44" fontId="17" fillId="0" borderId="16" xfId="2" applyFont="1" applyBorder="1" applyAlignment="1">
      <alignment horizontal="center"/>
    </xf>
    <xf numFmtId="44" fontId="17" fillId="0" borderId="12" xfId="2" applyFont="1" applyBorder="1" applyAlignment="1">
      <alignment horizontal="center"/>
    </xf>
    <xf numFmtId="44" fontId="17" fillId="0" borderId="14" xfId="2" applyFont="1" applyBorder="1" applyAlignment="1">
      <alignment horizontal="center"/>
    </xf>
    <xf numFmtId="44" fontId="17" fillId="0" borderId="17" xfId="2" applyFont="1" applyBorder="1" applyAlignment="1">
      <alignment horizontal="center"/>
    </xf>
    <xf numFmtId="44" fontId="17" fillId="0" borderId="13" xfId="2" applyFont="1" applyBorder="1" applyAlignment="1">
      <alignment horizontal="center"/>
    </xf>
    <xf numFmtId="0" fontId="17" fillId="2" borderId="3" xfId="0" applyFont="1" applyFill="1" applyBorder="1" applyAlignment="1">
      <alignment horizontal="center"/>
    </xf>
    <xf numFmtId="0" fontId="17" fillId="2" borderId="11" xfId="0" applyFont="1" applyFill="1" applyBorder="1" applyAlignment="1">
      <alignment horizontal="center"/>
    </xf>
    <xf numFmtId="0" fontId="17" fillId="2" borderId="5" xfId="0" applyFont="1" applyFill="1" applyBorder="1" applyAlignment="1">
      <alignment horizontal="center"/>
    </xf>
    <xf numFmtId="0" fontId="6" fillId="4" borderId="3" xfId="0" applyFont="1" applyFill="1" applyBorder="1" applyAlignment="1">
      <alignment horizontal="left" vertical="top"/>
    </xf>
    <xf numFmtId="0" fontId="6" fillId="4" borderId="5" xfId="0" applyFont="1" applyFill="1" applyBorder="1" applyAlignment="1">
      <alignment horizontal="left" vertical="top"/>
    </xf>
  </cellXfs>
  <cellStyles count="7">
    <cellStyle name="Comma" xfId="1" builtinId="3"/>
    <cellStyle name="Comma 2" xfId="5"/>
    <cellStyle name="Currency" xfId="2" builtinId="4"/>
    <cellStyle name="Currency 2" xfId="6"/>
    <cellStyle name="Normal" xfId="0" builtinId="0"/>
    <cellStyle name="Normal 2" xfId="4"/>
    <cellStyle name="Percent" xfId="3" builtinId="5"/>
  </cellStyles>
  <dxfs count="21">
    <dxf>
      <border outline="0">
        <top style="thin">
          <color indexed="64"/>
        </top>
      </border>
    </dxf>
    <dxf>
      <border outline="0">
        <bottom style="thin">
          <color indexed="64"/>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
      <alignment horizont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9702</xdr:colOff>
      <xdr:row>22</xdr:row>
      <xdr:rowOff>38100</xdr:rowOff>
    </xdr:to>
    <xdr:pic>
      <xdr:nvPicPr>
        <xdr:cNvPr id="2" name="Picture 1" descr="Screen Clipping">
          <a:extLst>
            <a:ext uri="{FF2B5EF4-FFF2-40B4-BE49-F238E27FC236}">
              <a16:creationId xmlns=""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31682" cy="4229100"/>
        </a:xfrm>
        <a:prstGeom prst="rect">
          <a:avLst/>
        </a:prstGeom>
      </xdr:spPr>
    </xdr:pic>
    <xdr:clientData/>
  </xdr:twoCellAnchor>
  <xdr:twoCellAnchor editAs="oneCell">
    <xdr:from>
      <xdr:col>2</xdr:col>
      <xdr:colOff>30480</xdr:colOff>
      <xdr:row>26</xdr:row>
      <xdr:rowOff>160020</xdr:rowOff>
    </xdr:from>
    <xdr:to>
      <xdr:col>9</xdr:col>
      <xdr:colOff>739740</xdr:colOff>
      <xdr:row>55</xdr:row>
      <xdr:rowOff>30928</xdr:rowOff>
    </xdr:to>
    <xdr:pic>
      <xdr:nvPicPr>
        <xdr:cNvPr id="3" name="Picture 2">
          <a:extLst>
            <a:ext uri="{FF2B5EF4-FFF2-40B4-BE49-F238E27FC236}">
              <a16:creationId xmlns="" xmlns:a16="http://schemas.microsoft.com/office/drawing/2014/main" id="{60DA7A84-348B-4428-8461-EAED12FC99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9680" y="4914900"/>
          <a:ext cx="6927180" cy="51744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inee4/Desktop/pdr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Provided(Inventory list-I)"/>
      <sheetName val="Inventory list-Phase 2"/>
      <sheetName val="Inventory list-Phase 3"/>
      <sheetName val=" G+1 floor shop"/>
      <sheetName val="Data Provided"/>
      <sheetName val="Recievables"/>
      <sheetName val="Flat Details"/>
      <sheetName val="Absorption Rate"/>
      <sheetName val="Residential &amp; Commercial Inflow"/>
      <sheetName val="Inflow"/>
      <sheetName val="Inventory Details"/>
      <sheetName val="Total Outflow"/>
      <sheetName val="DCF"/>
      <sheetName val="Consolidated Summary"/>
      <sheetName val="Ph-I Valuation"/>
      <sheetName val="Grand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E7">
            <v>27</v>
          </cell>
          <cell r="G7">
            <v>308700</v>
          </cell>
          <cell r="H7">
            <v>20800</v>
          </cell>
          <cell r="I7">
            <v>329500</v>
          </cell>
        </row>
      </sheetData>
      <sheetData sheetId="12" refreshError="1"/>
      <sheetData sheetId="13" refreshError="1"/>
      <sheetData sheetId="14" refreshError="1"/>
      <sheetData sheetId="15" refreshError="1"/>
      <sheetData sheetId="1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engineer11\Downloads\pdrl.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microsoft.com/office/2006/relationships/xlExternalLinkPath/xlPathMissing" Target="FLAT%20ACdlk%20DREAMS.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4684.640584490742" createdVersion="7" refreshedVersion="7" minRefreshableVersion="3" recordCount="60">
  <cacheSource type="worksheet">
    <worksheetSource ref="B3:K63" sheet="Sheet2" r:id="rId2"/>
  </cacheSource>
  <cacheFields count="10">
    <cacheField name="Column1" numFmtId="0">
      <sharedItems containsBlank="1"/>
    </cacheField>
    <cacheField name="Name of Customer" numFmtId="0">
      <sharedItems containsBlank="1"/>
    </cacheField>
    <cacheField name="Unit No." numFmtId="0">
      <sharedItems containsBlank="1" containsMixedTypes="1" containsNumber="1" containsInteger="1" minValue="102" maxValue="2704"/>
    </cacheField>
    <cacheField name="Column2" numFmtId="0">
      <sharedItems containsBlank="1" count="6">
        <m/>
        <s v="2 bhk + Terrace"/>
        <s v="2 BHK"/>
        <s v="2.5 BHK"/>
        <s v="3 BHK"/>
        <s v="3 bhk+Terrace"/>
      </sharedItems>
    </cacheField>
    <cacheField name="Purpose" numFmtId="0">
      <sharedItems containsBlank="1" count="4">
        <m/>
        <s v="Sale"/>
        <s v="unsold"/>
        <s v="Refugee"/>
      </sharedItems>
    </cacheField>
    <cacheField name="Registration Done" numFmtId="0">
      <sharedItems containsBlank="1" containsMixedTypes="1" containsNumber="1" containsInteger="1" minValue="0" maxValue="0"/>
    </cacheField>
    <cacheField name="AGREEMENT" numFmtId="0">
      <sharedItems containsString="0" containsBlank="1" containsNumber="1" containsInteger="1" minValue="11600000" maxValue="21521523"/>
    </cacheField>
    <cacheField name="gst" numFmtId="0">
      <sharedItems containsString="0" containsBlank="1" containsNumber="1" minValue="1392000" maxValue="2582582.7599999998"/>
    </cacheField>
    <cacheField name="Received Amt" numFmtId="0">
      <sharedItems containsString="0" containsBlank="1" containsNumber="1" containsInteger="1" minValue="100000" maxValue="16244446"/>
    </cacheField>
    <cacheField name="Balance amt" numFmtId="0">
      <sharedItems containsString="0" containsBlank="1" containsNumber="1" minValue="0" maxValue="1670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4684.742107754631" createdVersion="7" refreshedVersion="7" minRefreshableVersion="3" recordCount="60">
  <cacheSource type="worksheet">
    <worksheetSource ref="B3:K63" sheet="Sheet2" r:id="rId2"/>
  </cacheSource>
  <cacheFields count="10">
    <cacheField name="Column1" numFmtId="0">
      <sharedItems containsBlank="1" count="19">
        <s v="1st floor"/>
        <m/>
        <s v="2nd"/>
        <s v="5th"/>
        <s v="11th"/>
        <s v="14th FLOOR"/>
        <s v="15th Floor"/>
        <s v="16th FLOOR"/>
        <s v="17th FLOOR"/>
        <s v="18th FLOOR"/>
        <s v="19th FLOOR"/>
        <s v="20th FLOOR"/>
        <s v="21st FLOOR"/>
        <s v="22nd FLOOR"/>
        <s v="23rd FLOOR"/>
        <s v="24th FLOOR"/>
        <s v="25th FLOOR"/>
        <s v="26th FLOOR"/>
        <s v="27th FLOOR"/>
      </sharedItems>
    </cacheField>
    <cacheField name="Name of Customer" numFmtId="0">
      <sharedItems containsBlank="1"/>
    </cacheField>
    <cacheField name="Unit No." numFmtId="0">
      <sharedItems containsBlank="1" containsMixedTypes="1" containsNumber="1" containsInteger="1" minValue="102" maxValue="2704" count="57">
        <s v=" "/>
        <n v="102"/>
        <n v="103"/>
        <m/>
        <n v="201"/>
        <n v="204"/>
        <n v="504"/>
        <n v="1104"/>
        <n v="1401"/>
        <n v="1502"/>
        <n v="1503"/>
        <n v="1504"/>
        <n v="1601"/>
        <n v="1602"/>
        <n v="1603"/>
        <n v="1604"/>
        <n v="1701"/>
        <n v="1702"/>
        <n v="1704"/>
        <n v="1801"/>
        <n v="1802"/>
        <n v="1803"/>
        <n v="1804"/>
        <n v="1901"/>
        <n v="1902"/>
        <n v="1903"/>
        <n v="1904"/>
        <n v="2001"/>
        <n v="2002"/>
        <n v="2003"/>
        <n v="2004"/>
        <n v="2101"/>
        <n v="2102"/>
        <n v="2103"/>
        <n v="2104"/>
        <n v="2201"/>
        <n v="2202"/>
        <n v="2204"/>
        <n v="2301"/>
        <n v="2302"/>
        <n v="2303"/>
        <n v="2304"/>
        <n v="2401"/>
        <n v="2402"/>
        <n v="2403"/>
        <n v="2404"/>
        <n v="2501"/>
        <n v="2502"/>
        <n v="2503"/>
        <n v="2504"/>
        <n v="2601"/>
        <n v="2602"/>
        <n v="2603"/>
        <n v="2604"/>
        <n v="2701"/>
        <n v="2702"/>
        <n v="2704"/>
      </sharedItems>
    </cacheField>
    <cacheField name="Column2" numFmtId="0">
      <sharedItems containsBlank="1" count="6">
        <m/>
        <s v="2 bhk + Terrace"/>
        <s v="2 BHK"/>
        <s v="2.5 BHK"/>
        <s v="3 BHK"/>
        <s v="3 bhk+Terrace"/>
      </sharedItems>
    </cacheField>
    <cacheField name="Purpose" numFmtId="0">
      <sharedItems containsBlank="1" count="4">
        <m/>
        <s v="Sale"/>
        <s v="unsold"/>
        <s v="Refugee"/>
      </sharedItems>
    </cacheField>
    <cacheField name="Registration Done" numFmtId="0">
      <sharedItems containsBlank="1" containsMixedTypes="1" containsNumber="1" containsInteger="1" minValue="0" maxValue="0"/>
    </cacheField>
    <cacheField name="AGREEMENT" numFmtId="0">
      <sharedItems containsString="0" containsBlank="1" containsNumber="1" containsInteger="1" minValue="11600000" maxValue="21521523"/>
    </cacheField>
    <cacheField name="gst" numFmtId="0">
      <sharedItems containsString="0" containsBlank="1" containsNumber="1" minValue="1392000" maxValue="2582582.7599999998"/>
    </cacheField>
    <cacheField name="Received Amt" numFmtId="0">
      <sharedItems containsString="0" containsBlank="1" containsNumber="1" containsInteger="1" minValue="100000" maxValue="16244446"/>
    </cacheField>
    <cacheField name="Balance amt" numFmtId="0">
      <sharedItems containsString="0" containsBlank="1" containsNumber="1" minValue="0" maxValue="167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0">
  <r>
    <s v="1st floor"/>
    <s v="Club House "/>
    <s v=" "/>
    <x v="0"/>
    <x v="0"/>
    <m/>
    <m/>
    <m/>
    <m/>
    <m/>
  </r>
  <r>
    <m/>
    <s v="Mr. Mahendra Ganpat Mhaske"/>
    <n v="102"/>
    <x v="1"/>
    <x v="1"/>
    <s v="YES"/>
    <n v="12000000"/>
    <n v="1440000"/>
    <n v="4600000"/>
    <n v="8840000"/>
  </r>
  <r>
    <m/>
    <m/>
    <n v="103"/>
    <x v="1"/>
    <x v="2"/>
    <m/>
    <m/>
    <m/>
    <m/>
    <n v="0"/>
  </r>
  <r>
    <m/>
    <s v="Club House "/>
    <m/>
    <x v="0"/>
    <x v="0"/>
    <m/>
    <m/>
    <m/>
    <m/>
    <n v="0"/>
  </r>
  <r>
    <s v="2nd"/>
    <m/>
    <n v="201"/>
    <x v="1"/>
    <x v="2"/>
    <m/>
    <m/>
    <m/>
    <m/>
    <n v="0"/>
  </r>
  <r>
    <s v="2nd"/>
    <s v="Mr.Vishvesh Kavdi"/>
    <n v="204"/>
    <x v="1"/>
    <x v="1"/>
    <s v="YES"/>
    <n v="16434869"/>
    <n v="1972184.28"/>
    <n v="12484920"/>
    <n v="5922133.2800000012"/>
  </r>
  <r>
    <s v="5th"/>
    <s v="Mr.Vishwas Vijay Vaidya"/>
    <n v="504"/>
    <x v="2"/>
    <x v="1"/>
    <s v="YES"/>
    <n v="16067797"/>
    <n v="1928135.64"/>
    <n v="12035254"/>
    <n v="5960678.6400000006"/>
  </r>
  <r>
    <s v="11th"/>
    <s v="Mrs Deepa Chhatre"/>
    <n v="1104"/>
    <x v="3"/>
    <x v="1"/>
    <s v="YES"/>
    <n v="16866848"/>
    <n v="2024021.76"/>
    <n v="12826097"/>
    <n v="6064772.7600000016"/>
  </r>
  <r>
    <s v="14th FLOOR"/>
    <s v="Mrs.Karndikar"/>
    <n v="1401"/>
    <x v="4"/>
    <x v="1"/>
    <n v="0"/>
    <n v="18434000"/>
    <n v="2212080"/>
    <n v="13873428"/>
    <n v="6772652"/>
  </r>
  <r>
    <s v="15th Floor"/>
    <s v="Mr. Ujwal Deskmukh"/>
    <n v="1502"/>
    <x v="1"/>
    <x v="1"/>
    <s v="YES"/>
    <n v="12958552"/>
    <n v="1555026.24"/>
    <n v="5238466"/>
    <n v="9275112.2400000002"/>
  </r>
  <r>
    <m/>
    <s v="Mrs. Varsha Deskmukh"/>
    <n v="1503"/>
    <x v="1"/>
    <x v="1"/>
    <s v="YES"/>
    <n v="12958552"/>
    <n v="1555026.24"/>
    <n v="14500000"/>
    <n v="13578.240000000224"/>
  </r>
  <r>
    <m/>
    <s v="Mr. Vinay D. Thakurdesai / Manjusha V Thakurdesai"/>
    <n v="1504"/>
    <x v="5"/>
    <x v="1"/>
    <s v="YES"/>
    <n v="15500000"/>
    <n v="1860000"/>
    <n v="11804800"/>
    <n v="5555200"/>
  </r>
  <r>
    <s v="16th FLOOR"/>
    <m/>
    <n v="1601"/>
    <x v="4"/>
    <x v="2"/>
    <m/>
    <m/>
    <m/>
    <m/>
    <n v="0"/>
  </r>
  <r>
    <m/>
    <s v=" "/>
    <n v="1602"/>
    <x v="2"/>
    <x v="2"/>
    <m/>
    <m/>
    <m/>
    <m/>
    <n v="0"/>
  </r>
  <r>
    <m/>
    <s v="Mr. Deepak N. Nawathe "/>
    <n v="1603"/>
    <x v="2"/>
    <x v="1"/>
    <s v="YES"/>
    <n v="11833412"/>
    <n v="1420009.44"/>
    <n v="9008777"/>
    <n v="4244644.4399999995"/>
  </r>
  <r>
    <m/>
    <s v="Ms. Seema Sanjay Mokal / Akshay S. Mokal"/>
    <n v="1604"/>
    <x v="4"/>
    <x v="1"/>
    <s v="YES"/>
    <n v="15300345"/>
    <n v="1836041.4"/>
    <n v="11652691"/>
    <n v="5483695.3999999985"/>
  </r>
  <r>
    <s v="17th FLOOR"/>
    <s v="Mr. Avinash Joshi"/>
    <n v="1701"/>
    <x v="4"/>
    <x v="1"/>
    <s v="YES"/>
    <n v="17561215"/>
    <n v="2107345.7999999998"/>
    <n v="13368458"/>
    <n v="6300102.8000000007"/>
  </r>
  <r>
    <m/>
    <s v="Mr. Mandar S. Ghole "/>
    <n v="1702"/>
    <x v="2"/>
    <x v="1"/>
    <s v="YES"/>
    <n v="13374645"/>
    <n v="1604957.4"/>
    <n v="10184790"/>
    <n v="4794812.4000000004"/>
  </r>
  <r>
    <m/>
    <s v="REFUGEE"/>
    <m/>
    <x v="0"/>
    <x v="3"/>
    <m/>
    <m/>
    <m/>
    <m/>
    <n v="0"/>
  </r>
  <r>
    <m/>
    <s v="Mrs. Reshma V Chavan"/>
    <n v="1704"/>
    <x v="4"/>
    <x v="1"/>
    <s v="YES"/>
    <n v="11600000"/>
    <n v="1392000"/>
    <n v="9955680"/>
    <n v="3036320"/>
  </r>
  <r>
    <s v="18th FLOOR"/>
    <s v="Sajal Boricha "/>
    <n v="1801"/>
    <x v="4"/>
    <x v="1"/>
    <s v="YES"/>
    <n v="15000000"/>
    <n v="1800000"/>
    <n v="100000"/>
    <n v="16700000"/>
  </r>
  <r>
    <m/>
    <s v="Sajal Boricha "/>
    <n v="1802"/>
    <x v="2"/>
    <x v="1"/>
    <s v="YES"/>
    <n v="12000000"/>
    <n v="1440000"/>
    <n v="100000"/>
    <n v="13340000"/>
  </r>
  <r>
    <m/>
    <s v="Sajal Boricha "/>
    <n v="1803"/>
    <x v="2"/>
    <x v="1"/>
    <s v="YES"/>
    <n v="12000000"/>
    <n v="1440000"/>
    <n v="100000"/>
    <n v="13340000"/>
  </r>
  <r>
    <m/>
    <s v="Sajal Boricha "/>
    <n v="1804"/>
    <x v="4"/>
    <x v="1"/>
    <s v="YES"/>
    <n v="15000000"/>
    <n v="1800000"/>
    <n v="100000"/>
    <n v="16700000"/>
  </r>
  <r>
    <s v="19th FLOOR"/>
    <s v="Sajal Boricha "/>
    <n v="1901"/>
    <x v="4"/>
    <x v="1"/>
    <s v="YES"/>
    <n v="15000000"/>
    <n v="1800000"/>
    <n v="100000"/>
    <n v="16700000"/>
  </r>
  <r>
    <m/>
    <s v="Mr. Devesh C Deskmukh"/>
    <n v="1902"/>
    <x v="2"/>
    <x v="1"/>
    <s v="YES"/>
    <n v="14498664"/>
    <n v="1739839.68"/>
    <n v="11088579"/>
    <n v="5149924.68"/>
  </r>
  <r>
    <m/>
    <s v="Mrs.Prajakta Vaman Salvi"/>
    <n v="1903"/>
    <x v="2"/>
    <x v="1"/>
    <s v="Not reg"/>
    <n v="13949153"/>
    <n v="1673898.3599999999"/>
    <n v="3000000"/>
    <n v="12623051.359999999"/>
  </r>
  <r>
    <m/>
    <s v="Mr. Vijay Sakpale"/>
    <n v="1904"/>
    <x v="4"/>
    <x v="1"/>
    <s v="YES"/>
    <n v="14256867"/>
    <n v="1710824.04"/>
    <n v="14592670"/>
    <n v="1375021.0399999991"/>
  </r>
  <r>
    <s v="20th FLOOR"/>
    <s v="Mr. Sandeep Mone "/>
    <n v="2001"/>
    <x v="4"/>
    <x v="1"/>
    <s v="YES"/>
    <n v="17300345"/>
    <n v="2076041.4"/>
    <n v="15200345"/>
    <n v="4176041.3999999985"/>
  </r>
  <r>
    <m/>
    <m/>
    <n v="2002"/>
    <x v="2"/>
    <x v="2"/>
    <m/>
    <m/>
    <m/>
    <m/>
    <n v="0"/>
  </r>
  <r>
    <m/>
    <s v="Mr. Shavachardra Mulay"/>
    <n v="2003"/>
    <x v="2"/>
    <x v="1"/>
    <s v="YES"/>
    <n v="15398630"/>
    <n v="1847835.5999999999"/>
    <n v="11716817"/>
    <n v="5529648.6000000015"/>
  </r>
  <r>
    <m/>
    <s v="`"/>
    <n v="2004"/>
    <x v="4"/>
    <x v="2"/>
    <m/>
    <m/>
    <m/>
    <m/>
    <n v="0"/>
  </r>
  <r>
    <s v="21st FLOOR"/>
    <s v="Mr.Mukesh Malve"/>
    <n v="2101"/>
    <x v="4"/>
    <x v="1"/>
    <s v="YES"/>
    <n v="14240940"/>
    <m/>
    <n v="14098531"/>
    <n v="142409"/>
  </r>
  <r>
    <m/>
    <s v="Mrs.Nisha a Desai"/>
    <n v="2102"/>
    <x v="2"/>
    <x v="1"/>
    <s v="YES"/>
    <n v="14963847"/>
    <n v="1795661.64"/>
    <n v="11376660"/>
    <n v="5382848.6400000006"/>
  </r>
  <r>
    <m/>
    <s v="Mr. Rahul Mahajan"/>
    <n v="2103"/>
    <x v="2"/>
    <x v="1"/>
    <s v="YES"/>
    <n v="12268195"/>
    <n v="1472183.4"/>
    <n v="9339777"/>
    <n v="4400601.4000000004"/>
  </r>
  <r>
    <m/>
    <s v="Mr.Swanand C Wakankar"/>
    <n v="2104"/>
    <x v="4"/>
    <x v="1"/>
    <s v="Not reg"/>
    <n v="20305085"/>
    <n v="2436610.1999999997"/>
    <n v="15316278"/>
    <n v="7425417.1999999993"/>
  </r>
  <r>
    <s v="22nd FLOOR"/>
    <m/>
    <n v="2201"/>
    <x v="4"/>
    <x v="2"/>
    <m/>
    <m/>
    <m/>
    <m/>
    <n v="0"/>
  </r>
  <r>
    <m/>
    <m/>
    <n v="2202"/>
    <x v="2"/>
    <x v="2"/>
    <m/>
    <m/>
    <m/>
    <m/>
    <n v="0"/>
  </r>
  <r>
    <m/>
    <s v="REFUGEE"/>
    <m/>
    <x v="0"/>
    <x v="3"/>
    <m/>
    <m/>
    <m/>
    <m/>
    <n v="0"/>
  </r>
  <r>
    <m/>
    <s v="Mr. Subodh Datttatray Thanekar "/>
    <n v="2204"/>
    <x v="4"/>
    <x v="1"/>
    <s v="YES"/>
    <n v="14063900"/>
    <n v="1687668"/>
    <n v="10615432"/>
    <n v="5136136"/>
  </r>
  <r>
    <s v="23rd FLOOR"/>
    <s v="Mr. Suresh V. Chhatre"/>
    <n v="2301"/>
    <x v="4"/>
    <x v="1"/>
    <s v="YES"/>
    <n v="15995997"/>
    <n v="1919519.64"/>
    <n v="12182551"/>
    <n v="5732965.6400000006"/>
  </r>
  <r>
    <m/>
    <m/>
    <n v="2302"/>
    <x v="2"/>
    <x v="2"/>
    <m/>
    <m/>
    <m/>
    <m/>
    <n v="0"/>
  </r>
  <r>
    <m/>
    <m/>
    <n v="2303"/>
    <x v="2"/>
    <x v="2"/>
    <m/>
    <m/>
    <m/>
    <m/>
    <n v="0"/>
  </r>
  <r>
    <m/>
    <s v="Mr.Hrushikesh Vinayak Deodhar"/>
    <n v="2304"/>
    <x v="4"/>
    <x v="1"/>
    <m/>
    <n v="20250336"/>
    <n v="2430040.3199999998"/>
    <n v="14767725"/>
    <n v="7912651.3200000003"/>
  </r>
  <r>
    <s v="24th FLOOR"/>
    <m/>
    <n v="2401"/>
    <x v="4"/>
    <x v="1"/>
    <m/>
    <m/>
    <m/>
    <m/>
    <n v="0"/>
  </r>
  <r>
    <m/>
    <m/>
    <n v="2402"/>
    <x v="2"/>
    <x v="2"/>
    <m/>
    <m/>
    <m/>
    <m/>
    <n v="0"/>
  </r>
  <r>
    <m/>
    <m/>
    <n v="2403"/>
    <x v="2"/>
    <x v="2"/>
    <m/>
    <m/>
    <m/>
    <m/>
    <n v="0"/>
  </r>
  <r>
    <m/>
    <s v="Mrs.Pallavi Sachin Velankar"/>
    <n v="2404"/>
    <x v="4"/>
    <x v="1"/>
    <s v="YES"/>
    <n v="21521523"/>
    <n v="2582582.7599999998"/>
    <n v="16244446"/>
    <n v="7859659.7599999979"/>
  </r>
  <r>
    <s v="25th FLOOR"/>
    <m/>
    <n v="2501"/>
    <x v="4"/>
    <x v="2"/>
    <m/>
    <m/>
    <m/>
    <m/>
    <n v="0"/>
  </r>
  <r>
    <m/>
    <m/>
    <n v="2502"/>
    <x v="2"/>
    <x v="2"/>
    <m/>
    <m/>
    <m/>
    <m/>
    <n v="0"/>
  </r>
  <r>
    <m/>
    <m/>
    <n v="2503"/>
    <x v="2"/>
    <x v="2"/>
    <m/>
    <m/>
    <m/>
    <m/>
    <n v="0"/>
  </r>
  <r>
    <m/>
    <m/>
    <n v="2504"/>
    <x v="4"/>
    <x v="2"/>
    <m/>
    <m/>
    <m/>
    <m/>
    <n v="0"/>
  </r>
  <r>
    <s v="26th FLOOR"/>
    <m/>
    <n v="2601"/>
    <x v="4"/>
    <x v="2"/>
    <m/>
    <m/>
    <m/>
    <m/>
    <n v="0"/>
  </r>
  <r>
    <m/>
    <m/>
    <n v="2602"/>
    <x v="2"/>
    <x v="2"/>
    <m/>
    <m/>
    <m/>
    <m/>
    <n v="0"/>
  </r>
  <r>
    <m/>
    <m/>
    <n v="2603"/>
    <x v="2"/>
    <x v="2"/>
    <m/>
    <m/>
    <m/>
    <m/>
    <n v="0"/>
  </r>
  <r>
    <m/>
    <m/>
    <n v="2604"/>
    <x v="4"/>
    <x v="2"/>
    <m/>
    <m/>
    <m/>
    <m/>
    <n v="0"/>
  </r>
  <r>
    <s v="27th FLOOR"/>
    <m/>
    <n v="2701"/>
    <x v="4"/>
    <x v="2"/>
    <m/>
    <m/>
    <m/>
    <m/>
    <n v="0"/>
  </r>
  <r>
    <m/>
    <m/>
    <n v="2702"/>
    <x v="4"/>
    <x v="2"/>
    <m/>
    <m/>
    <m/>
    <m/>
    <n v="0"/>
  </r>
  <r>
    <m/>
    <s v="REFUGEE"/>
    <m/>
    <x v="0"/>
    <x v="3"/>
    <m/>
    <m/>
    <m/>
    <m/>
    <n v="0"/>
  </r>
  <r>
    <m/>
    <m/>
    <n v="2704"/>
    <x v="4"/>
    <x v="2"/>
    <m/>
    <m/>
    <m/>
    <m/>
    <n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x v="0"/>
    <s v="Club House "/>
    <x v="0"/>
    <x v="0"/>
    <x v="0"/>
    <m/>
    <m/>
    <m/>
    <m/>
    <m/>
  </r>
  <r>
    <x v="1"/>
    <s v="Mr. Mahendra Ganpat Mhaske"/>
    <x v="1"/>
    <x v="1"/>
    <x v="1"/>
    <s v="YES"/>
    <n v="12000000"/>
    <n v="1440000"/>
    <n v="4600000"/>
    <n v="8840000"/>
  </r>
  <r>
    <x v="1"/>
    <m/>
    <x v="2"/>
    <x v="1"/>
    <x v="2"/>
    <m/>
    <m/>
    <m/>
    <m/>
    <n v="0"/>
  </r>
  <r>
    <x v="1"/>
    <s v="Club House "/>
    <x v="3"/>
    <x v="0"/>
    <x v="0"/>
    <m/>
    <m/>
    <m/>
    <m/>
    <n v="0"/>
  </r>
  <r>
    <x v="2"/>
    <m/>
    <x v="4"/>
    <x v="1"/>
    <x v="2"/>
    <m/>
    <m/>
    <m/>
    <m/>
    <n v="0"/>
  </r>
  <r>
    <x v="2"/>
    <s v="Mr.Vishvesh Kavdi"/>
    <x v="5"/>
    <x v="1"/>
    <x v="1"/>
    <s v="YES"/>
    <n v="16434869"/>
    <n v="1972184.28"/>
    <n v="12484920"/>
    <n v="5922133.2800000012"/>
  </r>
  <r>
    <x v="3"/>
    <s v="Mr.Vishwas Vijay Vaidya"/>
    <x v="6"/>
    <x v="2"/>
    <x v="1"/>
    <s v="YES"/>
    <n v="16067797"/>
    <n v="1928135.64"/>
    <n v="12035254"/>
    <n v="5960678.6400000006"/>
  </r>
  <r>
    <x v="4"/>
    <s v="Mrs Deepa Chhatre"/>
    <x v="7"/>
    <x v="3"/>
    <x v="1"/>
    <s v="YES"/>
    <n v="16866848"/>
    <n v="2024021.76"/>
    <n v="12826097"/>
    <n v="6064772.7600000016"/>
  </r>
  <r>
    <x v="5"/>
    <s v="Mrs.Karndikar"/>
    <x v="8"/>
    <x v="4"/>
    <x v="1"/>
    <n v="0"/>
    <n v="18434000"/>
    <n v="2212080"/>
    <n v="13873428"/>
    <n v="6772652"/>
  </r>
  <r>
    <x v="6"/>
    <s v="Mr. Ujwal Deskmukh"/>
    <x v="9"/>
    <x v="1"/>
    <x v="1"/>
    <s v="YES"/>
    <n v="12958552"/>
    <n v="1555026.24"/>
    <n v="5238466"/>
    <n v="9275112.2400000002"/>
  </r>
  <r>
    <x v="1"/>
    <s v="Mrs. Varsha Deskmukh"/>
    <x v="10"/>
    <x v="1"/>
    <x v="1"/>
    <s v="YES"/>
    <n v="12958552"/>
    <n v="1555026.24"/>
    <n v="14500000"/>
    <n v="13578.240000000224"/>
  </r>
  <r>
    <x v="1"/>
    <s v="Mr. Vinay D. Thakurdesai / Manjusha V Thakurdesai"/>
    <x v="11"/>
    <x v="5"/>
    <x v="1"/>
    <s v="YES"/>
    <n v="15500000"/>
    <n v="1860000"/>
    <n v="11804800"/>
    <n v="5555200"/>
  </r>
  <r>
    <x v="7"/>
    <m/>
    <x v="12"/>
    <x v="4"/>
    <x v="2"/>
    <m/>
    <m/>
    <m/>
    <m/>
    <n v="0"/>
  </r>
  <r>
    <x v="1"/>
    <s v=" "/>
    <x v="13"/>
    <x v="2"/>
    <x v="2"/>
    <m/>
    <m/>
    <m/>
    <m/>
    <n v="0"/>
  </r>
  <r>
    <x v="1"/>
    <s v="Mr. Deepak N. Nawathe "/>
    <x v="14"/>
    <x v="2"/>
    <x v="1"/>
    <s v="YES"/>
    <n v="11833412"/>
    <n v="1420009.44"/>
    <n v="9008777"/>
    <n v="4244644.4399999995"/>
  </r>
  <r>
    <x v="1"/>
    <s v="Ms. Seema Sanjay Mokal / Akshay S. Mokal"/>
    <x v="15"/>
    <x v="4"/>
    <x v="1"/>
    <s v="YES"/>
    <n v="15300345"/>
    <n v="1836041.4"/>
    <n v="11652691"/>
    <n v="5483695.3999999985"/>
  </r>
  <r>
    <x v="8"/>
    <s v="Mr. Avinash Joshi"/>
    <x v="16"/>
    <x v="4"/>
    <x v="1"/>
    <s v="YES"/>
    <n v="17561215"/>
    <n v="2107345.7999999998"/>
    <n v="13368458"/>
    <n v="6300102.8000000007"/>
  </r>
  <r>
    <x v="1"/>
    <s v="Mr. Mandar S. Ghole "/>
    <x v="17"/>
    <x v="2"/>
    <x v="1"/>
    <s v="YES"/>
    <n v="13374645"/>
    <n v="1604957.4"/>
    <n v="10184790"/>
    <n v="4794812.4000000004"/>
  </r>
  <r>
    <x v="1"/>
    <s v="REFUGEE"/>
    <x v="3"/>
    <x v="0"/>
    <x v="3"/>
    <m/>
    <m/>
    <m/>
    <m/>
    <n v="0"/>
  </r>
  <r>
    <x v="1"/>
    <s v="Mrs. Reshma V Chavan"/>
    <x v="18"/>
    <x v="4"/>
    <x v="1"/>
    <s v="YES"/>
    <n v="11600000"/>
    <n v="1392000"/>
    <n v="9955680"/>
    <n v="3036320"/>
  </r>
  <r>
    <x v="9"/>
    <s v="Sajal Boricha "/>
    <x v="19"/>
    <x v="4"/>
    <x v="1"/>
    <s v="YES"/>
    <n v="15000000"/>
    <n v="1800000"/>
    <n v="100000"/>
    <n v="16700000"/>
  </r>
  <r>
    <x v="1"/>
    <s v="Sajal Boricha "/>
    <x v="20"/>
    <x v="2"/>
    <x v="1"/>
    <s v="YES"/>
    <n v="12000000"/>
    <n v="1440000"/>
    <n v="100000"/>
    <n v="13340000"/>
  </r>
  <r>
    <x v="1"/>
    <s v="Sajal Boricha "/>
    <x v="21"/>
    <x v="2"/>
    <x v="1"/>
    <s v="YES"/>
    <n v="12000000"/>
    <n v="1440000"/>
    <n v="100000"/>
    <n v="13340000"/>
  </r>
  <r>
    <x v="1"/>
    <s v="Sajal Boricha "/>
    <x v="22"/>
    <x v="4"/>
    <x v="1"/>
    <s v="YES"/>
    <n v="15000000"/>
    <n v="1800000"/>
    <n v="100000"/>
    <n v="16700000"/>
  </r>
  <r>
    <x v="10"/>
    <s v="Sajal Boricha "/>
    <x v="23"/>
    <x v="4"/>
    <x v="1"/>
    <s v="YES"/>
    <n v="15000000"/>
    <n v="1800000"/>
    <n v="100000"/>
    <n v="16700000"/>
  </r>
  <r>
    <x v="1"/>
    <s v="Mr. Devesh C Deskmukh"/>
    <x v="24"/>
    <x v="2"/>
    <x v="1"/>
    <s v="YES"/>
    <n v="14498664"/>
    <n v="1739839.68"/>
    <n v="11088579"/>
    <n v="5149924.68"/>
  </r>
  <r>
    <x v="1"/>
    <s v="Mrs.Prajakta Vaman Salvi"/>
    <x v="25"/>
    <x v="2"/>
    <x v="1"/>
    <s v="Not reg"/>
    <n v="13949153"/>
    <n v="1673898.3599999999"/>
    <n v="3000000"/>
    <n v="12623051.359999999"/>
  </r>
  <r>
    <x v="1"/>
    <s v="Mr. Vijay Sakpale"/>
    <x v="26"/>
    <x v="4"/>
    <x v="1"/>
    <s v="YES"/>
    <n v="14256867"/>
    <n v="1710824.04"/>
    <n v="14592670"/>
    <n v="1375021.0399999991"/>
  </r>
  <r>
    <x v="11"/>
    <s v="Mr. Sandeep Mone "/>
    <x v="27"/>
    <x v="4"/>
    <x v="1"/>
    <s v="YES"/>
    <n v="17300345"/>
    <n v="2076041.4"/>
    <n v="15200345"/>
    <n v="4176041.3999999985"/>
  </r>
  <r>
    <x v="1"/>
    <m/>
    <x v="28"/>
    <x v="2"/>
    <x v="2"/>
    <m/>
    <m/>
    <m/>
    <m/>
    <n v="0"/>
  </r>
  <r>
    <x v="1"/>
    <s v="Mr. Shavachardra Mulay"/>
    <x v="29"/>
    <x v="2"/>
    <x v="1"/>
    <s v="YES"/>
    <n v="15398630"/>
    <n v="1847835.5999999999"/>
    <n v="11716817"/>
    <n v="5529648.6000000015"/>
  </r>
  <r>
    <x v="1"/>
    <s v="`"/>
    <x v="30"/>
    <x v="4"/>
    <x v="2"/>
    <m/>
    <m/>
    <m/>
    <m/>
    <n v="0"/>
  </r>
  <r>
    <x v="12"/>
    <s v="Mr.Mukesh Malve"/>
    <x v="31"/>
    <x v="4"/>
    <x v="1"/>
    <s v="YES"/>
    <n v="14240940"/>
    <m/>
    <n v="14098531"/>
    <n v="142409"/>
  </r>
  <r>
    <x v="1"/>
    <s v="Mrs.Nisha a Desai"/>
    <x v="32"/>
    <x v="2"/>
    <x v="1"/>
    <s v="YES"/>
    <n v="14963847"/>
    <n v="1795661.64"/>
    <n v="11376660"/>
    <n v="5382848.6400000006"/>
  </r>
  <r>
    <x v="1"/>
    <s v="Mr. Rahul Mahajan"/>
    <x v="33"/>
    <x v="2"/>
    <x v="1"/>
    <s v="YES"/>
    <n v="12268195"/>
    <n v="1472183.4"/>
    <n v="9339777"/>
    <n v="4400601.4000000004"/>
  </r>
  <r>
    <x v="1"/>
    <s v="Mr.Swanand C Wakankar"/>
    <x v="34"/>
    <x v="4"/>
    <x v="1"/>
    <s v="Not reg"/>
    <n v="20305085"/>
    <n v="2436610.1999999997"/>
    <n v="15316278"/>
    <n v="7425417.1999999993"/>
  </r>
  <r>
    <x v="13"/>
    <m/>
    <x v="35"/>
    <x v="4"/>
    <x v="2"/>
    <m/>
    <m/>
    <m/>
    <m/>
    <n v="0"/>
  </r>
  <r>
    <x v="1"/>
    <m/>
    <x v="36"/>
    <x v="2"/>
    <x v="2"/>
    <m/>
    <m/>
    <m/>
    <m/>
    <n v="0"/>
  </r>
  <r>
    <x v="1"/>
    <s v="REFUGEE"/>
    <x v="3"/>
    <x v="0"/>
    <x v="3"/>
    <m/>
    <m/>
    <m/>
    <m/>
    <n v="0"/>
  </r>
  <r>
    <x v="1"/>
    <s v="Mr. Subodh Datttatray Thanekar "/>
    <x v="37"/>
    <x v="4"/>
    <x v="1"/>
    <s v="YES"/>
    <n v="14063900"/>
    <n v="1687668"/>
    <n v="10615432"/>
    <n v="5136136"/>
  </r>
  <r>
    <x v="14"/>
    <s v="Mr. Suresh V. Chhatre"/>
    <x v="38"/>
    <x v="4"/>
    <x v="1"/>
    <s v="YES"/>
    <n v="15995997"/>
    <n v="1919519.64"/>
    <n v="12182551"/>
    <n v="5732965.6400000006"/>
  </r>
  <r>
    <x v="1"/>
    <m/>
    <x v="39"/>
    <x v="2"/>
    <x v="2"/>
    <m/>
    <m/>
    <m/>
    <m/>
    <n v="0"/>
  </r>
  <r>
    <x v="1"/>
    <m/>
    <x v="40"/>
    <x v="2"/>
    <x v="2"/>
    <m/>
    <m/>
    <m/>
    <m/>
    <n v="0"/>
  </r>
  <r>
    <x v="1"/>
    <s v="Mr.Hrushikesh Vinayak Deodhar"/>
    <x v="41"/>
    <x v="4"/>
    <x v="1"/>
    <m/>
    <n v="20250336"/>
    <n v="2430040.3199999998"/>
    <n v="14767725"/>
    <n v="7912651.3200000003"/>
  </r>
  <r>
    <x v="15"/>
    <m/>
    <x v="42"/>
    <x v="4"/>
    <x v="1"/>
    <m/>
    <m/>
    <m/>
    <m/>
    <n v="0"/>
  </r>
  <r>
    <x v="1"/>
    <m/>
    <x v="43"/>
    <x v="2"/>
    <x v="2"/>
    <m/>
    <m/>
    <m/>
    <m/>
    <n v="0"/>
  </r>
  <r>
    <x v="1"/>
    <m/>
    <x v="44"/>
    <x v="2"/>
    <x v="2"/>
    <m/>
    <m/>
    <m/>
    <m/>
    <n v="0"/>
  </r>
  <r>
    <x v="1"/>
    <s v="Mrs.Pallavi Sachin Velankar"/>
    <x v="45"/>
    <x v="4"/>
    <x v="1"/>
    <s v="YES"/>
    <n v="21521523"/>
    <n v="2582582.7599999998"/>
    <n v="16244446"/>
    <n v="7859659.7599999979"/>
  </r>
  <r>
    <x v="16"/>
    <m/>
    <x v="46"/>
    <x v="4"/>
    <x v="2"/>
    <m/>
    <m/>
    <m/>
    <m/>
    <n v="0"/>
  </r>
  <r>
    <x v="1"/>
    <m/>
    <x v="47"/>
    <x v="2"/>
    <x v="2"/>
    <m/>
    <m/>
    <m/>
    <m/>
    <n v="0"/>
  </r>
  <r>
    <x v="1"/>
    <m/>
    <x v="48"/>
    <x v="2"/>
    <x v="2"/>
    <m/>
    <m/>
    <m/>
    <m/>
    <n v="0"/>
  </r>
  <r>
    <x v="1"/>
    <m/>
    <x v="49"/>
    <x v="4"/>
    <x v="2"/>
    <m/>
    <m/>
    <m/>
    <m/>
    <n v="0"/>
  </r>
  <r>
    <x v="17"/>
    <m/>
    <x v="50"/>
    <x v="4"/>
    <x v="2"/>
    <m/>
    <m/>
    <m/>
    <m/>
    <n v="0"/>
  </r>
  <r>
    <x v="1"/>
    <m/>
    <x v="51"/>
    <x v="2"/>
    <x v="2"/>
    <m/>
    <m/>
    <m/>
    <m/>
    <n v="0"/>
  </r>
  <r>
    <x v="1"/>
    <m/>
    <x v="52"/>
    <x v="2"/>
    <x v="2"/>
    <m/>
    <m/>
    <m/>
    <m/>
    <n v="0"/>
  </r>
  <r>
    <x v="1"/>
    <m/>
    <x v="53"/>
    <x v="4"/>
    <x v="2"/>
    <m/>
    <m/>
    <m/>
    <m/>
    <n v="0"/>
  </r>
  <r>
    <x v="18"/>
    <m/>
    <x v="54"/>
    <x v="4"/>
    <x v="2"/>
    <m/>
    <m/>
    <m/>
    <m/>
    <n v="0"/>
  </r>
  <r>
    <x v="1"/>
    <m/>
    <x v="55"/>
    <x v="4"/>
    <x v="2"/>
    <m/>
    <m/>
    <m/>
    <m/>
    <n v="0"/>
  </r>
  <r>
    <x v="1"/>
    <s v="REFUGEE"/>
    <x v="3"/>
    <x v="0"/>
    <x v="3"/>
    <m/>
    <m/>
    <m/>
    <m/>
    <n v="0"/>
  </r>
  <r>
    <x v="1"/>
    <m/>
    <x v="56"/>
    <x v="4"/>
    <x v="2"/>
    <m/>
    <m/>
    <m/>
    <m/>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2" cacheId="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M53:N126" firstHeaderRow="1" firstDataRow="1" firstDataCol="1"/>
  <pivotFields count="10">
    <pivotField showAll="0">
      <items count="20">
        <item x="4"/>
        <item x="5"/>
        <item x="6"/>
        <item x="7"/>
        <item x="8"/>
        <item x="9"/>
        <item x="10"/>
        <item x="0"/>
        <item x="11"/>
        <item x="12"/>
        <item x="13"/>
        <item x="14"/>
        <item x="15"/>
        <item x="16"/>
        <item x="17"/>
        <item x="18"/>
        <item x="2"/>
        <item x="3"/>
        <item x="1"/>
        <item t="default"/>
      </items>
    </pivotField>
    <pivotField showAll="0"/>
    <pivotField axis="axisRow" showAll="0">
      <items count="58">
        <item x="1"/>
        <item x="2"/>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0"/>
        <item x="3"/>
        <item t="default"/>
      </items>
    </pivotField>
    <pivotField axis="axisRow" showAll="0">
      <items count="7">
        <item x="2"/>
        <item x="1"/>
        <item x="3"/>
        <item x="4"/>
        <item x="5"/>
        <item x="0"/>
        <item t="default"/>
      </items>
    </pivotField>
    <pivotField axis="axisRow" dataField="1" showAll="0">
      <items count="5">
        <item x="3"/>
        <item x="1"/>
        <item x="2"/>
        <item x="0"/>
        <item t="default"/>
      </items>
    </pivotField>
    <pivotField showAll="0"/>
    <pivotField showAll="0"/>
    <pivotField showAll="0"/>
    <pivotField showAll="0"/>
    <pivotField showAll="0"/>
  </pivotFields>
  <rowFields count="3">
    <field x="4"/>
    <field x="3"/>
    <field x="2"/>
  </rowFields>
  <rowItems count="73">
    <i>
      <x/>
    </i>
    <i r="1">
      <x v="5"/>
    </i>
    <i r="2">
      <x v="56"/>
    </i>
    <i>
      <x v="1"/>
    </i>
    <i r="1">
      <x/>
    </i>
    <i r="2">
      <x v="4"/>
    </i>
    <i r="2">
      <x v="12"/>
    </i>
    <i r="2">
      <x v="15"/>
    </i>
    <i r="2">
      <x v="18"/>
    </i>
    <i r="2">
      <x v="19"/>
    </i>
    <i r="2">
      <x v="22"/>
    </i>
    <i r="2">
      <x v="23"/>
    </i>
    <i r="2">
      <x v="27"/>
    </i>
    <i r="2">
      <x v="30"/>
    </i>
    <i r="2">
      <x v="31"/>
    </i>
    <i r="1">
      <x v="1"/>
    </i>
    <i r="2">
      <x/>
    </i>
    <i r="2">
      <x v="3"/>
    </i>
    <i r="2">
      <x v="7"/>
    </i>
    <i r="2">
      <x v="8"/>
    </i>
    <i r="1">
      <x v="2"/>
    </i>
    <i r="2">
      <x v="5"/>
    </i>
    <i r="1">
      <x v="3"/>
    </i>
    <i r="2">
      <x v="6"/>
    </i>
    <i r="2">
      <x v="13"/>
    </i>
    <i r="2">
      <x v="14"/>
    </i>
    <i r="2">
      <x v="16"/>
    </i>
    <i r="2">
      <x v="17"/>
    </i>
    <i r="2">
      <x v="20"/>
    </i>
    <i r="2">
      <x v="21"/>
    </i>
    <i r="2">
      <x v="24"/>
    </i>
    <i r="2">
      <x v="25"/>
    </i>
    <i r="2">
      <x v="29"/>
    </i>
    <i r="2">
      <x v="32"/>
    </i>
    <i r="2">
      <x v="35"/>
    </i>
    <i r="2">
      <x v="36"/>
    </i>
    <i r="2">
      <x v="39"/>
    </i>
    <i r="2">
      <x v="40"/>
    </i>
    <i r="2">
      <x v="43"/>
    </i>
    <i r="1">
      <x v="4"/>
    </i>
    <i r="2">
      <x v="9"/>
    </i>
    <i>
      <x v="2"/>
    </i>
    <i r="1">
      <x/>
    </i>
    <i r="2">
      <x v="11"/>
    </i>
    <i r="2">
      <x v="26"/>
    </i>
    <i r="2">
      <x v="34"/>
    </i>
    <i r="2">
      <x v="37"/>
    </i>
    <i r="2">
      <x v="38"/>
    </i>
    <i r="2">
      <x v="41"/>
    </i>
    <i r="2">
      <x v="42"/>
    </i>
    <i r="2">
      <x v="45"/>
    </i>
    <i r="2">
      <x v="46"/>
    </i>
    <i r="2">
      <x v="49"/>
    </i>
    <i r="2">
      <x v="50"/>
    </i>
    <i r="1">
      <x v="1"/>
    </i>
    <i r="2">
      <x v="1"/>
    </i>
    <i r="2">
      <x v="2"/>
    </i>
    <i r="1">
      <x v="3"/>
    </i>
    <i r="2">
      <x v="10"/>
    </i>
    <i r="2">
      <x v="28"/>
    </i>
    <i r="2">
      <x v="33"/>
    </i>
    <i r="2">
      <x v="44"/>
    </i>
    <i r="2">
      <x v="47"/>
    </i>
    <i r="2">
      <x v="48"/>
    </i>
    <i r="2">
      <x v="51"/>
    </i>
    <i r="2">
      <x v="52"/>
    </i>
    <i r="2">
      <x v="53"/>
    </i>
    <i r="2">
      <x v="54"/>
    </i>
    <i>
      <x v="3"/>
    </i>
    <i r="1">
      <x v="5"/>
    </i>
    <i r="2">
      <x v="55"/>
    </i>
    <i r="2">
      <x v="56"/>
    </i>
    <i t="grand">
      <x/>
    </i>
  </rowItems>
  <colItems count="1">
    <i/>
  </colItems>
  <dataFields count="1">
    <dataField name="Count of Purpose" fld="4" subtotal="count" baseField="0" baseItem="0"/>
  </dataFields>
  <formats count="8">
    <format dxfId="9">
      <pivotArea dataOnly="0" labelOnly="1" fieldPosition="0">
        <references count="3">
          <reference field="2" count="2">
            <x v="10"/>
            <x v="28"/>
          </reference>
          <reference field="3" count="1" selected="0">
            <x v="3"/>
          </reference>
          <reference field="4" count="1" selected="0">
            <x v="2"/>
          </reference>
        </references>
      </pivotArea>
    </format>
    <format dxfId="8">
      <pivotArea collapsedLevelsAreSubtotals="1" fieldPosition="0">
        <references count="3">
          <reference field="2" count="6">
            <x v="41"/>
            <x v="42"/>
            <x v="45"/>
            <x v="46"/>
            <x v="49"/>
            <x v="50"/>
          </reference>
          <reference field="3" count="1" selected="0">
            <x v="0"/>
          </reference>
          <reference field="4" count="1" selected="0">
            <x v="2"/>
          </reference>
        </references>
      </pivotArea>
    </format>
    <format dxfId="7">
      <pivotArea collapsedLevelsAreSubtotals="1" fieldPosition="0">
        <references count="2">
          <reference field="3" count="1">
            <x v="1"/>
          </reference>
          <reference field="4" count="1" selected="0">
            <x v="2"/>
          </reference>
        </references>
      </pivotArea>
    </format>
    <format dxfId="6">
      <pivotArea collapsedLevelsAreSubtotals="1" fieldPosition="0">
        <references count="3">
          <reference field="2" count="2">
            <x v="1"/>
            <x v="2"/>
          </reference>
          <reference field="3" count="1" selected="0">
            <x v="1"/>
          </reference>
          <reference field="4" count="1" selected="0">
            <x v="2"/>
          </reference>
        </references>
      </pivotArea>
    </format>
    <format dxfId="5">
      <pivotArea collapsedLevelsAreSubtotals="1" fieldPosition="0">
        <references count="2">
          <reference field="3" count="1">
            <x v="3"/>
          </reference>
          <reference field="4" count="1" selected="0">
            <x v="2"/>
          </reference>
        </references>
      </pivotArea>
    </format>
    <format dxfId="4">
      <pivotArea collapsedLevelsAreSubtotals="1" fieldPosition="0">
        <references count="3">
          <reference field="2" count="2">
            <x v="10"/>
            <x v="28"/>
          </reference>
          <reference field="3" count="1" selected="0">
            <x v="3"/>
          </reference>
          <reference field="4" count="1" selected="0">
            <x v="2"/>
          </reference>
        </references>
      </pivotArea>
    </format>
    <format dxfId="3">
      <pivotArea dataOnly="0" labelOnly="1" fieldPosition="0">
        <references count="2">
          <reference field="3" count="2">
            <x v="1"/>
            <x v="3"/>
          </reference>
          <reference field="4" count="1" selected="0">
            <x v="2"/>
          </reference>
        </references>
      </pivotArea>
    </format>
    <format dxfId="2">
      <pivotArea dataOnly="0" labelOnly="1" fieldPosition="0">
        <references count="3">
          <reference field="2" count="10">
            <x v="1"/>
            <x v="2"/>
            <x v="10"/>
            <x v="28"/>
            <x v="41"/>
            <x v="42"/>
            <x v="45"/>
            <x v="46"/>
            <x v="49"/>
            <x v="50"/>
          </reference>
          <reference field="3" count="1" selected="0">
            <x v="0"/>
          </reference>
          <reference field="4" count="1" selected="0">
            <x v="2"/>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M45:R50" firstHeaderRow="0" firstDataRow="1" firstDataCol="1"/>
  <pivotFields count="10">
    <pivotField showAll="0"/>
    <pivotField showAll="0"/>
    <pivotField dataField="1" showAll="0"/>
    <pivotField showAll="0"/>
    <pivotField axis="axisRow" showAll="0" sortType="ascending">
      <items count="5">
        <item x="3"/>
        <item x="1"/>
        <item x="2"/>
        <item x="0"/>
        <item t="default"/>
      </items>
    </pivotField>
    <pivotField showAll="0"/>
    <pivotField dataField="1" showAll="0"/>
    <pivotField dataField="1" showAll="0"/>
    <pivotField dataField="1" showAll="0"/>
    <pivotField dataField="1" showAll="0"/>
  </pivotFields>
  <rowFields count="1">
    <field x="4"/>
  </rowFields>
  <rowItems count="5">
    <i>
      <x/>
    </i>
    <i>
      <x v="1"/>
    </i>
    <i>
      <x v="2"/>
    </i>
    <i>
      <x v="3"/>
    </i>
    <i t="grand">
      <x/>
    </i>
  </rowItems>
  <colFields count="1">
    <field x="-2"/>
  </colFields>
  <colItems count="5">
    <i>
      <x/>
    </i>
    <i i="1">
      <x v="1"/>
    </i>
    <i i="2">
      <x v="2"/>
    </i>
    <i i="3">
      <x v="3"/>
    </i>
    <i i="4">
      <x v="4"/>
    </i>
  </colItems>
  <dataFields count="5">
    <dataField name="Count of Unit No." fld="2" subtotal="count" baseField="0" baseItem="0"/>
    <dataField name="Sum of Received Amt" fld="8" baseField="0" baseItem="0"/>
    <dataField name="Sum of Balance amt" fld="9" baseField="0" baseItem="0"/>
    <dataField name="Sum of AGREEMENT" fld="6" baseField="0" baseItem="0"/>
    <dataField name="Sum of gst"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2" name="Table2" displayName="Table2" ref="B2:K76" totalsRowShown="0" dataDxfId="20">
  <tableColumns count="10">
    <tableColumn id="1" name="Sr.No." dataDxfId="19"/>
    <tableColumn id="2" name="Name of Customer" dataDxfId="18"/>
    <tableColumn id="3" name="Unit No" dataDxfId="17"/>
    <tableColumn id="4" name="Column4" dataDxfId="16"/>
    <tableColumn id="5" name="Purpose" dataDxfId="15"/>
    <tableColumn id="6" name="Registration Done" dataDxfId="14"/>
    <tableColumn id="7" name="AGREEMENT" dataDxfId="13"/>
    <tableColumn id="8" name="gst" dataDxfId="12"/>
    <tableColumn id="9" name="Received Amt" dataDxfId="11"/>
    <tableColumn id="10" name="Balance amt" dataDxfId="10"/>
  </tableColumns>
  <tableStyleInfo name="TableStyleMedium2" showFirstColumn="0" showLastColumn="0" showRowStripes="1" showColumnStripes="0"/>
</table>
</file>

<file path=xl/tables/table2.xml><?xml version="1.0" encoding="utf-8"?>
<table xmlns="http://schemas.openxmlformats.org/spreadsheetml/2006/main" id="1" name="Table22" displayName="Table22" ref="B3:K65" totalsRowShown="0" headerRowBorderDxfId="1" tableBorderDxfId="0">
  <autoFilter ref="B3:K65"/>
  <tableColumns count="10">
    <tableColumn id="1" name="Column1"/>
    <tableColumn id="2" name="Name of Customer"/>
    <tableColumn id="3" name="Unit No."/>
    <tableColumn id="4" name="Column2"/>
    <tableColumn id="5" name="Purpose"/>
    <tableColumn id="6" name="Registration Done"/>
    <tableColumn id="7" name="AGREEMENT"/>
    <tableColumn id="8" name="gst"/>
    <tableColumn id="9" name="Received Amt"/>
    <tableColumn id="10" name="Balance am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M83"/>
  <sheetViews>
    <sheetView topLeftCell="C69" zoomScale="115" zoomScaleNormal="115" workbookViewId="0">
      <selection activeCell="L27" sqref="L27"/>
    </sheetView>
  </sheetViews>
  <sheetFormatPr defaultRowHeight="15"/>
  <cols>
    <col min="2" max="2" width="11" customWidth="1"/>
    <col min="3" max="3" width="38" customWidth="1"/>
    <col min="4" max="4" width="12.5703125" bestFit="1" customWidth="1"/>
    <col min="5" max="5" width="23.42578125" customWidth="1"/>
    <col min="6" max="6" width="16" customWidth="1"/>
    <col min="7" max="7" width="14.5703125" customWidth="1"/>
    <col min="8" max="8" width="19.7109375" style="26" bestFit="1" customWidth="1"/>
    <col min="9" max="9" width="17.85546875" bestFit="1" customWidth="1"/>
    <col min="10" max="10" width="19.85546875" customWidth="1"/>
    <col min="11" max="11" width="19.85546875" bestFit="1" customWidth="1"/>
    <col min="12" max="12" width="8.85546875" customWidth="1"/>
  </cols>
  <sheetData>
    <row r="2" spans="2:13">
      <c r="B2" t="s">
        <v>73</v>
      </c>
      <c r="C2" t="s">
        <v>0</v>
      </c>
      <c r="D2" t="s">
        <v>154</v>
      </c>
      <c r="E2" t="s">
        <v>153</v>
      </c>
      <c r="F2" t="s">
        <v>1</v>
      </c>
      <c r="G2" t="s">
        <v>65</v>
      </c>
      <c r="H2" s="26" t="s">
        <v>69</v>
      </c>
      <c r="I2" t="s">
        <v>70</v>
      </c>
      <c r="J2" t="s">
        <v>71</v>
      </c>
      <c r="K2" t="s">
        <v>72</v>
      </c>
    </row>
    <row r="3" spans="2:13">
      <c r="B3" s="34"/>
      <c r="C3" s="34"/>
      <c r="D3" s="34"/>
      <c r="E3" s="34"/>
      <c r="F3" s="34"/>
      <c r="G3" s="34"/>
      <c r="H3" s="34"/>
      <c r="I3" s="34"/>
      <c r="J3" s="34"/>
      <c r="K3" s="34"/>
    </row>
    <row r="4" spans="2:13" ht="27.95" customHeight="1">
      <c r="B4" s="23" t="s">
        <v>2</v>
      </c>
      <c r="C4" s="1" t="s">
        <v>3</v>
      </c>
      <c r="D4" s="1" t="s">
        <v>4</v>
      </c>
      <c r="E4" s="1"/>
      <c r="F4" s="1"/>
      <c r="G4" s="1"/>
      <c r="H4" s="1"/>
      <c r="I4" s="1"/>
      <c r="J4" s="35"/>
      <c r="K4" s="36"/>
      <c r="M4" s="8"/>
    </row>
    <row r="5" spans="2:13" ht="27.95" customHeight="1">
      <c r="B5" s="24"/>
      <c r="C5" s="1" t="s">
        <v>5</v>
      </c>
      <c r="D5" s="1">
        <v>102</v>
      </c>
      <c r="E5" s="1" t="s">
        <v>6</v>
      </c>
      <c r="F5" s="1" t="s">
        <v>7</v>
      </c>
      <c r="G5" s="1" t="s">
        <v>66</v>
      </c>
      <c r="H5" s="37">
        <v>12000000</v>
      </c>
      <c r="I5" s="28">
        <f>H5*12%</f>
        <v>1440000</v>
      </c>
      <c r="J5" s="38">
        <v>4600000</v>
      </c>
      <c r="K5" s="38">
        <f t="shared" ref="K5:K36" si="0">H5+I5-J5</f>
        <v>8840000</v>
      </c>
      <c r="M5" s="8"/>
    </row>
    <row r="6" spans="2:13" ht="27.95" customHeight="1">
      <c r="B6" s="24"/>
      <c r="C6" s="1"/>
      <c r="D6" s="1">
        <v>103</v>
      </c>
      <c r="E6" s="1" t="s">
        <v>6</v>
      </c>
      <c r="F6" s="1" t="s">
        <v>8</v>
      </c>
      <c r="G6" s="1"/>
      <c r="H6" s="29"/>
      <c r="I6" s="1"/>
      <c r="J6" s="38"/>
      <c r="K6" s="38">
        <f t="shared" si="0"/>
        <v>0</v>
      </c>
      <c r="M6" s="8"/>
    </row>
    <row r="7" spans="2:13" ht="27.95" customHeight="1">
      <c r="B7" s="25"/>
      <c r="C7" s="1" t="s">
        <v>3</v>
      </c>
      <c r="D7" s="1"/>
      <c r="E7" s="1"/>
      <c r="F7" s="1"/>
      <c r="G7" s="1"/>
      <c r="H7" s="1"/>
      <c r="I7" s="30"/>
      <c r="J7" s="38"/>
      <c r="K7" s="38">
        <f t="shared" si="0"/>
        <v>0</v>
      </c>
      <c r="M7" s="8"/>
    </row>
    <row r="8" spans="2:13" ht="27.95" customHeight="1">
      <c r="B8" s="23" t="s">
        <v>9</v>
      </c>
      <c r="C8" s="27"/>
      <c r="D8" s="1">
        <v>201</v>
      </c>
      <c r="E8" s="1" t="s">
        <v>6</v>
      </c>
      <c r="F8" s="1" t="s">
        <v>8</v>
      </c>
      <c r="G8" s="1"/>
      <c r="H8" s="1"/>
      <c r="I8" s="30"/>
      <c r="J8" s="39"/>
      <c r="K8" s="38">
        <f t="shared" si="0"/>
        <v>0</v>
      </c>
      <c r="M8" s="8"/>
    </row>
    <row r="9" spans="2:13" ht="27.95" customHeight="1">
      <c r="B9" s="25" t="s">
        <v>9</v>
      </c>
      <c r="C9" s="27" t="s">
        <v>10</v>
      </c>
      <c r="D9" s="1">
        <v>204</v>
      </c>
      <c r="E9" s="1" t="s">
        <v>6</v>
      </c>
      <c r="F9" s="1" t="s">
        <v>7</v>
      </c>
      <c r="G9" s="1" t="s">
        <v>66</v>
      </c>
      <c r="H9" s="29">
        <v>16434869</v>
      </c>
      <c r="I9" s="28">
        <f t="shared" ref="I9:I15" si="1">H9*12%</f>
        <v>1972184.28</v>
      </c>
      <c r="J9" s="38">
        <f>100000+2000000+6500000-1026100+4835284+75736</f>
        <v>12484920</v>
      </c>
      <c r="K9" s="38">
        <f t="shared" si="0"/>
        <v>5922133.2800000012</v>
      </c>
      <c r="M9" s="8"/>
    </row>
    <row r="10" spans="2:13" ht="27.95" customHeight="1">
      <c r="B10" s="25" t="s">
        <v>11</v>
      </c>
      <c r="C10" s="1" t="s">
        <v>12</v>
      </c>
      <c r="D10" s="1">
        <v>504</v>
      </c>
      <c r="E10" s="31" t="s">
        <v>13</v>
      </c>
      <c r="F10" s="31" t="s">
        <v>7</v>
      </c>
      <c r="G10" s="1" t="s">
        <v>66</v>
      </c>
      <c r="H10" s="29">
        <v>16067797</v>
      </c>
      <c r="I10" s="28">
        <f t="shared" si="1"/>
        <v>1928135.64</v>
      </c>
      <c r="J10" s="38">
        <f>13039322-1004068</f>
        <v>12035254</v>
      </c>
      <c r="K10" s="38">
        <f t="shared" si="0"/>
        <v>5960678.6400000006</v>
      </c>
      <c r="M10" s="8"/>
    </row>
    <row r="11" spans="2:13" ht="27.95" customHeight="1">
      <c r="B11" s="25" t="s">
        <v>14</v>
      </c>
      <c r="C11" s="1" t="s">
        <v>15</v>
      </c>
      <c r="D11" s="1">
        <v>1104</v>
      </c>
      <c r="E11" s="1" t="s">
        <v>16</v>
      </c>
      <c r="F11" s="1" t="s">
        <v>7</v>
      </c>
      <c r="G11" s="1" t="s">
        <v>66</v>
      </c>
      <c r="H11" s="37">
        <v>16866848</v>
      </c>
      <c r="I11" s="32">
        <f t="shared" si="1"/>
        <v>2024021.76</v>
      </c>
      <c r="J11" s="38">
        <f>9500000+1946264+71250+735606+572977</f>
        <v>12826097</v>
      </c>
      <c r="K11" s="38">
        <f t="shared" si="0"/>
        <v>6064772.7600000016</v>
      </c>
      <c r="M11" s="8"/>
    </row>
    <row r="12" spans="2:13" ht="27.95" customHeight="1">
      <c r="B12" s="1" t="s">
        <v>17</v>
      </c>
      <c r="C12" s="1" t="s">
        <v>18</v>
      </c>
      <c r="D12" s="1">
        <v>1401</v>
      </c>
      <c r="E12" s="31" t="s">
        <v>19</v>
      </c>
      <c r="F12" s="31" t="s">
        <v>7</v>
      </c>
      <c r="G12" s="1" t="s">
        <v>66</v>
      </c>
      <c r="H12" s="37">
        <v>18434000</v>
      </c>
      <c r="I12" s="28">
        <f t="shared" si="1"/>
        <v>2212080</v>
      </c>
      <c r="J12" s="38">
        <f>4500000+4200000+1300000-1320355+18434+1741349+3434000</f>
        <v>13873428</v>
      </c>
      <c r="K12" s="38">
        <f t="shared" si="0"/>
        <v>6772652</v>
      </c>
      <c r="M12" s="8"/>
    </row>
    <row r="13" spans="2:13" ht="27.95" customHeight="1">
      <c r="B13" s="23" t="s">
        <v>20</v>
      </c>
      <c r="C13" s="23" t="s">
        <v>21</v>
      </c>
      <c r="D13" s="1">
        <v>1502</v>
      </c>
      <c r="E13" s="1" t="s">
        <v>6</v>
      </c>
      <c r="F13" s="1" t="s">
        <v>7</v>
      </c>
      <c r="G13" s="1" t="s">
        <v>66</v>
      </c>
      <c r="H13" s="29">
        <v>12958552</v>
      </c>
      <c r="I13" s="32">
        <f t="shared" si="1"/>
        <v>1555026.24</v>
      </c>
      <c r="J13" s="38">
        <f>423284+423284+428757+2100000+641000+129585-558342+369233+400000+300000+581665</f>
        <v>5238466</v>
      </c>
      <c r="K13" s="38">
        <f t="shared" si="0"/>
        <v>9275112.2400000002</v>
      </c>
      <c r="M13" s="8"/>
    </row>
    <row r="14" spans="2:13" ht="27.95" customHeight="1">
      <c r="B14" s="24"/>
      <c r="C14" s="23" t="s">
        <v>22</v>
      </c>
      <c r="D14" s="1">
        <v>1503</v>
      </c>
      <c r="E14" s="1" t="s">
        <v>6</v>
      </c>
      <c r="F14" s="1" t="s">
        <v>7</v>
      </c>
      <c r="G14" s="1" t="s">
        <v>66</v>
      </c>
      <c r="H14" s="29">
        <v>12958552</v>
      </c>
      <c r="I14" s="32">
        <f t="shared" si="1"/>
        <v>1555026.24</v>
      </c>
      <c r="J14" s="38">
        <f>14500000+428757-558342+129585</f>
        <v>14500000</v>
      </c>
      <c r="K14" s="38">
        <f t="shared" si="0"/>
        <v>13578.240000000224</v>
      </c>
      <c r="M14" s="8"/>
    </row>
    <row r="15" spans="2:13" ht="27.95" customHeight="1">
      <c r="B15" s="25"/>
      <c r="C15" s="1" t="s">
        <v>23</v>
      </c>
      <c r="D15" s="1">
        <v>1504</v>
      </c>
      <c r="E15" s="1" t="s">
        <v>24</v>
      </c>
      <c r="F15" s="1" t="s">
        <v>7</v>
      </c>
      <c r="G15" s="1" t="s">
        <v>66</v>
      </c>
      <c r="H15" s="29">
        <v>15500000</v>
      </c>
      <c r="I15" s="32">
        <f t="shared" si="1"/>
        <v>1860000</v>
      </c>
      <c r="J15" s="38">
        <v>11804800</v>
      </c>
      <c r="K15" s="38">
        <f t="shared" si="0"/>
        <v>5555200</v>
      </c>
      <c r="M15" s="8"/>
    </row>
    <row r="16" spans="2:13" ht="27.95" customHeight="1">
      <c r="B16" s="23" t="s">
        <v>25</v>
      </c>
      <c r="C16" s="1"/>
      <c r="D16" s="1">
        <v>1601</v>
      </c>
      <c r="E16" s="31" t="s">
        <v>19</v>
      </c>
      <c r="F16" s="31" t="s">
        <v>8</v>
      </c>
      <c r="G16" s="1"/>
      <c r="H16" s="37"/>
      <c r="I16" s="30"/>
      <c r="J16" s="38"/>
      <c r="K16" s="38">
        <f t="shared" si="0"/>
        <v>0</v>
      </c>
      <c r="M16" s="8"/>
    </row>
    <row r="17" spans="2:13" ht="27.95" customHeight="1">
      <c r="B17" s="24"/>
      <c r="C17" s="31" t="s">
        <v>4</v>
      </c>
      <c r="D17" s="1">
        <v>1602</v>
      </c>
      <c r="E17" s="31" t="s">
        <v>13</v>
      </c>
      <c r="F17" s="31" t="s">
        <v>8</v>
      </c>
      <c r="G17" s="1"/>
      <c r="H17" s="29"/>
      <c r="I17" s="30"/>
      <c r="J17" s="38"/>
      <c r="K17" s="38">
        <f t="shared" si="0"/>
        <v>0</v>
      </c>
      <c r="M17" s="8"/>
    </row>
    <row r="18" spans="2:13" ht="27.95" customHeight="1">
      <c r="B18" s="24"/>
      <c r="C18" s="1" t="s">
        <v>26</v>
      </c>
      <c r="D18" s="1">
        <v>1603</v>
      </c>
      <c r="E18" s="1" t="s">
        <v>13</v>
      </c>
      <c r="F18" s="1" t="s">
        <v>7</v>
      </c>
      <c r="G18" s="1" t="s">
        <v>66</v>
      </c>
      <c r="H18" s="29">
        <v>11833412</v>
      </c>
      <c r="I18" s="32">
        <f>H18*12%</f>
        <v>1420009.44</v>
      </c>
      <c r="J18" s="38">
        <f>8012403+525403+76918+394053</f>
        <v>9008777</v>
      </c>
      <c r="K18" s="38">
        <f t="shared" si="0"/>
        <v>4244644.4399999995</v>
      </c>
      <c r="M18" s="8"/>
    </row>
    <row r="19" spans="2:13" ht="27.95" customHeight="1">
      <c r="B19" s="25"/>
      <c r="C19" s="1" t="s">
        <v>27</v>
      </c>
      <c r="D19" s="1">
        <v>1604</v>
      </c>
      <c r="E19" s="1" t="s">
        <v>19</v>
      </c>
      <c r="F19" s="1" t="s">
        <v>7</v>
      </c>
      <c r="G19" s="1" t="s">
        <v>66</v>
      </c>
      <c r="H19" s="29">
        <v>15300345</v>
      </c>
      <c r="I19" s="32">
        <f>H19*12%</f>
        <v>1836041.4</v>
      </c>
      <c r="J19" s="38">
        <f>10590000+539200+5392+512970+5129</f>
        <v>11652691</v>
      </c>
      <c r="K19" s="38">
        <f t="shared" si="0"/>
        <v>5483695.3999999985</v>
      </c>
      <c r="M19" s="8"/>
    </row>
    <row r="20" spans="2:13" ht="27.95" customHeight="1">
      <c r="B20" s="23" t="s">
        <v>28</v>
      </c>
      <c r="C20" s="1" t="s">
        <v>29</v>
      </c>
      <c r="D20" s="1">
        <v>1701</v>
      </c>
      <c r="E20" s="1" t="s">
        <v>19</v>
      </c>
      <c r="F20" s="1" t="s">
        <v>7</v>
      </c>
      <c r="G20" s="1" t="s">
        <v>66</v>
      </c>
      <c r="H20" s="29">
        <v>17561215</v>
      </c>
      <c r="I20" s="32">
        <f>H20*12%</f>
        <v>2107345.7999999998</v>
      </c>
      <c r="J20" s="38">
        <f>11997822+752938+7529+610169</f>
        <v>13368458</v>
      </c>
      <c r="K20" s="38">
        <f t="shared" si="0"/>
        <v>6300102.8000000007</v>
      </c>
      <c r="M20" s="8"/>
    </row>
    <row r="21" spans="2:13" ht="27.95" customHeight="1">
      <c r="B21" s="24"/>
      <c r="C21" s="1" t="s">
        <v>30</v>
      </c>
      <c r="D21" s="1">
        <v>1702</v>
      </c>
      <c r="E21" s="1" t="s">
        <v>13</v>
      </c>
      <c r="F21" s="1" t="s">
        <v>7</v>
      </c>
      <c r="G21" s="1" t="s">
        <v>66</v>
      </c>
      <c r="H21" s="29">
        <v>13374645</v>
      </c>
      <c r="I21" s="32">
        <f>H21*12%</f>
        <v>1604957.4</v>
      </c>
      <c r="J21" s="38">
        <f>10184790</f>
        <v>10184790</v>
      </c>
      <c r="K21" s="38">
        <f t="shared" si="0"/>
        <v>4794812.4000000004</v>
      </c>
      <c r="M21" s="8"/>
    </row>
    <row r="22" spans="2:13" ht="27.95" customHeight="1">
      <c r="B22" s="24"/>
      <c r="C22" s="1" t="s">
        <v>31</v>
      </c>
      <c r="D22" s="1"/>
      <c r="E22" s="31"/>
      <c r="F22" s="31" t="s">
        <v>32</v>
      </c>
      <c r="G22" s="1"/>
      <c r="H22" s="1"/>
      <c r="I22" s="30"/>
      <c r="J22" s="38"/>
      <c r="K22" s="38">
        <f t="shared" si="0"/>
        <v>0</v>
      </c>
      <c r="M22" s="8"/>
    </row>
    <row r="23" spans="2:13" ht="27.95" customHeight="1">
      <c r="B23" s="25"/>
      <c r="C23" s="1" t="s">
        <v>33</v>
      </c>
      <c r="D23" s="1">
        <v>1704</v>
      </c>
      <c r="E23" s="1" t="s">
        <v>19</v>
      </c>
      <c r="F23" s="1" t="s">
        <v>7</v>
      </c>
      <c r="G23" s="1" t="s">
        <v>66</v>
      </c>
      <c r="H23" s="29">
        <v>11600000</v>
      </c>
      <c r="I23" s="32">
        <f t="shared" ref="I23:I32" si="2">H23*12%</f>
        <v>1392000</v>
      </c>
      <c r="J23" s="38">
        <f>3000000+1500000+1200000+4255680</f>
        <v>9955680</v>
      </c>
      <c r="K23" s="38">
        <f t="shared" si="0"/>
        <v>3036320</v>
      </c>
      <c r="M23" s="8"/>
    </row>
    <row r="24" spans="2:13" ht="27.95" customHeight="1">
      <c r="B24" s="23" t="s">
        <v>34</v>
      </c>
      <c r="C24" s="1" t="s">
        <v>35</v>
      </c>
      <c r="D24" s="1">
        <v>1801</v>
      </c>
      <c r="E24" s="1" t="s">
        <v>19</v>
      </c>
      <c r="F24" s="1" t="s">
        <v>7</v>
      </c>
      <c r="G24" s="1" t="s">
        <v>66</v>
      </c>
      <c r="H24" s="29">
        <v>15000000</v>
      </c>
      <c r="I24" s="32">
        <f t="shared" si="2"/>
        <v>1800000</v>
      </c>
      <c r="J24" s="38">
        <v>100000</v>
      </c>
      <c r="K24" s="38">
        <f t="shared" si="0"/>
        <v>16700000</v>
      </c>
      <c r="M24" s="8"/>
    </row>
    <row r="25" spans="2:13" ht="27.95" customHeight="1">
      <c r="B25" s="24"/>
      <c r="C25" s="1" t="s">
        <v>35</v>
      </c>
      <c r="D25" s="1">
        <v>1802</v>
      </c>
      <c r="E25" s="1" t="s">
        <v>13</v>
      </c>
      <c r="F25" s="1" t="s">
        <v>7</v>
      </c>
      <c r="G25" s="1" t="s">
        <v>66</v>
      </c>
      <c r="H25" s="29">
        <v>12000000</v>
      </c>
      <c r="I25" s="32">
        <f t="shared" si="2"/>
        <v>1440000</v>
      </c>
      <c r="J25" s="38">
        <v>100000</v>
      </c>
      <c r="K25" s="38">
        <f t="shared" si="0"/>
        <v>13340000</v>
      </c>
      <c r="M25" s="8"/>
    </row>
    <row r="26" spans="2:13" ht="27.95" customHeight="1">
      <c r="B26" s="24"/>
      <c r="C26" s="1" t="s">
        <v>35</v>
      </c>
      <c r="D26" s="1">
        <v>1803</v>
      </c>
      <c r="E26" s="1" t="s">
        <v>13</v>
      </c>
      <c r="F26" s="1" t="s">
        <v>7</v>
      </c>
      <c r="G26" s="1" t="s">
        <v>66</v>
      </c>
      <c r="H26" s="29">
        <v>12000000</v>
      </c>
      <c r="I26" s="32">
        <f t="shared" si="2"/>
        <v>1440000</v>
      </c>
      <c r="J26" s="38">
        <v>100000</v>
      </c>
      <c r="K26" s="38">
        <f t="shared" si="0"/>
        <v>13340000</v>
      </c>
      <c r="M26" s="8"/>
    </row>
    <row r="27" spans="2:13" ht="27.95" customHeight="1">
      <c r="B27" s="25"/>
      <c r="C27" s="1" t="s">
        <v>35</v>
      </c>
      <c r="D27" s="1">
        <v>1804</v>
      </c>
      <c r="E27" s="1" t="s">
        <v>19</v>
      </c>
      <c r="F27" s="1" t="s">
        <v>7</v>
      </c>
      <c r="G27" s="1" t="s">
        <v>66</v>
      </c>
      <c r="H27" s="29">
        <v>15000000</v>
      </c>
      <c r="I27" s="32">
        <f t="shared" si="2"/>
        <v>1800000</v>
      </c>
      <c r="J27" s="38">
        <v>100000</v>
      </c>
      <c r="K27" s="38">
        <f t="shared" si="0"/>
        <v>16700000</v>
      </c>
      <c r="M27" s="8"/>
    </row>
    <row r="28" spans="2:13" ht="27.95" customHeight="1">
      <c r="B28" s="23" t="s">
        <v>36</v>
      </c>
      <c r="C28" s="1" t="s">
        <v>35</v>
      </c>
      <c r="D28" s="1">
        <v>1901</v>
      </c>
      <c r="E28" s="1" t="s">
        <v>19</v>
      </c>
      <c r="F28" s="1" t="s">
        <v>7</v>
      </c>
      <c r="G28" s="1" t="s">
        <v>66</v>
      </c>
      <c r="H28" s="29">
        <v>15000000</v>
      </c>
      <c r="I28" s="32">
        <f t="shared" si="2"/>
        <v>1800000</v>
      </c>
      <c r="J28" s="38">
        <v>100000</v>
      </c>
      <c r="K28" s="38">
        <f t="shared" si="0"/>
        <v>16700000</v>
      </c>
      <c r="M28" s="8"/>
    </row>
    <row r="29" spans="2:13" ht="27.95" customHeight="1">
      <c r="B29" s="24"/>
      <c r="C29" s="1" t="s">
        <v>37</v>
      </c>
      <c r="D29" s="1">
        <v>1902</v>
      </c>
      <c r="E29" s="1" t="s">
        <v>13</v>
      </c>
      <c r="F29" s="1" t="s">
        <v>7</v>
      </c>
      <c r="G29" s="1" t="s">
        <v>66</v>
      </c>
      <c r="H29" s="29">
        <v>14498664</v>
      </c>
      <c r="I29" s="32">
        <f t="shared" si="2"/>
        <v>1739839.68</v>
      </c>
      <c r="J29" s="38">
        <f>2000000+9088579</f>
        <v>11088579</v>
      </c>
      <c r="K29" s="38">
        <f t="shared" si="0"/>
        <v>5149924.68</v>
      </c>
      <c r="M29" s="8"/>
    </row>
    <row r="30" spans="2:13" ht="27.95" customHeight="1">
      <c r="B30" s="24"/>
      <c r="C30" s="1" t="s">
        <v>38</v>
      </c>
      <c r="D30" s="1">
        <v>1903</v>
      </c>
      <c r="E30" s="31" t="s">
        <v>13</v>
      </c>
      <c r="F30" s="31" t="s">
        <v>7</v>
      </c>
      <c r="G30" s="1" t="s">
        <v>67</v>
      </c>
      <c r="H30" s="29">
        <v>13949153</v>
      </c>
      <c r="I30" s="32">
        <f t="shared" si="2"/>
        <v>1673898.3599999999</v>
      </c>
      <c r="J30" s="38">
        <f>500000+2500000</f>
        <v>3000000</v>
      </c>
      <c r="K30" s="38">
        <f t="shared" si="0"/>
        <v>12623051.359999999</v>
      </c>
      <c r="M30" s="8"/>
    </row>
    <row r="31" spans="2:13" ht="27.95" customHeight="1">
      <c r="B31" s="25"/>
      <c r="C31" s="1" t="s">
        <v>39</v>
      </c>
      <c r="D31" s="1">
        <v>1904</v>
      </c>
      <c r="E31" s="1" t="s">
        <v>19</v>
      </c>
      <c r="F31" s="1" t="s">
        <v>7</v>
      </c>
      <c r="G31" s="1" t="s">
        <v>66</v>
      </c>
      <c r="H31" s="29">
        <v>14256867</v>
      </c>
      <c r="I31" s="32">
        <f t="shared" si="2"/>
        <v>1710824.04</v>
      </c>
      <c r="J31" s="38">
        <f>1000000+1500000+2500000+92670+1000000+2000000+2000000+2000000+2500000</f>
        <v>14592670</v>
      </c>
      <c r="K31" s="38">
        <f t="shared" si="0"/>
        <v>1375021.0399999991</v>
      </c>
      <c r="M31" s="8"/>
    </row>
    <row r="32" spans="2:13" ht="27.95" customHeight="1">
      <c r="B32" s="23" t="s">
        <v>40</v>
      </c>
      <c r="C32" s="1" t="s">
        <v>41</v>
      </c>
      <c r="D32" s="1">
        <v>2001</v>
      </c>
      <c r="E32" s="1" t="s">
        <v>19</v>
      </c>
      <c r="F32" s="1" t="s">
        <v>7</v>
      </c>
      <c r="G32" s="1" t="s">
        <v>66</v>
      </c>
      <c r="H32" s="29">
        <v>17300345</v>
      </c>
      <c r="I32" s="32">
        <f t="shared" si="2"/>
        <v>2076041.4</v>
      </c>
      <c r="J32" s="38">
        <f>14600345+300000+300000</f>
        <v>15200345</v>
      </c>
      <c r="K32" s="38">
        <f t="shared" si="0"/>
        <v>4176041.3999999985</v>
      </c>
      <c r="M32" s="8"/>
    </row>
    <row r="33" spans="2:13" ht="27.95" customHeight="1">
      <c r="B33" s="24"/>
      <c r="C33" s="1"/>
      <c r="D33" s="1">
        <v>2002</v>
      </c>
      <c r="E33" s="31" t="s">
        <v>13</v>
      </c>
      <c r="F33" s="31" t="s">
        <v>8</v>
      </c>
      <c r="G33" s="1"/>
      <c r="H33" s="29"/>
      <c r="I33" s="32"/>
      <c r="J33" s="38"/>
      <c r="K33" s="38">
        <f t="shared" si="0"/>
        <v>0</v>
      </c>
      <c r="M33" s="8"/>
    </row>
    <row r="34" spans="2:13" ht="27.95" customHeight="1">
      <c r="B34" s="24"/>
      <c r="C34" s="1" t="s">
        <v>42</v>
      </c>
      <c r="D34" s="1">
        <v>2003</v>
      </c>
      <c r="E34" s="1" t="s">
        <v>13</v>
      </c>
      <c r="F34" s="1" t="s">
        <v>7</v>
      </c>
      <c r="G34" s="1" t="s">
        <v>66</v>
      </c>
      <c r="H34" s="29">
        <v>15398630</v>
      </c>
      <c r="I34" s="32">
        <f>H34*12%</f>
        <v>1847835.5999999999</v>
      </c>
      <c r="J34" s="38">
        <f>100000+3000000+7326412+1196473+46966+46966</f>
        <v>11716817</v>
      </c>
      <c r="K34" s="38">
        <f t="shared" si="0"/>
        <v>5529648.6000000015</v>
      </c>
      <c r="M34" s="8"/>
    </row>
    <row r="35" spans="2:13" ht="27.95" customHeight="1">
      <c r="B35" s="25"/>
      <c r="C35" s="1" t="s">
        <v>43</v>
      </c>
      <c r="D35" s="1">
        <v>2004</v>
      </c>
      <c r="E35" s="31" t="s">
        <v>19</v>
      </c>
      <c r="F35" s="31" t="s">
        <v>8</v>
      </c>
      <c r="G35" s="1"/>
      <c r="H35" s="37"/>
      <c r="I35" s="33"/>
      <c r="J35" s="38"/>
      <c r="K35" s="38">
        <f t="shared" si="0"/>
        <v>0</v>
      </c>
      <c r="M35" s="8"/>
    </row>
    <row r="36" spans="2:13" ht="27.95" customHeight="1">
      <c r="B36" s="23" t="s">
        <v>44</v>
      </c>
      <c r="C36" s="1" t="s">
        <v>45</v>
      </c>
      <c r="D36" s="1">
        <v>2101</v>
      </c>
      <c r="E36" s="1" t="s">
        <v>19</v>
      </c>
      <c r="F36" s="31" t="s">
        <v>7</v>
      </c>
      <c r="G36" s="1" t="s">
        <v>66</v>
      </c>
      <c r="H36" s="37">
        <v>14240940</v>
      </c>
      <c r="I36" s="30"/>
      <c r="J36" s="38">
        <v>14098531</v>
      </c>
      <c r="K36" s="38">
        <f t="shared" si="0"/>
        <v>142409</v>
      </c>
      <c r="M36" s="8"/>
    </row>
    <row r="37" spans="2:13" ht="27.95" customHeight="1">
      <c r="B37" s="24"/>
      <c r="C37" s="1" t="s">
        <v>46</v>
      </c>
      <c r="D37" s="1">
        <v>2102</v>
      </c>
      <c r="E37" s="1" t="s">
        <v>13</v>
      </c>
      <c r="F37" s="1" t="s">
        <v>7</v>
      </c>
      <c r="G37" s="1" t="s">
        <v>66</v>
      </c>
      <c r="H37" s="29">
        <v>14963847</v>
      </c>
      <c r="I37" s="32">
        <f>H37*12%</f>
        <v>1795661.64</v>
      </c>
      <c r="J37" s="38">
        <f>11376660</f>
        <v>11376660</v>
      </c>
      <c r="K37" s="38">
        <f t="shared" ref="K37:K68" si="3">H37+I37-J37</f>
        <v>5382848.6400000006</v>
      </c>
      <c r="M37" s="8"/>
    </row>
    <row r="38" spans="2:13" ht="27.95" customHeight="1">
      <c r="B38" s="24"/>
      <c r="C38" s="1" t="s">
        <v>47</v>
      </c>
      <c r="D38" s="1">
        <v>2103</v>
      </c>
      <c r="E38" s="1" t="s">
        <v>13</v>
      </c>
      <c r="F38" s="1" t="s">
        <v>7</v>
      </c>
      <c r="G38" s="1" t="s">
        <v>66</v>
      </c>
      <c r="H38" s="29">
        <v>12268195</v>
      </c>
      <c r="I38" s="32">
        <f>H38*12%</f>
        <v>1472183.4</v>
      </c>
      <c r="J38" s="38">
        <f>4200000+4651503+408531+79743</f>
        <v>9339777</v>
      </c>
      <c r="K38" s="38">
        <f t="shared" si="3"/>
        <v>4400601.4000000004</v>
      </c>
      <c r="M38" s="8"/>
    </row>
    <row r="39" spans="2:13" ht="27.95" customHeight="1">
      <c r="B39" s="25"/>
      <c r="C39" s="1" t="s">
        <v>48</v>
      </c>
      <c r="D39" s="1">
        <v>2104</v>
      </c>
      <c r="E39" s="31" t="s">
        <v>19</v>
      </c>
      <c r="F39" s="31" t="s">
        <v>7</v>
      </c>
      <c r="G39" s="1" t="s">
        <v>67</v>
      </c>
      <c r="H39" s="29">
        <v>20305085</v>
      </c>
      <c r="I39" s="32">
        <f>H39*12%</f>
        <v>2436610.1999999997</v>
      </c>
      <c r="J39" s="38">
        <f>5000000+11574583-1258305</f>
        <v>15316278</v>
      </c>
      <c r="K39" s="38">
        <f t="shared" si="3"/>
        <v>7425417.1999999993</v>
      </c>
      <c r="M39" s="8"/>
    </row>
    <row r="40" spans="2:13" ht="27.95" customHeight="1">
      <c r="B40" s="23" t="s">
        <v>49</v>
      </c>
      <c r="C40" s="1"/>
      <c r="D40" s="1">
        <v>2201</v>
      </c>
      <c r="E40" s="31" t="s">
        <v>19</v>
      </c>
      <c r="F40" s="31" t="s">
        <v>8</v>
      </c>
      <c r="G40" s="1"/>
      <c r="H40" s="29"/>
      <c r="I40" s="28"/>
      <c r="J40" s="38"/>
      <c r="K40" s="38">
        <f t="shared" si="3"/>
        <v>0</v>
      </c>
      <c r="M40" s="8"/>
    </row>
    <row r="41" spans="2:13" ht="27.95" customHeight="1">
      <c r="B41" s="24"/>
      <c r="C41" s="1"/>
      <c r="D41" s="1">
        <v>2202</v>
      </c>
      <c r="E41" s="31" t="s">
        <v>13</v>
      </c>
      <c r="F41" s="31" t="s">
        <v>8</v>
      </c>
      <c r="G41" s="1"/>
      <c r="H41" s="29"/>
      <c r="I41" s="29"/>
      <c r="J41" s="38"/>
      <c r="K41" s="38">
        <f t="shared" si="3"/>
        <v>0</v>
      </c>
      <c r="M41" s="8"/>
    </row>
    <row r="42" spans="2:13" ht="27.95" customHeight="1">
      <c r="B42" s="24"/>
      <c r="C42" s="1" t="s">
        <v>31</v>
      </c>
      <c r="D42" s="1"/>
      <c r="E42" s="31"/>
      <c r="F42" s="31" t="s">
        <v>32</v>
      </c>
      <c r="G42" s="1"/>
      <c r="H42" s="1"/>
      <c r="I42" s="30"/>
      <c r="J42" s="38"/>
      <c r="K42" s="38">
        <f t="shared" si="3"/>
        <v>0</v>
      </c>
      <c r="M42" s="8"/>
    </row>
    <row r="43" spans="2:13" ht="27.95" customHeight="1">
      <c r="B43" s="25"/>
      <c r="C43" s="1" t="s">
        <v>50</v>
      </c>
      <c r="D43" s="1">
        <v>2204</v>
      </c>
      <c r="E43" s="1" t="s">
        <v>19</v>
      </c>
      <c r="F43" s="1" t="s">
        <v>7</v>
      </c>
      <c r="G43" s="1" t="s">
        <v>66</v>
      </c>
      <c r="H43" s="29">
        <v>14063900</v>
      </c>
      <c r="I43" s="32">
        <f>H43*12%</f>
        <v>1687668</v>
      </c>
      <c r="J43" s="38">
        <f>2500000+5000000-883834+3530938+468328</f>
        <v>10615432</v>
      </c>
      <c r="K43" s="38">
        <f t="shared" si="3"/>
        <v>5136136</v>
      </c>
      <c r="M43" s="8"/>
    </row>
    <row r="44" spans="2:13" ht="27.95" customHeight="1">
      <c r="B44" s="23" t="s">
        <v>51</v>
      </c>
      <c r="C44" s="1" t="s">
        <v>52</v>
      </c>
      <c r="D44" s="1">
        <v>2301</v>
      </c>
      <c r="E44" s="1" t="s">
        <v>19</v>
      </c>
      <c r="F44" s="1" t="s">
        <v>7</v>
      </c>
      <c r="G44" s="1" t="s">
        <v>66</v>
      </c>
      <c r="H44" s="29">
        <v>15995997</v>
      </c>
      <c r="I44" s="32">
        <f>H44*12%</f>
        <v>1919519.64</v>
      </c>
      <c r="J44" s="38">
        <f>1000000+5161500+4161500+507889+48788+48788+6398+76821+633402+532667+4798</f>
        <v>12182551</v>
      </c>
      <c r="K44" s="38">
        <f t="shared" si="3"/>
        <v>5732965.6400000006</v>
      </c>
      <c r="M44" s="8"/>
    </row>
    <row r="45" spans="2:13" ht="27.95" customHeight="1">
      <c r="B45" s="24"/>
      <c r="C45" s="1"/>
      <c r="D45" s="1">
        <v>2302</v>
      </c>
      <c r="E45" s="31" t="s">
        <v>13</v>
      </c>
      <c r="F45" s="31" t="s">
        <v>8</v>
      </c>
      <c r="G45" s="1"/>
      <c r="H45" s="29"/>
      <c r="I45" s="33"/>
      <c r="J45" s="38"/>
      <c r="K45" s="38">
        <f t="shared" si="3"/>
        <v>0</v>
      </c>
      <c r="M45" s="8"/>
    </row>
    <row r="46" spans="2:13" ht="27.95" customHeight="1">
      <c r="B46" s="24"/>
      <c r="C46" s="1"/>
      <c r="D46" s="1">
        <v>2303</v>
      </c>
      <c r="E46" s="31" t="s">
        <v>13</v>
      </c>
      <c r="F46" s="31" t="s">
        <v>8</v>
      </c>
      <c r="G46" s="1"/>
      <c r="H46" s="29"/>
      <c r="I46" s="33"/>
      <c r="J46" s="38"/>
      <c r="K46" s="38">
        <f t="shared" si="3"/>
        <v>0</v>
      </c>
      <c r="M46" s="12"/>
    </row>
    <row r="47" spans="2:13" ht="27.95" customHeight="1">
      <c r="B47" s="25"/>
      <c r="C47" s="1" t="s">
        <v>53</v>
      </c>
      <c r="D47" s="1">
        <v>2304</v>
      </c>
      <c r="E47" s="31" t="s">
        <v>19</v>
      </c>
      <c r="F47" s="1" t="s">
        <v>7</v>
      </c>
      <c r="G47" s="1"/>
      <c r="H47" s="37">
        <v>20250336</v>
      </c>
      <c r="I47" s="32">
        <f>H47*12%</f>
        <v>2430040.3199999998</v>
      </c>
      <c r="J47" s="38">
        <f>14767725</f>
        <v>14767725</v>
      </c>
      <c r="K47" s="38">
        <f t="shared" si="3"/>
        <v>7912651.3200000003</v>
      </c>
      <c r="M47" s="12"/>
    </row>
    <row r="48" spans="2:13" ht="27.95" customHeight="1">
      <c r="B48" s="23" t="s">
        <v>54</v>
      </c>
      <c r="C48" s="1"/>
      <c r="D48" s="1">
        <v>2401</v>
      </c>
      <c r="E48" s="31" t="s">
        <v>19</v>
      </c>
      <c r="F48" s="31" t="s">
        <v>55</v>
      </c>
      <c r="G48" s="1"/>
      <c r="H48" s="37"/>
      <c r="I48" s="33"/>
      <c r="J48" s="38"/>
      <c r="K48" s="38">
        <f t="shared" si="3"/>
        <v>0</v>
      </c>
      <c r="M48" s="12"/>
    </row>
    <row r="49" spans="2:13" ht="27.95" customHeight="1">
      <c r="B49" s="24"/>
      <c r="C49" s="1"/>
      <c r="D49" s="1">
        <v>2402</v>
      </c>
      <c r="E49" s="31" t="s">
        <v>13</v>
      </c>
      <c r="F49" s="31" t="s">
        <v>8</v>
      </c>
      <c r="G49" s="1"/>
      <c r="H49" s="29"/>
      <c r="I49" s="33"/>
      <c r="J49" s="38"/>
      <c r="K49" s="38">
        <f t="shared" si="3"/>
        <v>0</v>
      </c>
      <c r="M49" s="12"/>
    </row>
    <row r="50" spans="2:13" ht="27.95" customHeight="1">
      <c r="B50" s="24"/>
      <c r="C50" s="1"/>
      <c r="D50" s="1">
        <v>2403</v>
      </c>
      <c r="E50" s="31" t="s">
        <v>13</v>
      </c>
      <c r="F50" s="31" t="s">
        <v>8</v>
      </c>
      <c r="G50" s="1"/>
      <c r="H50" s="29"/>
      <c r="I50" s="33"/>
      <c r="J50" s="38"/>
      <c r="K50" s="38">
        <f t="shared" si="3"/>
        <v>0</v>
      </c>
      <c r="M50" s="12"/>
    </row>
    <row r="51" spans="2:13" ht="27.95" customHeight="1">
      <c r="B51" s="25"/>
      <c r="C51" s="1" t="s">
        <v>56</v>
      </c>
      <c r="D51" s="1">
        <v>2404</v>
      </c>
      <c r="E51" s="31" t="s">
        <v>19</v>
      </c>
      <c r="F51" s="31" t="s">
        <v>7</v>
      </c>
      <c r="G51" s="1" t="s">
        <v>68</v>
      </c>
      <c r="H51" s="37">
        <f>21521523</f>
        <v>21521523</v>
      </c>
      <c r="I51" s="32">
        <f>H51*12%</f>
        <v>2582582.7599999998</v>
      </c>
      <c r="J51" s="38">
        <f>16244446</f>
        <v>16244446</v>
      </c>
      <c r="K51" s="38">
        <f t="shared" si="3"/>
        <v>7859659.7599999979</v>
      </c>
      <c r="M51" s="12"/>
    </row>
    <row r="52" spans="2:13" ht="27.95" customHeight="1">
      <c r="B52" s="23" t="s">
        <v>57</v>
      </c>
      <c r="C52" s="1"/>
      <c r="D52" s="1">
        <v>2501</v>
      </c>
      <c r="E52" s="31" t="s">
        <v>58</v>
      </c>
      <c r="F52" s="31" t="s">
        <v>8</v>
      </c>
      <c r="G52" s="1"/>
      <c r="H52" s="29"/>
      <c r="I52" s="33"/>
      <c r="J52" s="38"/>
      <c r="K52" s="38">
        <f t="shared" si="3"/>
        <v>0</v>
      </c>
    </row>
    <row r="53" spans="2:13" ht="27.95" customHeight="1">
      <c r="B53" s="24"/>
      <c r="C53" s="1"/>
      <c r="D53" s="1">
        <v>2502</v>
      </c>
      <c r="E53" s="31" t="s">
        <v>13</v>
      </c>
      <c r="F53" s="31" t="s">
        <v>8</v>
      </c>
      <c r="G53" s="1"/>
      <c r="H53" s="29"/>
      <c r="I53" s="33"/>
      <c r="J53" s="38"/>
      <c r="K53" s="38">
        <f t="shared" si="3"/>
        <v>0</v>
      </c>
    </row>
    <row r="54" spans="2:13" ht="27.95" customHeight="1">
      <c r="B54" s="24"/>
      <c r="C54" s="1"/>
      <c r="D54" s="1">
        <v>2503</v>
      </c>
      <c r="E54" s="31" t="s">
        <v>13</v>
      </c>
      <c r="F54" s="31" t="s">
        <v>8</v>
      </c>
      <c r="G54" s="1"/>
      <c r="H54" s="29"/>
      <c r="I54" s="33"/>
      <c r="J54" s="38"/>
      <c r="K54" s="38">
        <f t="shared" si="3"/>
        <v>0</v>
      </c>
    </row>
    <row r="55" spans="2:13" ht="27.95" customHeight="1">
      <c r="B55" s="25"/>
      <c r="C55" s="22"/>
      <c r="D55" s="1">
        <v>2504</v>
      </c>
      <c r="E55" s="1" t="s">
        <v>58</v>
      </c>
      <c r="F55" s="1" t="s">
        <v>8</v>
      </c>
      <c r="G55" s="1"/>
      <c r="H55" s="29"/>
      <c r="I55" s="33"/>
      <c r="J55" s="38"/>
      <c r="K55" s="38">
        <f t="shared" si="3"/>
        <v>0</v>
      </c>
    </row>
    <row r="56" spans="2:13" ht="27.95" customHeight="1">
      <c r="B56" s="23" t="s">
        <v>59</v>
      </c>
      <c r="C56" s="1"/>
      <c r="D56" s="1">
        <v>2601</v>
      </c>
      <c r="E56" s="31" t="s">
        <v>58</v>
      </c>
      <c r="F56" s="31" t="s">
        <v>8</v>
      </c>
      <c r="G56" s="1"/>
      <c r="H56" s="29"/>
      <c r="I56" s="33"/>
      <c r="J56" s="38"/>
      <c r="K56" s="38">
        <f t="shared" si="3"/>
        <v>0</v>
      </c>
    </row>
    <row r="57" spans="2:13" ht="27.95" customHeight="1">
      <c r="B57" s="24"/>
      <c r="C57" s="1"/>
      <c r="D57" s="1">
        <v>2602</v>
      </c>
      <c r="E57" s="31" t="s">
        <v>13</v>
      </c>
      <c r="F57" s="31" t="s">
        <v>8</v>
      </c>
      <c r="G57" s="1"/>
      <c r="H57" s="1"/>
      <c r="I57" s="1"/>
      <c r="J57" s="1"/>
      <c r="K57" s="38">
        <f t="shared" si="3"/>
        <v>0</v>
      </c>
    </row>
    <row r="58" spans="2:13" ht="27.95" customHeight="1">
      <c r="B58" s="24"/>
      <c r="C58" s="1"/>
      <c r="D58" s="1">
        <v>2603</v>
      </c>
      <c r="E58" s="31" t="s">
        <v>13</v>
      </c>
      <c r="F58" s="1" t="s">
        <v>8</v>
      </c>
      <c r="G58" s="1"/>
      <c r="H58" s="29"/>
      <c r="I58" s="32"/>
      <c r="J58" s="38"/>
      <c r="K58" s="38">
        <f t="shared" si="3"/>
        <v>0</v>
      </c>
    </row>
    <row r="59" spans="2:13" ht="27.95" customHeight="1">
      <c r="B59" s="25"/>
      <c r="C59" s="1"/>
      <c r="D59" s="1">
        <v>2604</v>
      </c>
      <c r="E59" s="1" t="s">
        <v>58</v>
      </c>
      <c r="F59" s="1" t="s">
        <v>8</v>
      </c>
      <c r="G59" s="1"/>
      <c r="H59" s="29"/>
      <c r="I59" s="32"/>
      <c r="J59" s="38"/>
      <c r="K59" s="38">
        <f t="shared" si="3"/>
        <v>0</v>
      </c>
    </row>
    <row r="60" spans="2:13" ht="27.95" customHeight="1">
      <c r="B60" s="23" t="s">
        <v>60</v>
      </c>
      <c r="C60" s="1"/>
      <c r="D60" s="1">
        <v>2701</v>
      </c>
      <c r="E60" s="31" t="s">
        <v>58</v>
      </c>
      <c r="F60" s="31" t="s">
        <v>8</v>
      </c>
      <c r="G60" s="1"/>
      <c r="H60" s="29"/>
      <c r="I60" s="33"/>
      <c r="J60" s="38"/>
      <c r="K60" s="38">
        <f t="shared" si="3"/>
        <v>0</v>
      </c>
    </row>
    <row r="61" spans="2:13" ht="27.95" customHeight="1">
      <c r="B61" s="24"/>
      <c r="C61" s="1"/>
      <c r="D61" s="1">
        <v>2702</v>
      </c>
      <c r="E61" s="31" t="s">
        <v>58</v>
      </c>
      <c r="F61" s="31" t="s">
        <v>8</v>
      </c>
      <c r="G61" s="1"/>
      <c r="H61" s="29"/>
      <c r="I61" s="33"/>
      <c r="J61" s="38"/>
      <c r="K61" s="38">
        <f t="shared" si="3"/>
        <v>0</v>
      </c>
    </row>
    <row r="62" spans="2:13" ht="27.95" customHeight="1">
      <c r="B62" s="24"/>
      <c r="C62" s="1" t="s">
        <v>31</v>
      </c>
      <c r="D62" s="1"/>
      <c r="E62" s="1"/>
      <c r="F62" s="31" t="s">
        <v>32</v>
      </c>
      <c r="G62" s="1"/>
      <c r="H62" s="29"/>
      <c r="I62" s="33"/>
      <c r="J62" s="38"/>
      <c r="K62" s="38">
        <f t="shared" si="3"/>
        <v>0</v>
      </c>
    </row>
    <row r="63" spans="2:13" ht="27.95" customHeight="1">
      <c r="B63" s="25"/>
      <c r="C63" s="1"/>
      <c r="D63" s="1">
        <v>2704</v>
      </c>
      <c r="E63" s="31" t="s">
        <v>58</v>
      </c>
      <c r="F63" s="31" t="s">
        <v>8</v>
      </c>
      <c r="G63" s="1"/>
      <c r="H63" s="29"/>
      <c r="I63" s="33"/>
      <c r="J63" s="38"/>
      <c r="K63" s="38">
        <f t="shared" si="3"/>
        <v>0</v>
      </c>
    </row>
    <row r="64" spans="2:13" ht="27.95" customHeight="1">
      <c r="B64" s="23" t="s">
        <v>61</v>
      </c>
      <c r="C64" s="40"/>
      <c r="D64" s="1">
        <v>2801</v>
      </c>
      <c r="E64" s="31" t="s">
        <v>58</v>
      </c>
      <c r="F64" s="31" t="s">
        <v>8</v>
      </c>
      <c r="G64" s="40"/>
      <c r="H64" s="40"/>
      <c r="I64" s="41"/>
      <c r="J64" s="38"/>
      <c r="K64" s="38">
        <f t="shared" si="3"/>
        <v>0</v>
      </c>
    </row>
    <row r="65" spans="2:11" ht="27.95" customHeight="1">
      <c r="B65" s="24"/>
      <c r="C65" s="40"/>
      <c r="D65" s="1">
        <v>2802</v>
      </c>
      <c r="E65" s="31" t="s">
        <v>13</v>
      </c>
      <c r="F65" s="31" t="s">
        <v>8</v>
      </c>
      <c r="G65" s="40"/>
      <c r="H65" s="40"/>
      <c r="I65" s="40"/>
      <c r="J65" s="38"/>
      <c r="K65" s="38">
        <f t="shared" si="3"/>
        <v>0</v>
      </c>
    </row>
    <row r="66" spans="2:11" ht="27.95" customHeight="1">
      <c r="B66" s="24"/>
      <c r="C66" s="1"/>
      <c r="D66" s="1">
        <v>2803</v>
      </c>
      <c r="E66" s="31" t="s">
        <v>13</v>
      </c>
      <c r="F66" s="31" t="s">
        <v>8</v>
      </c>
      <c r="G66" s="40"/>
      <c r="H66" s="40"/>
      <c r="I66" s="40"/>
      <c r="J66" s="38"/>
      <c r="K66" s="38">
        <f t="shared" si="3"/>
        <v>0</v>
      </c>
    </row>
    <row r="67" spans="2:11" ht="27.95" customHeight="1">
      <c r="B67" s="25"/>
      <c r="C67" s="1"/>
      <c r="D67" s="1">
        <v>2804</v>
      </c>
      <c r="E67" s="1" t="s">
        <v>58</v>
      </c>
      <c r="F67" s="1" t="s">
        <v>8</v>
      </c>
      <c r="G67" s="40"/>
      <c r="H67" s="40"/>
      <c r="I67" s="40"/>
      <c r="J67" s="38"/>
      <c r="K67" s="38">
        <f t="shared" si="3"/>
        <v>0</v>
      </c>
    </row>
    <row r="68" spans="2:11" ht="27.95" customHeight="1">
      <c r="B68" s="23" t="s">
        <v>62</v>
      </c>
      <c r="C68" s="1"/>
      <c r="D68" s="1">
        <v>2901</v>
      </c>
      <c r="E68" s="31" t="s">
        <v>58</v>
      </c>
      <c r="F68" s="31" t="s">
        <v>8</v>
      </c>
      <c r="G68" s="40"/>
      <c r="H68" s="40"/>
      <c r="I68" s="40"/>
      <c r="J68" s="38"/>
      <c r="K68" s="38">
        <f t="shared" si="3"/>
        <v>0</v>
      </c>
    </row>
    <row r="69" spans="2:11" ht="27.95" customHeight="1">
      <c r="B69" s="24"/>
      <c r="C69" s="1"/>
      <c r="D69" s="1">
        <v>2902</v>
      </c>
      <c r="E69" s="31" t="s">
        <v>13</v>
      </c>
      <c r="F69" s="31" t="s">
        <v>8</v>
      </c>
      <c r="G69" s="40"/>
      <c r="H69" s="40"/>
      <c r="I69" s="40"/>
      <c r="J69" s="38"/>
      <c r="K69" s="38">
        <f t="shared" ref="K69:K73" si="4">H69+I69-J69</f>
        <v>0</v>
      </c>
    </row>
    <row r="70" spans="2:11" ht="27.95" customHeight="1">
      <c r="B70" s="24"/>
      <c r="C70" s="1"/>
      <c r="D70" s="1">
        <v>2903</v>
      </c>
      <c r="E70" s="31" t="s">
        <v>13</v>
      </c>
      <c r="F70" s="31" t="s">
        <v>8</v>
      </c>
      <c r="G70" s="40"/>
      <c r="H70" s="40"/>
      <c r="I70" s="40"/>
      <c r="J70" s="38"/>
      <c r="K70" s="38">
        <f t="shared" si="4"/>
        <v>0</v>
      </c>
    </row>
    <row r="71" spans="2:11" ht="27.95" customHeight="1">
      <c r="B71" s="25"/>
      <c r="C71" s="1"/>
      <c r="D71" s="1">
        <v>2904</v>
      </c>
      <c r="E71" s="1" t="s">
        <v>58</v>
      </c>
      <c r="F71" s="31" t="s">
        <v>8</v>
      </c>
      <c r="G71" s="40"/>
      <c r="H71" s="40"/>
      <c r="I71" s="40"/>
      <c r="J71" s="38"/>
      <c r="K71" s="38">
        <f t="shared" si="4"/>
        <v>0</v>
      </c>
    </row>
    <row r="72" spans="2:11" ht="27.95" customHeight="1">
      <c r="B72" s="23" t="s">
        <v>63</v>
      </c>
      <c r="C72" s="31"/>
      <c r="D72" s="1">
        <v>3001</v>
      </c>
      <c r="E72" s="1" t="s">
        <v>58</v>
      </c>
      <c r="F72" s="31" t="s">
        <v>8</v>
      </c>
      <c r="G72" s="40"/>
      <c r="H72" s="40"/>
      <c r="I72" s="40"/>
      <c r="J72" s="38"/>
      <c r="K72" s="38">
        <f t="shared" si="4"/>
        <v>0</v>
      </c>
    </row>
    <row r="73" spans="2:11" ht="34.5">
      <c r="B73" s="24"/>
      <c r="C73" s="1" t="s">
        <v>64</v>
      </c>
      <c r="D73" s="1">
        <v>3002</v>
      </c>
      <c r="E73" s="40"/>
      <c r="F73" s="31" t="s">
        <v>7</v>
      </c>
      <c r="G73" s="1" t="s">
        <v>67</v>
      </c>
      <c r="H73" s="29">
        <v>18600000</v>
      </c>
      <c r="I73" s="32">
        <f>H73*12%</f>
        <v>2232000</v>
      </c>
      <c r="J73" s="38">
        <v>700000</v>
      </c>
      <c r="K73" s="38">
        <f t="shared" si="4"/>
        <v>20132000</v>
      </c>
    </row>
    <row r="74" spans="2:11">
      <c r="B74" s="42"/>
      <c r="C74" s="42"/>
      <c r="D74" s="42"/>
      <c r="E74" s="42"/>
      <c r="F74" s="42"/>
      <c r="G74" s="42"/>
      <c r="H74" s="42"/>
      <c r="I74" s="42"/>
      <c r="J74" s="42"/>
      <c r="K74" s="42"/>
    </row>
    <row r="75" spans="2:11">
      <c r="B75" s="42"/>
      <c r="C75" s="42"/>
      <c r="D75" s="42"/>
      <c r="E75" s="42"/>
      <c r="F75" s="42"/>
      <c r="G75" s="42"/>
      <c r="H75" s="42"/>
      <c r="I75" s="42"/>
      <c r="J75" s="42"/>
      <c r="K75" s="42"/>
    </row>
    <row r="76" spans="2:11" ht="18">
      <c r="B76" s="42"/>
      <c r="C76" s="42"/>
      <c r="D76" s="42"/>
      <c r="E76" s="42"/>
      <c r="F76" s="42"/>
      <c r="G76" s="42"/>
      <c r="H76" s="44">
        <f>SUBTOTAL(109,H3:H75)</f>
        <v>487503717</v>
      </c>
      <c r="I76" s="44">
        <f>SUBTOTAL(109,I3:I75)</f>
        <v>56791533.240000002</v>
      </c>
      <c r="J76" s="44">
        <f>SUBTOTAL(109,J3:J75)</f>
        <v>302273172</v>
      </c>
      <c r="K76" s="43">
        <f>SUM(K4:K75)</f>
        <v>242022078.24000001</v>
      </c>
    </row>
    <row r="81" spans="9:9">
      <c r="I81">
        <v>32</v>
      </c>
    </row>
    <row r="82" spans="9:9">
      <c r="I82">
        <v>33</v>
      </c>
    </row>
    <row r="83" spans="9:9">
      <c r="I83">
        <v>3</v>
      </c>
    </row>
  </sheetData>
  <dataConsolidate/>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3:P16"/>
  <sheetViews>
    <sheetView workbookViewId="0">
      <selection activeCell="E12" sqref="E12"/>
    </sheetView>
  </sheetViews>
  <sheetFormatPr defaultColWidth="9.140625" defaultRowHeight="15"/>
  <cols>
    <col min="1" max="2" width="9.140625" style="66"/>
    <col min="3" max="3" width="17.7109375" style="66" customWidth="1"/>
    <col min="4" max="4" width="23" style="66" customWidth="1"/>
    <col min="5" max="5" width="9" style="73" bestFit="1" customWidth="1"/>
    <col min="6" max="7" width="7.5703125" style="73" bestFit="1" customWidth="1"/>
    <col min="8" max="8" width="20.42578125" style="66" customWidth="1"/>
    <col min="9" max="16384" width="9.140625" style="66"/>
  </cols>
  <sheetData>
    <row r="3" spans="1:16" ht="29.25" customHeight="1">
      <c r="A3" s="65" t="s">
        <v>4</v>
      </c>
      <c r="B3" s="65" t="s">
        <v>43</v>
      </c>
      <c r="C3" s="196" t="s">
        <v>263</v>
      </c>
      <c r="D3" s="197"/>
      <c r="E3" s="197"/>
      <c r="F3" s="197"/>
      <c r="G3" s="197"/>
      <c r="H3" s="197"/>
    </row>
    <row r="4" spans="1:16">
      <c r="C4" s="264"/>
      <c r="D4" s="265"/>
      <c r="E4" s="265"/>
      <c r="F4" s="265"/>
      <c r="G4" s="265"/>
      <c r="H4" s="266"/>
    </row>
    <row r="5" spans="1:16" ht="42.75">
      <c r="C5" s="21" t="s">
        <v>162</v>
      </c>
      <c r="D5" s="21" t="s">
        <v>163</v>
      </c>
      <c r="E5" s="47">
        <v>44697</v>
      </c>
      <c r="F5" s="47">
        <f>EDATE(E5,12)+1</f>
        <v>45063</v>
      </c>
      <c r="G5" s="47">
        <f>EDATE(F5,12)+1</f>
        <v>45430</v>
      </c>
      <c r="H5" s="67" t="s">
        <v>178</v>
      </c>
    </row>
    <row r="6" spans="1:16">
      <c r="C6" s="247" t="s">
        <v>179</v>
      </c>
      <c r="D6" s="248"/>
      <c r="E6" s="68">
        <f>DCF!D13</f>
        <v>219.18255738400001</v>
      </c>
      <c r="F6" s="68">
        <f>DCF!E13</f>
        <v>266.239567384</v>
      </c>
      <c r="G6" s="68">
        <f>DCF!F13</f>
        <v>211.56732922200001</v>
      </c>
      <c r="H6" s="68">
        <f>SUM(E6:G6)</f>
        <v>696.98945399000002</v>
      </c>
    </row>
    <row r="7" spans="1:16">
      <c r="C7" s="267" t="s">
        <v>180</v>
      </c>
      <c r="D7" s="268"/>
      <c r="E7" s="53">
        <f>DCF!D39</f>
        <v>139.447591824</v>
      </c>
      <c r="F7" s="53">
        <f>DCF!E39</f>
        <v>51.646433611999996</v>
      </c>
      <c r="G7" s="53">
        <f>DCF!F39</f>
        <v>2.4387685279999998</v>
      </c>
      <c r="H7" s="68">
        <f>SUM(E7:G7)</f>
        <v>193.53279396399998</v>
      </c>
    </row>
    <row r="8" spans="1:16">
      <c r="C8" s="244"/>
      <c r="D8" s="245"/>
      <c r="E8" s="245"/>
      <c r="F8" s="245"/>
      <c r="G8" s="245"/>
      <c r="H8" s="246"/>
    </row>
    <row r="9" spans="1:16">
      <c r="C9" s="247" t="s">
        <v>181</v>
      </c>
      <c r="D9" s="248"/>
      <c r="E9" s="68">
        <f>DCF!D41</f>
        <v>79.734965560000006</v>
      </c>
      <c r="F9" s="68">
        <f>DCF!E41</f>
        <v>214.59313377199999</v>
      </c>
      <c r="G9" s="68">
        <f>DCF!F41</f>
        <v>209.12856069400002</v>
      </c>
      <c r="H9" s="68">
        <f>H6-H7</f>
        <v>503.45666002600001</v>
      </c>
      <c r="J9" s="69"/>
      <c r="K9" s="69"/>
      <c r="L9" s="69"/>
      <c r="M9" s="69"/>
      <c r="N9" s="69"/>
      <c r="O9" s="69"/>
      <c r="P9" s="69"/>
    </row>
    <row r="10" spans="1:16">
      <c r="C10" s="244"/>
      <c r="D10" s="245"/>
      <c r="E10" s="245"/>
      <c r="F10" s="245"/>
      <c r="G10" s="245"/>
      <c r="H10" s="246"/>
    </row>
    <row r="11" spans="1:16">
      <c r="C11" s="247" t="s">
        <v>182</v>
      </c>
      <c r="D11" s="248"/>
      <c r="E11" s="70">
        <f>DCF!$D$43</f>
        <v>445.9146846024513</v>
      </c>
      <c r="F11" s="249"/>
      <c r="G11" s="250"/>
      <c r="H11" s="251"/>
    </row>
    <row r="12" spans="1:16">
      <c r="C12" s="247" t="s">
        <v>183</v>
      </c>
      <c r="D12" s="248"/>
      <c r="E12" s="70">
        <f>ROUND(E11,-1)</f>
        <v>450</v>
      </c>
      <c r="F12" s="252"/>
      <c r="G12" s="253"/>
      <c r="H12" s="254"/>
    </row>
    <row r="13" spans="1:16">
      <c r="C13" s="255"/>
      <c r="D13" s="256"/>
      <c r="E13" s="256"/>
      <c r="F13" s="256"/>
      <c r="G13" s="256"/>
      <c r="H13" s="257"/>
    </row>
    <row r="14" spans="1:16">
      <c r="C14" s="236" t="s">
        <v>184</v>
      </c>
      <c r="D14" s="237"/>
      <c r="E14" s="71">
        <f>E12*(1-20%)</f>
        <v>360</v>
      </c>
      <c r="F14" s="258"/>
      <c r="G14" s="259"/>
      <c r="H14" s="260"/>
      <c r="I14" s="72">
        <f>E14*60%</f>
        <v>216</v>
      </c>
    </row>
    <row r="15" spans="1:16">
      <c r="C15" s="236" t="s">
        <v>185</v>
      </c>
      <c r="D15" s="237"/>
      <c r="E15" s="71">
        <f>E12*(1-30%)</f>
        <v>315</v>
      </c>
      <c r="F15" s="261"/>
      <c r="G15" s="262"/>
      <c r="H15" s="263"/>
    </row>
    <row r="16" spans="1:16" ht="16.5" customHeight="1">
      <c r="C16" s="241" t="s">
        <v>186</v>
      </c>
      <c r="D16" s="242"/>
      <c r="E16" s="242"/>
      <c r="F16" s="242"/>
      <c r="G16" s="242"/>
      <c r="H16" s="243"/>
    </row>
  </sheetData>
  <mergeCells count="15">
    <mergeCell ref="C9:D9"/>
    <mergeCell ref="C3:H3"/>
    <mergeCell ref="C4:H4"/>
    <mergeCell ref="C6:D6"/>
    <mergeCell ref="C7:D7"/>
    <mergeCell ref="C8:H8"/>
    <mergeCell ref="C16:H16"/>
    <mergeCell ref="C10:H10"/>
    <mergeCell ref="C11:D11"/>
    <mergeCell ref="F11:H12"/>
    <mergeCell ref="C12:D12"/>
    <mergeCell ref="C13:H13"/>
    <mergeCell ref="C14:D14"/>
    <mergeCell ref="F14:H15"/>
    <mergeCell ref="C15:D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C24:K62"/>
  <sheetViews>
    <sheetView topLeftCell="C28" workbookViewId="0">
      <selection activeCell="H62" sqref="H62"/>
    </sheetView>
  </sheetViews>
  <sheetFormatPr defaultRowHeight="15"/>
  <cols>
    <col min="3" max="3" width="11" bestFit="1" customWidth="1"/>
    <col min="4" max="4" width="35.140625" bestFit="1" customWidth="1"/>
    <col min="8" max="8" width="11.42578125" bestFit="1" customWidth="1"/>
    <col min="9" max="9" width="6.42578125" bestFit="1" customWidth="1"/>
    <col min="10" max="10" width="11.42578125" bestFit="1" customWidth="1"/>
  </cols>
  <sheetData>
    <row r="24" spans="3:4">
      <c r="C24">
        <v>9322767055</v>
      </c>
      <c r="D24" t="s">
        <v>190</v>
      </c>
    </row>
    <row r="25" spans="3:4">
      <c r="C25">
        <v>7045759996</v>
      </c>
      <c r="D25" t="s">
        <v>191</v>
      </c>
    </row>
    <row r="26" spans="3:4">
      <c r="C26">
        <v>9833636699</v>
      </c>
      <c r="D26" t="s">
        <v>192</v>
      </c>
    </row>
    <row r="57" spans="3:11" ht="15.75" thickBot="1"/>
    <row r="58" spans="3:11" ht="15.75" thickBot="1">
      <c r="C58" s="76">
        <v>1</v>
      </c>
      <c r="D58" s="76" t="s">
        <v>13</v>
      </c>
      <c r="E58" s="76">
        <v>62.76</v>
      </c>
      <c r="F58" s="76">
        <v>52</v>
      </c>
      <c r="G58" s="76">
        <v>26</v>
      </c>
      <c r="H58" s="82">
        <f>F58/$F$62</f>
        <v>0.3443708609271523</v>
      </c>
      <c r="I58" s="78">
        <f>G58/F58</f>
        <v>0.5</v>
      </c>
      <c r="J58" s="81"/>
      <c r="K58" s="79"/>
    </row>
    <row r="59" spans="3:11" ht="15.75" thickBot="1">
      <c r="C59" s="77">
        <v>2</v>
      </c>
      <c r="D59" s="77" t="s">
        <v>13</v>
      </c>
      <c r="E59" s="77">
        <v>66.37</v>
      </c>
      <c r="F59" s="77">
        <v>26</v>
      </c>
      <c r="G59" s="77">
        <v>6</v>
      </c>
      <c r="H59" s="82">
        <f t="shared" ref="H59:H61" si="0">F59/$F$62</f>
        <v>0.17218543046357615</v>
      </c>
      <c r="I59" s="78">
        <f t="shared" ref="I59:I61" si="1">G59/F59</f>
        <v>0.23076923076923078</v>
      </c>
      <c r="J59" s="81"/>
      <c r="K59" s="80"/>
    </row>
    <row r="60" spans="3:11" ht="15.75" thickBot="1">
      <c r="C60" s="76">
        <v>3</v>
      </c>
      <c r="D60" s="76" t="s">
        <v>19</v>
      </c>
      <c r="E60" s="76">
        <v>83.08</v>
      </c>
      <c r="F60" s="76">
        <v>47</v>
      </c>
      <c r="G60" s="76">
        <v>18</v>
      </c>
      <c r="H60" s="82">
        <f t="shared" si="0"/>
        <v>0.31125827814569534</v>
      </c>
      <c r="I60" s="78">
        <f t="shared" si="1"/>
        <v>0.38297872340425532</v>
      </c>
      <c r="J60" s="81"/>
    </row>
    <row r="61" spans="3:11" ht="15.75" thickBot="1">
      <c r="C61" s="77">
        <v>4</v>
      </c>
      <c r="D61" s="77" t="s">
        <v>19</v>
      </c>
      <c r="E61" s="77">
        <v>88.86</v>
      </c>
      <c r="F61" s="77">
        <v>26</v>
      </c>
      <c r="G61" s="77">
        <v>14</v>
      </c>
      <c r="H61" s="82">
        <f t="shared" si="0"/>
        <v>0.17218543046357615</v>
      </c>
      <c r="I61" s="78">
        <f t="shared" si="1"/>
        <v>0.53846153846153844</v>
      </c>
      <c r="J61" s="81"/>
    </row>
    <row r="62" spans="3:11">
      <c r="F62">
        <f>SUM(F58:F61)</f>
        <v>151</v>
      </c>
      <c r="G62">
        <f>_xlfn.VAR.P(G58:G61)</f>
        <v>52</v>
      </c>
      <c r="H62" s="82"/>
      <c r="I62" s="78">
        <f>SUMPRODUCT(H58:H61,I58:I61)</f>
        <v>0.42384105960264901</v>
      </c>
      <c r="J62" s="82">
        <f>I62/4</f>
        <v>0.10596026490066225</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249"/>
  <sheetViews>
    <sheetView workbookViewId="0">
      <selection activeCell="Q10" sqref="Q10"/>
    </sheetView>
  </sheetViews>
  <sheetFormatPr defaultRowHeight="15"/>
  <cols>
    <col min="3" max="3" width="10.140625" customWidth="1"/>
    <col min="4" max="4" width="18.42578125" bestFit="1" customWidth="1"/>
    <col min="5" max="5" width="7" customWidth="1"/>
    <col min="8" max="8" width="10.140625" customWidth="1"/>
    <col min="9" max="9" width="10.28515625" bestFit="1" customWidth="1"/>
    <col min="10" max="10" width="10.7109375" bestFit="1" customWidth="1"/>
    <col min="11" max="11" width="9.85546875" bestFit="1" customWidth="1"/>
    <col min="12" max="12" width="9.42578125" bestFit="1" customWidth="1"/>
    <col min="13" max="13" width="9.28515625" bestFit="1" customWidth="1"/>
    <col min="14" max="14" width="10.7109375" bestFit="1" customWidth="1"/>
    <col min="15" max="15" width="7" customWidth="1"/>
    <col min="16" max="16" width="10.28515625" bestFit="1" customWidth="1"/>
  </cols>
  <sheetData>
    <row r="1" spans="1:18">
      <c r="A1" t="s">
        <v>4</v>
      </c>
      <c r="C1" s="125" t="s">
        <v>225</v>
      </c>
      <c r="D1" s="125" t="s">
        <v>226</v>
      </c>
      <c r="E1" s="125" t="s">
        <v>227</v>
      </c>
      <c r="H1" t="s">
        <v>225</v>
      </c>
      <c r="I1" t="s">
        <v>228</v>
      </c>
      <c r="J1" t="s">
        <v>229</v>
      </c>
      <c r="K1" t="s">
        <v>230</v>
      </c>
      <c r="L1" t="s">
        <v>231</v>
      </c>
      <c r="M1" t="s">
        <v>232</v>
      </c>
      <c r="N1" t="s">
        <v>233</v>
      </c>
      <c r="O1" t="s">
        <v>227</v>
      </c>
    </row>
    <row r="2" spans="1:18">
      <c r="C2" s="159">
        <v>44320</v>
      </c>
      <c r="D2" s="125">
        <v>20619.62</v>
      </c>
      <c r="E2" s="126">
        <f>(D3-D2)/D3</f>
        <v>8.3021357968166305E-3</v>
      </c>
      <c r="F2" s="60"/>
      <c r="H2" s="137">
        <v>44320</v>
      </c>
      <c r="I2">
        <v>1309.7</v>
      </c>
      <c r="J2">
        <v>1309.7</v>
      </c>
      <c r="K2">
        <v>1345</v>
      </c>
      <c r="L2">
        <v>1280.1500000000001</v>
      </c>
      <c r="M2">
        <v>1284.95</v>
      </c>
      <c r="N2">
        <v>1283.8499999999999</v>
      </c>
      <c r="O2" s="56">
        <f>(N3-N2)/N3</f>
        <v>-4.9411476213830158E-2</v>
      </c>
      <c r="P2" s="78"/>
    </row>
    <row r="3" spans="1:18">
      <c r="C3" s="159">
        <v>44321</v>
      </c>
      <c r="D3" s="125">
        <v>20792.240000000002</v>
      </c>
      <c r="E3" s="126">
        <f t="shared" ref="E3:E66" si="0">(D4-D3)/D4</f>
        <v>7.2654230890246254E-3</v>
      </c>
      <c r="H3" s="137">
        <v>44321</v>
      </c>
      <c r="I3">
        <v>1283.8499999999999</v>
      </c>
      <c r="J3">
        <v>1288</v>
      </c>
      <c r="K3">
        <v>1308</v>
      </c>
      <c r="L3">
        <v>1210.1500000000001</v>
      </c>
      <c r="M3">
        <v>1221</v>
      </c>
      <c r="N3">
        <v>1223.4000000000001</v>
      </c>
      <c r="O3" s="56">
        <f t="shared" ref="O3:O66" si="1">(N4-N3)/N4</f>
        <v>2.4790753288162541E-2</v>
      </c>
    </row>
    <row r="4" spans="1:18">
      <c r="C4" s="159">
        <v>44322</v>
      </c>
      <c r="D4" s="125">
        <v>20944.41</v>
      </c>
      <c r="E4" s="126">
        <f t="shared" si="0"/>
        <v>6.6329100475899343E-3</v>
      </c>
      <c r="H4" s="137">
        <v>44322</v>
      </c>
      <c r="I4">
        <v>1223.4000000000001</v>
      </c>
      <c r="J4">
        <v>1220</v>
      </c>
      <c r="K4">
        <v>1258.25</v>
      </c>
      <c r="L4">
        <v>1200</v>
      </c>
      <c r="M4">
        <v>1255</v>
      </c>
      <c r="N4">
        <v>1254.5</v>
      </c>
      <c r="O4" s="56">
        <f t="shared" si="1"/>
        <v>-6.4987163029524295E-3</v>
      </c>
    </row>
    <row r="5" spans="1:18">
      <c r="C5" s="159">
        <v>44323</v>
      </c>
      <c r="D5" s="125">
        <v>21084.26</v>
      </c>
      <c r="E5" s="126">
        <f t="shared" si="0"/>
        <v>7.9769264790296741E-3</v>
      </c>
      <c r="H5" s="137">
        <v>44323</v>
      </c>
      <c r="I5">
        <v>1254.5</v>
      </c>
      <c r="J5">
        <v>1260</v>
      </c>
      <c r="K5">
        <v>1271.95</v>
      </c>
      <c r="L5">
        <v>1235.9000000000001</v>
      </c>
      <c r="M5">
        <v>1245.25</v>
      </c>
      <c r="N5">
        <v>1246.4000000000001</v>
      </c>
      <c r="O5" s="56">
        <f t="shared" si="1"/>
        <v>-3.2599508995051173E-3</v>
      </c>
    </row>
    <row r="6" spans="1:18">
      <c r="C6" s="159">
        <v>44326</v>
      </c>
      <c r="D6" s="125">
        <v>21253.8</v>
      </c>
      <c r="E6" s="126">
        <f t="shared" si="0"/>
        <v>-6.167056358477984E-3</v>
      </c>
      <c r="H6" s="137">
        <v>44326</v>
      </c>
      <c r="I6">
        <v>1246.4000000000001</v>
      </c>
      <c r="J6">
        <v>1254</v>
      </c>
      <c r="K6">
        <v>1256.95</v>
      </c>
      <c r="L6">
        <v>1223.95</v>
      </c>
      <c r="M6">
        <v>1247.95</v>
      </c>
      <c r="N6">
        <v>1242.3499999999999</v>
      </c>
      <c r="O6" s="56">
        <f t="shared" si="1"/>
        <v>1.3263968865414436E-2</v>
      </c>
      <c r="Q6" s="160" t="s">
        <v>251</v>
      </c>
      <c r="R6" s="160">
        <f>SLOPE(O2:O248,E2:E248)</f>
        <v>1.5643462460545814</v>
      </c>
    </row>
    <row r="7" spans="1:18">
      <c r="C7" s="159">
        <v>44327</v>
      </c>
      <c r="D7" s="125">
        <v>21123.53</v>
      </c>
      <c r="E7" s="126">
        <f t="shared" si="0"/>
        <v>-1.0495533657702942E-2</v>
      </c>
      <c r="H7" s="137">
        <v>44327</v>
      </c>
      <c r="I7">
        <v>1242.3499999999999</v>
      </c>
      <c r="J7">
        <v>1240</v>
      </c>
      <c r="K7">
        <v>1268</v>
      </c>
      <c r="L7">
        <v>1228.25</v>
      </c>
      <c r="M7">
        <v>1258.6500000000001</v>
      </c>
      <c r="N7">
        <v>1259.05</v>
      </c>
      <c r="O7" s="56">
        <f t="shared" si="1"/>
        <v>-1.5076389728705645E-2</v>
      </c>
    </row>
    <row r="8" spans="1:18">
      <c r="C8" s="159">
        <v>44328</v>
      </c>
      <c r="D8" s="125">
        <v>20904.13</v>
      </c>
      <c r="E8" s="126">
        <f t="shared" si="0"/>
        <v>-1.2726582991498866E-3</v>
      </c>
      <c r="H8" s="137">
        <v>44328</v>
      </c>
      <c r="I8">
        <v>1259.05</v>
      </c>
      <c r="J8">
        <v>1259</v>
      </c>
      <c r="K8">
        <v>1269</v>
      </c>
      <c r="L8">
        <v>1235.75</v>
      </c>
      <c r="M8">
        <v>1243</v>
      </c>
      <c r="N8">
        <v>1240.3499999999999</v>
      </c>
      <c r="O8" s="56">
        <f t="shared" si="1"/>
        <v>-1.5681297084834477E-2</v>
      </c>
    </row>
    <row r="9" spans="1:18">
      <c r="C9" s="159">
        <v>44330</v>
      </c>
      <c r="D9" s="125">
        <v>20877.560000000001</v>
      </c>
      <c r="E9" s="126">
        <f t="shared" si="0"/>
        <v>1.6440275447753238E-2</v>
      </c>
      <c r="H9" s="137">
        <v>44330</v>
      </c>
      <c r="I9">
        <v>1240.3499999999999</v>
      </c>
      <c r="J9">
        <v>1258</v>
      </c>
      <c r="K9">
        <v>1259.5</v>
      </c>
      <c r="L9">
        <v>1215.1500000000001</v>
      </c>
      <c r="M9">
        <v>1218.5</v>
      </c>
      <c r="N9">
        <v>1221.2</v>
      </c>
      <c r="O9" s="56">
        <f t="shared" si="1"/>
        <v>2.2257806244995959E-2</v>
      </c>
    </row>
    <row r="10" spans="1:18">
      <c r="C10" s="159">
        <v>44333</v>
      </c>
      <c r="D10" s="125">
        <v>21226.53</v>
      </c>
      <c r="E10" s="126">
        <f t="shared" si="0"/>
        <v>1.2239896954614355E-2</v>
      </c>
      <c r="H10" s="137">
        <v>44333</v>
      </c>
      <c r="I10">
        <v>1221.2</v>
      </c>
      <c r="J10">
        <v>1225.3499999999999</v>
      </c>
      <c r="K10">
        <v>1253</v>
      </c>
      <c r="L10">
        <v>1218.55</v>
      </c>
      <c r="M10">
        <v>1250</v>
      </c>
      <c r="N10">
        <v>1249</v>
      </c>
      <c r="O10" s="56">
        <f t="shared" si="1"/>
        <v>3.1923383878691143E-3</v>
      </c>
    </row>
    <row r="11" spans="1:18">
      <c r="C11" s="159">
        <v>44334</v>
      </c>
      <c r="D11" s="125">
        <v>21489.56</v>
      </c>
      <c r="E11" s="126">
        <f t="shared" si="0"/>
        <v>-5.1850649548079459E-3</v>
      </c>
      <c r="H11" s="137">
        <v>44334</v>
      </c>
      <c r="I11">
        <v>1249</v>
      </c>
      <c r="J11">
        <v>1258</v>
      </c>
      <c r="K11">
        <v>1269.8</v>
      </c>
      <c r="L11">
        <v>1245.45</v>
      </c>
      <c r="M11">
        <v>1256</v>
      </c>
      <c r="N11">
        <v>1253</v>
      </c>
      <c r="O11" s="56">
        <f t="shared" si="1"/>
        <v>2.189610085476754E-2</v>
      </c>
    </row>
    <row r="12" spans="1:18">
      <c r="C12" s="159">
        <v>44335</v>
      </c>
      <c r="D12" s="125">
        <v>21378.71</v>
      </c>
      <c r="E12" s="126">
        <f t="shared" si="0"/>
        <v>-8.3246038974239007E-3</v>
      </c>
      <c r="H12" s="137">
        <v>44335</v>
      </c>
      <c r="I12">
        <v>1253</v>
      </c>
      <c r="J12">
        <v>1253</v>
      </c>
      <c r="K12">
        <v>1314.65</v>
      </c>
      <c r="L12">
        <v>1253</v>
      </c>
      <c r="M12">
        <v>1278</v>
      </c>
      <c r="N12">
        <v>1281.05</v>
      </c>
      <c r="O12" s="56">
        <f t="shared" si="1"/>
        <v>5.8976448221007534E-3</v>
      </c>
    </row>
    <row r="13" spans="1:18">
      <c r="C13" s="159">
        <v>44336</v>
      </c>
      <c r="D13" s="125">
        <v>21202.21</v>
      </c>
      <c r="E13" s="126">
        <f t="shared" si="0"/>
        <v>1.774226575826568E-2</v>
      </c>
      <c r="H13" s="137">
        <v>44336</v>
      </c>
      <c r="I13">
        <v>1281.05</v>
      </c>
      <c r="J13">
        <v>1289.95</v>
      </c>
      <c r="K13">
        <v>1301.55</v>
      </c>
      <c r="L13">
        <v>1253.05</v>
      </c>
      <c r="M13">
        <v>1298</v>
      </c>
      <c r="N13">
        <v>1288.6500000000001</v>
      </c>
      <c r="O13" s="56">
        <f t="shared" si="1"/>
        <v>1.2717870139819887E-2</v>
      </c>
    </row>
    <row r="14" spans="1:18">
      <c r="C14" s="159">
        <v>44337</v>
      </c>
      <c r="D14" s="125">
        <v>21585.18</v>
      </c>
      <c r="E14" s="126">
        <f t="shared" si="0"/>
        <v>1.473375389681124E-3</v>
      </c>
      <c r="H14" s="137">
        <v>44337</v>
      </c>
      <c r="I14">
        <v>1288.6500000000001</v>
      </c>
      <c r="J14">
        <v>1306.2</v>
      </c>
      <c r="K14">
        <v>1327.95</v>
      </c>
      <c r="L14">
        <v>1300</v>
      </c>
      <c r="M14">
        <v>1307</v>
      </c>
      <c r="N14">
        <v>1305.25</v>
      </c>
      <c r="O14" s="56">
        <f t="shared" si="1"/>
        <v>3.4828261914445158E-2</v>
      </c>
    </row>
    <row r="15" spans="1:18">
      <c r="C15" s="159">
        <v>44340</v>
      </c>
      <c r="D15" s="125">
        <v>21617.03</v>
      </c>
      <c r="E15" s="126">
        <f t="shared" si="0"/>
        <v>1.0171430895271711E-3</v>
      </c>
      <c r="H15" s="137">
        <v>44340</v>
      </c>
      <c r="I15">
        <v>1305.25</v>
      </c>
      <c r="J15">
        <v>1309.95</v>
      </c>
      <c r="K15">
        <v>1363.65</v>
      </c>
      <c r="L15">
        <v>1308</v>
      </c>
      <c r="M15">
        <v>1352.95</v>
      </c>
      <c r="N15">
        <v>1352.35</v>
      </c>
      <c r="O15" s="56">
        <f t="shared" si="1"/>
        <v>-6.9620253164556284E-3</v>
      </c>
    </row>
    <row r="16" spans="1:18">
      <c r="C16" s="159">
        <v>44341</v>
      </c>
      <c r="D16" s="125">
        <v>21639.040000000001</v>
      </c>
      <c r="E16" s="126">
        <f t="shared" si="0"/>
        <v>6.0772529034716577E-3</v>
      </c>
      <c r="H16" s="137">
        <v>44341</v>
      </c>
      <c r="I16">
        <v>1352.35</v>
      </c>
      <c r="J16">
        <v>1364.95</v>
      </c>
      <c r="K16">
        <v>1364.95</v>
      </c>
      <c r="L16">
        <v>1335.6</v>
      </c>
      <c r="M16">
        <v>1347</v>
      </c>
      <c r="N16">
        <v>1343</v>
      </c>
      <c r="O16" s="56">
        <f t="shared" si="1"/>
        <v>4.1155314967928182E-3</v>
      </c>
    </row>
    <row r="17" spans="3:15">
      <c r="C17" s="159">
        <v>44342</v>
      </c>
      <c r="D17" s="125">
        <v>21771.35</v>
      </c>
      <c r="E17" s="126">
        <f t="shared" si="0"/>
        <v>2.3731690306711536E-3</v>
      </c>
      <c r="H17" s="137">
        <v>44342</v>
      </c>
      <c r="I17">
        <v>1343</v>
      </c>
      <c r="J17">
        <v>1347</v>
      </c>
      <c r="K17">
        <v>1359.7</v>
      </c>
      <c r="L17">
        <v>1334.55</v>
      </c>
      <c r="M17">
        <v>1349.95</v>
      </c>
      <c r="N17">
        <v>1348.55</v>
      </c>
      <c r="O17" s="56">
        <f t="shared" si="1"/>
        <v>9.6206807916866567E-3</v>
      </c>
    </row>
    <row r="18" spans="3:15">
      <c r="C18" s="159">
        <v>44343</v>
      </c>
      <c r="D18" s="125">
        <v>21823.14</v>
      </c>
      <c r="E18" s="126">
        <f t="shared" si="0"/>
        <v>6.3367651217017644E-3</v>
      </c>
      <c r="H18" s="137">
        <v>44343</v>
      </c>
      <c r="I18">
        <v>1348.55</v>
      </c>
      <c r="J18">
        <v>1358.55</v>
      </c>
      <c r="K18">
        <v>1384.6</v>
      </c>
      <c r="L18">
        <v>1337.75</v>
      </c>
      <c r="M18">
        <v>1366.6</v>
      </c>
      <c r="N18">
        <v>1361.65</v>
      </c>
      <c r="O18" s="56">
        <f t="shared" si="1"/>
        <v>-1.3236754053757268E-3</v>
      </c>
    </row>
    <row r="19" spans="3:15">
      <c r="C19" s="159">
        <v>44344</v>
      </c>
      <c r="D19" s="125">
        <v>21962.31</v>
      </c>
      <c r="E19" s="126">
        <f t="shared" si="0"/>
        <v>1.0866711194000558E-2</v>
      </c>
      <c r="H19" s="137">
        <v>44344</v>
      </c>
      <c r="I19">
        <v>1361.65</v>
      </c>
      <c r="J19">
        <v>1376.95</v>
      </c>
      <c r="K19">
        <v>1376.95</v>
      </c>
      <c r="L19">
        <v>1347.55</v>
      </c>
      <c r="M19">
        <v>1360</v>
      </c>
      <c r="N19">
        <v>1359.85</v>
      </c>
      <c r="O19" s="56">
        <f t="shared" si="1"/>
        <v>7.1913557713368884E-3</v>
      </c>
    </row>
    <row r="20" spans="3:15">
      <c r="C20" s="159">
        <v>44347</v>
      </c>
      <c r="D20" s="125">
        <v>22203.59</v>
      </c>
      <c r="E20" s="126">
        <f t="shared" si="0"/>
        <v>-5.1098919667902734E-4</v>
      </c>
      <c r="H20" s="137">
        <v>44347</v>
      </c>
      <c r="I20">
        <v>1359.85</v>
      </c>
      <c r="J20">
        <v>1370</v>
      </c>
      <c r="K20">
        <v>1394.9</v>
      </c>
      <c r="L20">
        <v>1350.85</v>
      </c>
      <c r="M20">
        <v>1369</v>
      </c>
      <c r="N20">
        <v>1369.7</v>
      </c>
      <c r="O20" s="56">
        <f t="shared" si="1"/>
        <v>-6.3184189258688834E-3</v>
      </c>
    </row>
    <row r="21" spans="3:15">
      <c r="C21" s="159">
        <v>44348</v>
      </c>
      <c r="D21" s="125">
        <v>22192.25</v>
      </c>
      <c r="E21" s="126">
        <f t="shared" si="0"/>
        <v>8.6959734488964717E-5</v>
      </c>
      <c r="H21" s="137">
        <v>44348</v>
      </c>
      <c r="I21">
        <v>1369.7</v>
      </c>
      <c r="J21">
        <v>1380</v>
      </c>
      <c r="K21">
        <v>1386.95</v>
      </c>
      <c r="L21">
        <v>1351.6</v>
      </c>
      <c r="M21">
        <v>1364</v>
      </c>
      <c r="N21">
        <v>1361.1</v>
      </c>
      <c r="O21" s="56">
        <f t="shared" si="1"/>
        <v>2.1249056196742659E-2</v>
      </c>
    </row>
    <row r="22" spans="3:15">
      <c r="C22" s="159">
        <v>44349</v>
      </c>
      <c r="D22" s="125">
        <v>22194.18</v>
      </c>
      <c r="E22" s="126">
        <f t="shared" si="0"/>
        <v>7.4984817899763382E-3</v>
      </c>
      <c r="H22" s="137">
        <v>44349</v>
      </c>
      <c r="I22">
        <v>1361.1</v>
      </c>
      <c r="J22">
        <v>1362</v>
      </c>
      <c r="K22">
        <v>1394.55</v>
      </c>
      <c r="L22">
        <v>1361.1</v>
      </c>
      <c r="M22">
        <v>1390</v>
      </c>
      <c r="N22">
        <v>1390.65</v>
      </c>
      <c r="O22" s="56">
        <f t="shared" si="1"/>
        <v>1.1339399971562504E-2</v>
      </c>
    </row>
    <row r="23" spans="3:15">
      <c r="C23" s="159">
        <v>44350</v>
      </c>
      <c r="D23" s="125">
        <v>22361.86</v>
      </c>
      <c r="E23" s="126">
        <f t="shared" si="0"/>
        <v>-1.2819462299005124E-3</v>
      </c>
      <c r="H23" s="137">
        <v>44350</v>
      </c>
      <c r="I23">
        <v>1390.65</v>
      </c>
      <c r="J23">
        <v>1399.85</v>
      </c>
      <c r="K23">
        <v>1429.7</v>
      </c>
      <c r="L23">
        <v>1392.15</v>
      </c>
      <c r="M23">
        <v>1404.1</v>
      </c>
      <c r="N23">
        <v>1406.6</v>
      </c>
      <c r="O23" s="56">
        <f t="shared" si="1"/>
        <v>1.6679087263566034E-3</v>
      </c>
    </row>
    <row r="24" spans="3:15">
      <c r="C24" s="159">
        <v>44351</v>
      </c>
      <c r="D24" s="125">
        <v>22333.23</v>
      </c>
      <c r="E24" s="126">
        <f t="shared" si="0"/>
        <v>5.1676582369827228E-3</v>
      </c>
      <c r="H24" s="137">
        <v>44351</v>
      </c>
      <c r="I24">
        <v>1406.6</v>
      </c>
      <c r="J24">
        <v>1419.5</v>
      </c>
      <c r="K24">
        <v>1425</v>
      </c>
      <c r="L24">
        <v>1403.05</v>
      </c>
      <c r="M24">
        <v>1408.1</v>
      </c>
      <c r="N24">
        <v>1408.95</v>
      </c>
      <c r="O24" s="56">
        <f t="shared" si="1"/>
        <v>-3.668613762644316E-3</v>
      </c>
    </row>
    <row r="25" spans="3:15">
      <c r="C25" s="159">
        <v>44354</v>
      </c>
      <c r="D25" s="125">
        <v>22449.24</v>
      </c>
      <c r="E25" s="126">
        <f t="shared" si="0"/>
        <v>-7.3419377098776317E-4</v>
      </c>
      <c r="H25" s="137">
        <v>44354</v>
      </c>
      <c r="I25">
        <v>1408.95</v>
      </c>
      <c r="J25">
        <v>1417</v>
      </c>
      <c r="K25">
        <v>1426</v>
      </c>
      <c r="L25">
        <v>1400.7</v>
      </c>
      <c r="M25">
        <v>1403</v>
      </c>
      <c r="N25">
        <v>1403.8</v>
      </c>
      <c r="O25" s="56">
        <f t="shared" si="1"/>
        <v>2.4161455372371313E-3</v>
      </c>
    </row>
    <row r="26" spans="3:15">
      <c r="C26" s="159">
        <v>44355</v>
      </c>
      <c r="D26" s="125">
        <v>22432.77</v>
      </c>
      <c r="E26" s="126">
        <f t="shared" si="0"/>
        <v>-6.6977748578321552E-3</v>
      </c>
      <c r="H26" s="137">
        <v>44355</v>
      </c>
      <c r="I26">
        <v>1403.8</v>
      </c>
      <c r="J26">
        <v>1411.25</v>
      </c>
      <c r="K26">
        <v>1417.5</v>
      </c>
      <c r="L26">
        <v>1372</v>
      </c>
      <c r="M26">
        <v>1407.2</v>
      </c>
      <c r="N26">
        <v>1407.2</v>
      </c>
      <c r="O26" s="56">
        <f t="shared" si="1"/>
        <v>-2.6362664766655117E-3</v>
      </c>
    </row>
    <row r="27" spans="3:15">
      <c r="C27" s="159">
        <v>44356</v>
      </c>
      <c r="D27" s="125">
        <v>22283.52</v>
      </c>
      <c r="E27" s="126">
        <f t="shared" si="0"/>
        <v>7.3687220866552388E-3</v>
      </c>
      <c r="H27" s="137">
        <v>44356</v>
      </c>
      <c r="I27">
        <v>1407.2</v>
      </c>
      <c r="J27">
        <v>1410.2</v>
      </c>
      <c r="K27">
        <v>1442.95</v>
      </c>
      <c r="L27">
        <v>1392.6</v>
      </c>
      <c r="M27">
        <v>1405</v>
      </c>
      <c r="N27">
        <v>1403.5</v>
      </c>
      <c r="O27" s="56">
        <f t="shared" si="1"/>
        <v>2.4636019319642825E-2</v>
      </c>
    </row>
    <row r="28" spans="3:15">
      <c r="C28" s="159">
        <v>44357</v>
      </c>
      <c r="D28" s="125">
        <v>22448.94</v>
      </c>
      <c r="E28" s="126">
        <f t="shared" si="0"/>
        <v>4.2281272483550014E-3</v>
      </c>
      <c r="H28" s="137">
        <v>44357</v>
      </c>
      <c r="I28">
        <v>1403.5</v>
      </c>
      <c r="J28">
        <v>1410</v>
      </c>
      <c r="K28">
        <v>1445.9</v>
      </c>
      <c r="L28">
        <v>1402</v>
      </c>
      <c r="M28">
        <v>1435.25</v>
      </c>
      <c r="N28">
        <v>1438.95</v>
      </c>
      <c r="O28" s="56">
        <f t="shared" si="1"/>
        <v>-1.2097766836645011E-2</v>
      </c>
    </row>
    <row r="29" spans="3:15">
      <c r="C29" s="159">
        <v>44358</v>
      </c>
      <c r="D29" s="125">
        <v>22544.26</v>
      </c>
      <c r="E29" s="126">
        <f t="shared" si="0"/>
        <v>1.0125354996719643E-3</v>
      </c>
      <c r="H29" s="137">
        <v>44358</v>
      </c>
      <c r="I29">
        <v>1438.95</v>
      </c>
      <c r="J29">
        <v>1448</v>
      </c>
      <c r="K29">
        <v>1450</v>
      </c>
      <c r="L29">
        <v>1418.6</v>
      </c>
      <c r="M29">
        <v>1422</v>
      </c>
      <c r="N29">
        <v>1421.75</v>
      </c>
      <c r="O29" s="56">
        <f t="shared" si="1"/>
        <v>-8.1903276131044915E-3</v>
      </c>
    </row>
    <row r="30" spans="3:15">
      <c r="C30" s="159">
        <v>44361</v>
      </c>
      <c r="D30" s="125">
        <v>22567.11</v>
      </c>
      <c r="E30" s="126">
        <f t="shared" si="0"/>
        <v>3.6178117846001794E-3</v>
      </c>
      <c r="H30" s="137">
        <v>44361</v>
      </c>
      <c r="I30">
        <v>1421.75</v>
      </c>
      <c r="J30">
        <v>1424.45</v>
      </c>
      <c r="K30">
        <v>1426.95</v>
      </c>
      <c r="L30">
        <v>1380.75</v>
      </c>
      <c r="M30">
        <v>1413.15</v>
      </c>
      <c r="N30">
        <v>1410.2</v>
      </c>
      <c r="O30" s="56">
        <f t="shared" si="1"/>
        <v>1.5464097462212353E-2</v>
      </c>
    </row>
    <row r="31" spans="3:15">
      <c r="C31" s="159">
        <v>44362</v>
      </c>
      <c r="D31" s="125">
        <v>22649.05</v>
      </c>
      <c r="E31" s="126">
        <f t="shared" si="0"/>
        <v>-6.4499931123048809E-3</v>
      </c>
      <c r="H31" s="137">
        <v>44362</v>
      </c>
      <c r="I31">
        <v>1410.2</v>
      </c>
      <c r="J31">
        <v>1423</v>
      </c>
      <c r="K31">
        <v>1439</v>
      </c>
      <c r="L31">
        <v>1412.05</v>
      </c>
      <c r="M31">
        <v>1430</v>
      </c>
      <c r="N31">
        <v>1432.35</v>
      </c>
      <c r="O31" s="56">
        <f t="shared" si="1"/>
        <v>-1.5382979477545682E-2</v>
      </c>
    </row>
    <row r="32" spans="3:15">
      <c r="C32" s="159">
        <v>44363</v>
      </c>
      <c r="D32" s="125">
        <v>22503.9</v>
      </c>
      <c r="E32" s="126">
        <f t="shared" si="0"/>
        <v>-4.5643959261929363E-3</v>
      </c>
      <c r="H32" s="137">
        <v>44363</v>
      </c>
      <c r="I32">
        <v>1432.35</v>
      </c>
      <c r="J32">
        <v>1432.35</v>
      </c>
      <c r="K32">
        <v>1441.95</v>
      </c>
      <c r="L32">
        <v>1397.65</v>
      </c>
      <c r="M32">
        <v>1410.35</v>
      </c>
      <c r="N32">
        <v>1410.65</v>
      </c>
      <c r="O32" s="56">
        <f t="shared" si="1"/>
        <v>-1.3361589023382879E-2</v>
      </c>
    </row>
    <row r="33" spans="3:15">
      <c r="C33" s="159">
        <v>44364</v>
      </c>
      <c r="D33" s="125">
        <v>22401.65</v>
      </c>
      <c r="E33" s="126">
        <f t="shared" si="0"/>
        <v>-5.1540613243976352E-4</v>
      </c>
      <c r="H33" s="137">
        <v>44364</v>
      </c>
      <c r="I33">
        <v>1410.65</v>
      </c>
      <c r="J33">
        <v>1399.9</v>
      </c>
      <c r="K33">
        <v>1427</v>
      </c>
      <c r="L33">
        <v>1381</v>
      </c>
      <c r="M33">
        <v>1390</v>
      </c>
      <c r="N33">
        <v>1392.05</v>
      </c>
      <c r="O33" s="56">
        <f t="shared" si="1"/>
        <v>-3.5685963521015396E-3</v>
      </c>
    </row>
    <row r="34" spans="3:15">
      <c r="C34" s="159">
        <v>44365</v>
      </c>
      <c r="D34" s="125">
        <v>22390.11</v>
      </c>
      <c r="E34" s="126">
        <f t="shared" si="0"/>
        <v>4.0119571358032896E-3</v>
      </c>
      <c r="H34" s="137">
        <v>44365</v>
      </c>
      <c r="I34">
        <v>1392.05</v>
      </c>
      <c r="J34">
        <v>1399.4</v>
      </c>
      <c r="K34">
        <v>1404.6</v>
      </c>
      <c r="L34">
        <v>1331.35</v>
      </c>
      <c r="M34">
        <v>1393</v>
      </c>
      <c r="N34">
        <v>1387.1</v>
      </c>
      <c r="O34" s="56">
        <f t="shared" si="1"/>
        <v>2.2893772893772896E-2</v>
      </c>
    </row>
    <row r="35" spans="3:15">
      <c r="C35" s="159">
        <v>44368</v>
      </c>
      <c r="D35" s="125">
        <v>22480.3</v>
      </c>
      <c r="E35" s="126">
        <f t="shared" si="0"/>
        <v>1.6626890620462945E-3</v>
      </c>
      <c r="H35" s="137">
        <v>44368</v>
      </c>
      <c r="I35">
        <v>1387.1</v>
      </c>
      <c r="J35">
        <v>1360</v>
      </c>
      <c r="K35">
        <v>1422</v>
      </c>
      <c r="L35">
        <v>1352</v>
      </c>
      <c r="M35">
        <v>1418.35</v>
      </c>
      <c r="N35">
        <v>1419.6</v>
      </c>
      <c r="O35" s="56">
        <f t="shared" si="1"/>
        <v>-1.2625722234110719E-2</v>
      </c>
    </row>
    <row r="36" spans="3:15">
      <c r="C36" s="159">
        <v>44369</v>
      </c>
      <c r="D36" s="125">
        <v>22517.74</v>
      </c>
      <c r="E36" s="126">
        <f t="shared" si="0"/>
        <v>-5.4694633906744328E-3</v>
      </c>
      <c r="H36" s="137">
        <v>44369</v>
      </c>
      <c r="I36">
        <v>1419.6</v>
      </c>
      <c r="J36">
        <v>1429.95</v>
      </c>
      <c r="K36">
        <v>1429.95</v>
      </c>
      <c r="L36">
        <v>1396.3</v>
      </c>
      <c r="M36">
        <v>1400</v>
      </c>
      <c r="N36">
        <v>1401.9</v>
      </c>
      <c r="O36" s="56">
        <f t="shared" si="1"/>
        <v>2.4194122251475583E-3</v>
      </c>
    </row>
    <row r="37" spans="3:15">
      <c r="C37" s="159">
        <v>44370</v>
      </c>
      <c r="D37" s="125">
        <v>22395.25</v>
      </c>
      <c r="E37" s="126">
        <f t="shared" si="0"/>
        <v>6.6096647217517186E-3</v>
      </c>
      <c r="H37" s="137">
        <v>44370</v>
      </c>
      <c r="I37">
        <v>1401.9</v>
      </c>
      <c r="J37">
        <v>1415</v>
      </c>
      <c r="K37">
        <v>1416.5</v>
      </c>
      <c r="L37">
        <v>1396.4</v>
      </c>
      <c r="M37">
        <v>1406</v>
      </c>
      <c r="N37">
        <v>1405.3</v>
      </c>
      <c r="O37" s="56">
        <f t="shared" si="1"/>
        <v>-1.5720429330345849E-2</v>
      </c>
    </row>
    <row r="38" spans="3:15">
      <c r="C38" s="159">
        <v>44371</v>
      </c>
      <c r="D38" s="125">
        <v>22544.26</v>
      </c>
      <c r="E38" s="126">
        <f t="shared" si="0"/>
        <v>4.4073368468376655E-3</v>
      </c>
      <c r="H38" s="137">
        <v>44371</v>
      </c>
      <c r="I38">
        <v>1405.3</v>
      </c>
      <c r="J38">
        <v>1409.7</v>
      </c>
      <c r="K38">
        <v>1416.45</v>
      </c>
      <c r="L38">
        <v>1380.05</v>
      </c>
      <c r="M38">
        <v>1383.1</v>
      </c>
      <c r="N38">
        <v>1383.55</v>
      </c>
      <c r="O38" s="56">
        <f t="shared" si="1"/>
        <v>1.2490632025980514E-2</v>
      </c>
    </row>
    <row r="39" spans="3:15">
      <c r="C39" s="159">
        <v>44372</v>
      </c>
      <c r="D39" s="125">
        <v>22644.06</v>
      </c>
      <c r="E39" s="126">
        <f t="shared" si="0"/>
        <v>-2.887656861329612E-3</v>
      </c>
      <c r="H39" s="137">
        <v>44372</v>
      </c>
      <c r="I39">
        <v>1383.55</v>
      </c>
      <c r="J39">
        <v>1390.45</v>
      </c>
      <c r="K39">
        <v>1411.25</v>
      </c>
      <c r="L39">
        <v>1386</v>
      </c>
      <c r="M39">
        <v>1397.1</v>
      </c>
      <c r="N39">
        <v>1401.05</v>
      </c>
      <c r="O39" s="56">
        <f t="shared" si="1"/>
        <v>6.7760342368048895E-4</v>
      </c>
    </row>
    <row r="40" spans="3:15">
      <c r="C40" s="159">
        <v>44375</v>
      </c>
      <c r="D40" s="125">
        <v>22578.86</v>
      </c>
      <c r="E40" s="126">
        <f t="shared" si="0"/>
        <v>-3.7904114948252854E-3</v>
      </c>
      <c r="H40" s="137">
        <v>44375</v>
      </c>
      <c r="I40">
        <v>1401.05</v>
      </c>
      <c r="J40">
        <v>1401.05</v>
      </c>
      <c r="K40">
        <v>1414.6</v>
      </c>
      <c r="L40">
        <v>1395</v>
      </c>
      <c r="M40">
        <v>1402</v>
      </c>
      <c r="N40">
        <v>1402</v>
      </c>
      <c r="O40" s="56">
        <f t="shared" si="1"/>
        <v>9.887005649717515E-3</v>
      </c>
    </row>
    <row r="41" spans="3:15">
      <c r="C41" s="159">
        <v>44376</v>
      </c>
      <c r="D41" s="125">
        <v>22493.599999999999</v>
      </c>
      <c r="E41" s="126">
        <f t="shared" si="0"/>
        <v>-1.6877674710651556E-3</v>
      </c>
      <c r="H41" s="137">
        <v>44376</v>
      </c>
      <c r="I41">
        <v>490</v>
      </c>
      <c r="J41">
        <v>1416</v>
      </c>
      <c r="K41">
        <v>1416</v>
      </c>
      <c r="L41">
        <v>1416</v>
      </c>
      <c r="M41">
        <v>1416</v>
      </c>
      <c r="N41">
        <v>1416</v>
      </c>
      <c r="O41" s="56">
        <f t="shared" si="1"/>
        <v>-1.3020460723994882E-2</v>
      </c>
    </row>
    <row r="42" spans="3:15">
      <c r="C42" s="159">
        <v>44377</v>
      </c>
      <c r="D42" s="125">
        <v>22455.7</v>
      </c>
      <c r="E42" s="126">
        <f t="shared" si="0"/>
        <v>-2.6477469593327173E-3</v>
      </c>
      <c r="H42" s="137">
        <v>44377</v>
      </c>
      <c r="I42">
        <v>1406.05</v>
      </c>
      <c r="J42">
        <v>1410</v>
      </c>
      <c r="K42">
        <v>1414</v>
      </c>
      <c r="L42">
        <v>1387</v>
      </c>
      <c r="M42">
        <v>1394.9</v>
      </c>
      <c r="N42">
        <v>1397.8</v>
      </c>
      <c r="O42" s="56">
        <f t="shared" si="1"/>
        <v>-8.6592581902150377E-3</v>
      </c>
    </row>
    <row r="43" spans="3:15">
      <c r="C43" s="159">
        <v>44378</v>
      </c>
      <c r="D43" s="125">
        <v>22396.400000000001</v>
      </c>
      <c r="E43" s="126">
        <f t="shared" si="0"/>
        <v>2.6833910296543829E-3</v>
      </c>
      <c r="H43" s="137">
        <v>44378</v>
      </c>
      <c r="I43">
        <v>1397.8</v>
      </c>
      <c r="J43">
        <v>1402.85</v>
      </c>
      <c r="K43">
        <v>1402.85</v>
      </c>
      <c r="L43">
        <v>1383.05</v>
      </c>
      <c r="M43">
        <v>1386.5</v>
      </c>
      <c r="N43">
        <v>1385.8</v>
      </c>
      <c r="O43" s="56">
        <f t="shared" si="1"/>
        <v>1.8726591760300606E-3</v>
      </c>
    </row>
    <row r="44" spans="3:15">
      <c r="C44" s="159">
        <v>44379</v>
      </c>
      <c r="D44" s="125">
        <v>22456.66</v>
      </c>
      <c r="E44" s="126">
        <f t="shared" si="0"/>
        <v>7.1758351507606802E-3</v>
      </c>
      <c r="H44" s="137">
        <v>44379</v>
      </c>
      <c r="I44">
        <v>1385.8</v>
      </c>
      <c r="J44">
        <v>1388</v>
      </c>
      <c r="K44">
        <v>1398.8</v>
      </c>
      <c r="L44">
        <v>1383.05</v>
      </c>
      <c r="M44">
        <v>1389.4</v>
      </c>
      <c r="N44">
        <v>1388.4</v>
      </c>
      <c r="O44" s="56">
        <f t="shared" si="1"/>
        <v>3.823773898586854E-2</v>
      </c>
    </row>
    <row r="45" spans="3:15">
      <c r="C45" s="159">
        <v>44382</v>
      </c>
      <c r="D45" s="125">
        <v>22618.97</v>
      </c>
      <c r="E45" s="126">
        <f t="shared" si="0"/>
        <v>-1.0196526542612264E-3</v>
      </c>
      <c r="H45" s="137">
        <v>44382</v>
      </c>
      <c r="I45">
        <v>1388.4</v>
      </c>
      <c r="J45">
        <v>1394</v>
      </c>
      <c r="K45">
        <v>1448</v>
      </c>
      <c r="L45">
        <v>1390</v>
      </c>
      <c r="M45">
        <v>1447</v>
      </c>
      <c r="N45">
        <v>1443.6</v>
      </c>
      <c r="O45" s="56">
        <f t="shared" si="1"/>
        <v>-6.8700959023539031E-3</v>
      </c>
    </row>
    <row r="46" spans="3:15">
      <c r="C46" s="159">
        <v>44383</v>
      </c>
      <c r="D46" s="125">
        <v>22595.93</v>
      </c>
      <c r="E46" s="126">
        <f t="shared" si="0"/>
        <v>3.8675416577395164E-3</v>
      </c>
      <c r="H46" s="137">
        <v>44383</v>
      </c>
      <c r="I46">
        <v>1443.6</v>
      </c>
      <c r="J46">
        <v>1452.3</v>
      </c>
      <c r="K46">
        <v>1460</v>
      </c>
      <c r="L46">
        <v>1421.45</v>
      </c>
      <c r="M46">
        <v>1428.6</v>
      </c>
      <c r="N46">
        <v>1433.75</v>
      </c>
      <c r="O46" s="56">
        <f t="shared" si="1"/>
        <v>3.2622630051953247E-2</v>
      </c>
    </row>
    <row r="47" spans="3:15">
      <c r="C47" s="159">
        <v>44384</v>
      </c>
      <c r="D47" s="125">
        <v>22683.66</v>
      </c>
      <c r="E47" s="126">
        <f t="shared" si="0"/>
        <v>-9.3375355580561786E-3</v>
      </c>
      <c r="H47" s="137">
        <v>44384</v>
      </c>
      <c r="I47">
        <v>1433.75</v>
      </c>
      <c r="J47">
        <v>1432</v>
      </c>
      <c r="K47">
        <v>1497</v>
      </c>
      <c r="L47">
        <v>1423.45</v>
      </c>
      <c r="M47">
        <v>1477.05</v>
      </c>
      <c r="N47">
        <v>1482.1</v>
      </c>
      <c r="O47" s="56">
        <f t="shared" si="1"/>
        <v>-1.8870518681469644E-2</v>
      </c>
    </row>
    <row r="48" spans="3:15">
      <c r="C48" s="159">
        <v>44385</v>
      </c>
      <c r="D48" s="125">
        <v>22473.81</v>
      </c>
      <c r="E48" s="126">
        <f t="shared" si="0"/>
        <v>-2.383993834175755E-3</v>
      </c>
      <c r="H48" s="137">
        <v>44385</v>
      </c>
      <c r="I48">
        <v>1482.1</v>
      </c>
      <c r="J48">
        <v>1502</v>
      </c>
      <c r="K48">
        <v>1502</v>
      </c>
      <c r="L48">
        <v>1444.55</v>
      </c>
      <c r="M48">
        <v>1456.8</v>
      </c>
      <c r="N48">
        <v>1454.65</v>
      </c>
      <c r="O48" s="56">
        <f t="shared" si="1"/>
        <v>1.742713364179807E-2</v>
      </c>
    </row>
    <row r="49" spans="3:15">
      <c r="C49" s="159">
        <v>44386</v>
      </c>
      <c r="D49" s="125">
        <v>22420.36</v>
      </c>
      <c r="E49" s="126">
        <f t="shared" si="0"/>
        <v>1.7971503349695737E-4</v>
      </c>
      <c r="H49" s="137">
        <v>44386</v>
      </c>
      <c r="I49">
        <v>1454.65</v>
      </c>
      <c r="J49">
        <v>1454.65</v>
      </c>
      <c r="K49">
        <v>1487.95</v>
      </c>
      <c r="L49">
        <v>1438.2</v>
      </c>
      <c r="M49">
        <v>1481.3</v>
      </c>
      <c r="N49">
        <v>1480.45</v>
      </c>
      <c r="O49" s="56">
        <f t="shared" si="1"/>
        <v>2.2159841479524409E-2</v>
      </c>
    </row>
    <row r="50" spans="3:15">
      <c r="C50" s="159">
        <v>44389</v>
      </c>
      <c r="D50" s="125">
        <v>22424.39</v>
      </c>
      <c r="E50" s="126">
        <f t="shared" si="0"/>
        <v>7.5723075711127382E-3</v>
      </c>
      <c r="H50" s="137">
        <v>44389</v>
      </c>
      <c r="I50">
        <v>1480.45</v>
      </c>
      <c r="J50">
        <v>1490</v>
      </c>
      <c r="K50">
        <v>1545</v>
      </c>
      <c r="L50">
        <v>1480.5</v>
      </c>
      <c r="M50">
        <v>1517.4</v>
      </c>
      <c r="N50">
        <v>1514</v>
      </c>
      <c r="O50" s="56">
        <f t="shared" si="1"/>
        <v>9.9065482283849644E-5</v>
      </c>
    </row>
    <row r="51" spans="3:15">
      <c r="C51" s="159">
        <v>44390</v>
      </c>
      <c r="D51" s="125">
        <v>22595.49</v>
      </c>
      <c r="E51" s="126">
        <f t="shared" si="0"/>
        <v>2.7051505112375739E-3</v>
      </c>
      <c r="H51" s="137">
        <v>44390</v>
      </c>
      <c r="I51">
        <v>1514</v>
      </c>
      <c r="J51">
        <v>1527</v>
      </c>
      <c r="K51">
        <v>1549</v>
      </c>
      <c r="L51">
        <v>1504.2</v>
      </c>
      <c r="M51">
        <v>1512</v>
      </c>
      <c r="N51">
        <v>1514.15</v>
      </c>
      <c r="O51" s="56">
        <f t="shared" si="1"/>
        <v>-8.5928393005829089E-3</v>
      </c>
    </row>
    <row r="52" spans="3:15">
      <c r="C52" s="159">
        <v>44391</v>
      </c>
      <c r="D52" s="125">
        <v>22656.78</v>
      </c>
      <c r="E52" s="126">
        <f t="shared" si="0"/>
        <v>4.6374845468436596E-3</v>
      </c>
      <c r="H52" s="137">
        <v>44391</v>
      </c>
      <c r="I52">
        <v>1514.15</v>
      </c>
      <c r="J52">
        <v>1518.9</v>
      </c>
      <c r="K52">
        <v>1518.9</v>
      </c>
      <c r="L52">
        <v>1490.55</v>
      </c>
      <c r="M52">
        <v>1501</v>
      </c>
      <c r="N52">
        <v>1501.25</v>
      </c>
      <c r="O52" s="56">
        <f t="shared" si="1"/>
        <v>3.3820311494400797E-2</v>
      </c>
    </row>
    <row r="53" spans="3:15">
      <c r="C53" s="159">
        <v>44392</v>
      </c>
      <c r="D53" s="125">
        <v>22762.34</v>
      </c>
      <c r="E53" s="126">
        <f t="shared" si="0"/>
        <v>-5.0085232764503539E-5</v>
      </c>
      <c r="H53" s="137">
        <v>44392</v>
      </c>
      <c r="I53">
        <v>1501.25</v>
      </c>
      <c r="J53">
        <v>1508.75</v>
      </c>
      <c r="K53">
        <v>1559.5</v>
      </c>
      <c r="L53">
        <v>1495.05</v>
      </c>
      <c r="M53">
        <v>1556.3</v>
      </c>
      <c r="N53">
        <v>1553.8</v>
      </c>
      <c r="O53" s="56">
        <f t="shared" si="1"/>
        <v>1.5211053365445558E-2</v>
      </c>
    </row>
    <row r="54" spans="3:15">
      <c r="C54" s="159">
        <v>44393</v>
      </c>
      <c r="D54" s="125">
        <v>22761.200000000001</v>
      </c>
      <c r="E54" s="126">
        <f t="shared" si="0"/>
        <v>-1.0858158230043448E-2</v>
      </c>
      <c r="H54" s="137">
        <v>44393</v>
      </c>
      <c r="I54">
        <v>1553.8</v>
      </c>
      <c r="J54">
        <v>1566.8</v>
      </c>
      <c r="K54">
        <v>1588</v>
      </c>
      <c r="L54">
        <v>1537.15</v>
      </c>
      <c r="M54">
        <v>1572.6</v>
      </c>
      <c r="N54">
        <v>1577.8</v>
      </c>
      <c r="O54" s="56">
        <f t="shared" si="1"/>
        <v>-5.640715127951757E-3</v>
      </c>
    </row>
    <row r="55" spans="3:15">
      <c r="C55" s="159">
        <v>44396</v>
      </c>
      <c r="D55" s="125">
        <v>22516.71</v>
      </c>
      <c r="E55" s="126">
        <f t="shared" si="0"/>
        <v>-7.6930616102798728E-3</v>
      </c>
      <c r="H55" s="137">
        <v>44396</v>
      </c>
      <c r="I55">
        <v>1577.8</v>
      </c>
      <c r="J55">
        <v>1565</v>
      </c>
      <c r="K55">
        <v>1596.8</v>
      </c>
      <c r="L55">
        <v>1548.05</v>
      </c>
      <c r="M55">
        <v>1565.95</v>
      </c>
      <c r="N55">
        <v>1568.95</v>
      </c>
      <c r="O55" s="56">
        <f t="shared" si="1"/>
        <v>-1.4910408176466753E-2</v>
      </c>
    </row>
    <row r="56" spans="3:15">
      <c r="C56" s="159">
        <v>44397</v>
      </c>
      <c r="D56" s="125">
        <v>22344.81</v>
      </c>
      <c r="E56" s="126">
        <f t="shared" si="0"/>
        <v>1.2229101140731448E-2</v>
      </c>
      <c r="H56" s="137">
        <v>44397</v>
      </c>
      <c r="I56">
        <v>1568.95</v>
      </c>
      <c r="J56">
        <v>1573</v>
      </c>
      <c r="K56">
        <v>1574.95</v>
      </c>
      <c r="L56">
        <v>1513.8</v>
      </c>
      <c r="M56">
        <v>1542</v>
      </c>
      <c r="N56">
        <v>1545.9</v>
      </c>
      <c r="O56" s="56">
        <f t="shared" si="1"/>
        <v>6.043850061081376E-3</v>
      </c>
    </row>
    <row r="57" spans="3:15">
      <c r="C57" s="159">
        <v>44399</v>
      </c>
      <c r="D57" s="125">
        <v>22621.45</v>
      </c>
      <c r="E57" s="126">
        <f t="shared" si="0"/>
        <v>2.2890309548433655E-3</v>
      </c>
      <c r="H57" s="137">
        <v>44399</v>
      </c>
      <c r="I57">
        <v>1545.9</v>
      </c>
      <c r="J57">
        <v>1546</v>
      </c>
      <c r="K57">
        <v>1590</v>
      </c>
      <c r="L57">
        <v>1546</v>
      </c>
      <c r="M57">
        <v>1554.7</v>
      </c>
      <c r="N57">
        <v>1555.3</v>
      </c>
      <c r="O57" s="56">
        <f t="shared" si="1"/>
        <v>4.0024334795555703E-3</v>
      </c>
    </row>
    <row r="58" spans="3:15">
      <c r="C58" s="159">
        <v>44400</v>
      </c>
      <c r="D58" s="125">
        <v>22673.35</v>
      </c>
      <c r="E58" s="126">
        <f t="shared" si="0"/>
        <v>-1.9957407110334437E-3</v>
      </c>
      <c r="H58" s="137">
        <v>44400</v>
      </c>
      <c r="I58">
        <v>1555.3</v>
      </c>
      <c r="J58">
        <v>1556.5</v>
      </c>
      <c r="K58">
        <v>1580</v>
      </c>
      <c r="L58">
        <v>1544</v>
      </c>
      <c r="M58">
        <v>1562.85</v>
      </c>
      <c r="N58">
        <v>1561.55</v>
      </c>
      <c r="O58" s="56">
        <f t="shared" si="1"/>
        <v>-1.3269742391798097E-2</v>
      </c>
    </row>
    <row r="59" spans="3:15">
      <c r="C59" s="159">
        <v>44403</v>
      </c>
      <c r="D59" s="125">
        <v>22628.19</v>
      </c>
      <c r="E59" s="126">
        <f t="shared" si="0"/>
        <v>-4.857718883777085E-3</v>
      </c>
      <c r="H59" s="137">
        <v>44403</v>
      </c>
      <c r="I59">
        <v>1561.55</v>
      </c>
      <c r="J59">
        <v>1557.05</v>
      </c>
      <c r="K59">
        <v>1582</v>
      </c>
      <c r="L59">
        <v>1535.05</v>
      </c>
      <c r="M59">
        <v>1540.9</v>
      </c>
      <c r="N59">
        <v>1541.1</v>
      </c>
      <c r="O59" s="56">
        <f t="shared" si="1"/>
        <v>-5.44772467786652E-3</v>
      </c>
    </row>
    <row r="60" spans="3:15">
      <c r="C60" s="159">
        <v>44404</v>
      </c>
      <c r="D60" s="125">
        <v>22518.799999999999</v>
      </c>
      <c r="E60" s="126">
        <f t="shared" si="0"/>
        <v>-2.0402305883294603E-3</v>
      </c>
      <c r="H60" s="137">
        <v>44404</v>
      </c>
      <c r="I60">
        <v>1541.1</v>
      </c>
      <c r="J60">
        <v>1549</v>
      </c>
      <c r="K60">
        <v>1573.6</v>
      </c>
      <c r="L60">
        <v>1520</v>
      </c>
      <c r="M60">
        <v>1534.4</v>
      </c>
      <c r="N60">
        <v>1532.75</v>
      </c>
      <c r="O60" s="56">
        <f t="shared" si="1"/>
        <v>5.9020008431429193E-3</v>
      </c>
    </row>
    <row r="61" spans="3:15">
      <c r="C61" s="159">
        <v>44405</v>
      </c>
      <c r="D61" s="125">
        <v>22472.95</v>
      </c>
      <c r="E61" s="126">
        <f t="shared" si="0"/>
        <v>4.5795731283281267E-3</v>
      </c>
      <c r="H61" s="137">
        <v>44405</v>
      </c>
      <c r="I61">
        <v>1532.75</v>
      </c>
      <c r="J61">
        <v>1542.8</v>
      </c>
      <c r="K61">
        <v>1552.3</v>
      </c>
      <c r="L61">
        <v>1515.75</v>
      </c>
      <c r="M61">
        <v>1542</v>
      </c>
      <c r="N61">
        <v>1541.85</v>
      </c>
      <c r="O61" s="56">
        <f t="shared" si="1"/>
        <v>1.4193919631725359E-2</v>
      </c>
    </row>
    <row r="62" spans="3:15">
      <c r="C62" s="159">
        <v>44406</v>
      </c>
      <c r="D62" s="125">
        <v>22576.34</v>
      </c>
      <c r="E62" s="126">
        <f t="shared" si="0"/>
        <v>-9.7897248679414649E-4</v>
      </c>
      <c r="H62" s="137">
        <v>44406</v>
      </c>
      <c r="I62">
        <v>1541.85</v>
      </c>
      <c r="J62">
        <v>1540</v>
      </c>
      <c r="K62">
        <v>1578</v>
      </c>
      <c r="L62">
        <v>1538</v>
      </c>
      <c r="M62">
        <v>1564</v>
      </c>
      <c r="N62">
        <v>1564.05</v>
      </c>
      <c r="O62" s="56">
        <f t="shared" si="1"/>
        <v>2.3902393359752836E-2</v>
      </c>
    </row>
    <row r="63" spans="3:15">
      <c r="C63" s="159">
        <v>44407</v>
      </c>
      <c r="D63" s="125">
        <v>22554.26</v>
      </c>
      <c r="E63" s="126">
        <f t="shared" si="0"/>
        <v>7.7499667845996626E-3</v>
      </c>
      <c r="H63" s="137">
        <v>44407</v>
      </c>
      <c r="I63">
        <v>1564.05</v>
      </c>
      <c r="J63">
        <v>1565</v>
      </c>
      <c r="K63">
        <v>1624</v>
      </c>
      <c r="L63">
        <v>1555</v>
      </c>
      <c r="M63">
        <v>1609</v>
      </c>
      <c r="N63">
        <v>1602.35</v>
      </c>
      <c r="O63" s="56">
        <f t="shared" si="1"/>
        <v>3.3389636242987353E-2</v>
      </c>
    </row>
    <row r="64" spans="3:15">
      <c r="C64" s="159">
        <v>44410</v>
      </c>
      <c r="D64" s="125">
        <v>22730.42</v>
      </c>
      <c r="E64" s="126">
        <f t="shared" si="0"/>
        <v>1.5225809358518002E-2</v>
      </c>
      <c r="H64" s="137">
        <v>44410</v>
      </c>
      <c r="I64">
        <v>1602.35</v>
      </c>
      <c r="J64">
        <v>1601</v>
      </c>
      <c r="K64">
        <v>1675</v>
      </c>
      <c r="L64">
        <v>1601</v>
      </c>
      <c r="M64">
        <v>1660</v>
      </c>
      <c r="N64">
        <v>1657.7</v>
      </c>
      <c r="O64" s="56">
        <f t="shared" si="1"/>
        <v>1.1147600253080107E-3</v>
      </c>
    </row>
    <row r="65" spans="3:15">
      <c r="C65" s="159">
        <v>44411</v>
      </c>
      <c r="D65" s="125">
        <v>23081.86</v>
      </c>
      <c r="E65" s="126">
        <f t="shared" si="0"/>
        <v>7.8748957127573287E-3</v>
      </c>
      <c r="H65" s="137">
        <v>44411</v>
      </c>
      <c r="I65">
        <v>1657.7</v>
      </c>
      <c r="J65">
        <v>1660</v>
      </c>
      <c r="K65">
        <v>1697.85</v>
      </c>
      <c r="L65">
        <v>1605.95</v>
      </c>
      <c r="M65">
        <v>1659</v>
      </c>
      <c r="N65">
        <v>1659.55</v>
      </c>
      <c r="O65" s="56">
        <f t="shared" si="1"/>
        <v>-1.3558493907838915E-2</v>
      </c>
    </row>
    <row r="66" spans="3:15">
      <c r="C66" s="159">
        <v>44412</v>
      </c>
      <c r="D66" s="125">
        <v>23265.07</v>
      </c>
      <c r="E66" s="126">
        <f t="shared" si="0"/>
        <v>2.3353815449967956E-3</v>
      </c>
      <c r="H66" s="137">
        <v>44412</v>
      </c>
      <c r="I66">
        <v>1659.55</v>
      </c>
      <c r="J66">
        <v>1641</v>
      </c>
      <c r="K66">
        <v>1678.65</v>
      </c>
      <c r="L66">
        <v>1621.05</v>
      </c>
      <c r="M66">
        <v>1638.95</v>
      </c>
      <c r="N66">
        <v>1637.35</v>
      </c>
      <c r="O66" s="56">
        <f t="shared" si="1"/>
        <v>-2.0346482208512408E-2</v>
      </c>
    </row>
    <row r="67" spans="3:15">
      <c r="C67" s="159">
        <v>44413</v>
      </c>
      <c r="D67" s="125">
        <v>23319.53</v>
      </c>
      <c r="E67" s="126">
        <f t="shared" ref="E67:E130" si="2">(D68-D67)/D68</f>
        <v>-3.4726361008707014E-3</v>
      </c>
      <c r="H67" s="137">
        <v>44413</v>
      </c>
      <c r="I67">
        <v>1637.35</v>
      </c>
      <c r="J67">
        <v>1634</v>
      </c>
      <c r="K67">
        <v>1645.3</v>
      </c>
      <c r="L67">
        <v>1600</v>
      </c>
      <c r="M67">
        <v>1618</v>
      </c>
      <c r="N67">
        <v>1604.7</v>
      </c>
      <c r="O67" s="56">
        <f t="shared" ref="O67:O130" si="3">(N68-N67)/N68</f>
        <v>-1.3964362441551964E-2</v>
      </c>
    </row>
    <row r="68" spans="3:15">
      <c r="C68" s="159">
        <v>44414</v>
      </c>
      <c r="D68" s="125">
        <v>23238.83</v>
      </c>
      <c r="E68" s="126">
        <f t="shared" si="2"/>
        <v>1.3017252049066419E-3</v>
      </c>
      <c r="H68" s="137">
        <v>44414</v>
      </c>
      <c r="I68">
        <v>1604.7</v>
      </c>
      <c r="J68">
        <v>1610</v>
      </c>
      <c r="K68">
        <v>1626.1</v>
      </c>
      <c r="L68">
        <v>1578.75</v>
      </c>
      <c r="M68">
        <v>1583</v>
      </c>
      <c r="N68">
        <v>1582.6</v>
      </c>
      <c r="O68" s="56">
        <f t="shared" si="3"/>
        <v>-1.257237915480333E-2</v>
      </c>
    </row>
    <row r="69" spans="3:15">
      <c r="C69" s="159">
        <v>44417</v>
      </c>
      <c r="D69" s="125">
        <v>23269.119999999999</v>
      </c>
      <c r="E69" s="126">
        <f t="shared" si="2"/>
        <v>1.3407518167101967E-3</v>
      </c>
      <c r="H69" s="137">
        <v>44417</v>
      </c>
      <c r="I69">
        <v>1582.6</v>
      </c>
      <c r="J69">
        <v>1588</v>
      </c>
      <c r="K69">
        <v>1608.4</v>
      </c>
      <c r="L69">
        <v>1560</v>
      </c>
      <c r="M69">
        <v>1565.85</v>
      </c>
      <c r="N69">
        <v>1562.95</v>
      </c>
      <c r="O69" s="56">
        <f t="shared" si="3"/>
        <v>-9.2012655775811966E-3</v>
      </c>
    </row>
    <row r="70" spans="3:15">
      <c r="C70" s="159">
        <v>44418</v>
      </c>
      <c r="D70" s="125">
        <v>23300.36</v>
      </c>
      <c r="E70" s="126">
        <f t="shared" si="2"/>
        <v>1.5147685643893943E-4</v>
      </c>
      <c r="H70" s="137">
        <v>44418</v>
      </c>
      <c r="I70">
        <v>1562.95</v>
      </c>
      <c r="J70">
        <v>1570</v>
      </c>
      <c r="K70">
        <v>1582</v>
      </c>
      <c r="L70">
        <v>1518.2</v>
      </c>
      <c r="M70">
        <v>1550</v>
      </c>
      <c r="N70">
        <v>1548.7</v>
      </c>
      <c r="O70" s="56">
        <f t="shared" si="3"/>
        <v>-1.7464424320828237E-3</v>
      </c>
    </row>
    <row r="71" spans="3:15">
      <c r="C71" s="159">
        <v>44419</v>
      </c>
      <c r="D71" s="125">
        <v>23303.89</v>
      </c>
      <c r="E71" s="126">
        <f t="shared" si="2"/>
        <v>5.1293457490681135E-3</v>
      </c>
      <c r="H71" s="137">
        <v>44419</v>
      </c>
      <c r="I71">
        <v>1548.7</v>
      </c>
      <c r="J71">
        <v>1554</v>
      </c>
      <c r="K71">
        <v>1564.15</v>
      </c>
      <c r="L71">
        <v>1494.1</v>
      </c>
      <c r="M71">
        <v>1545</v>
      </c>
      <c r="N71">
        <v>1546</v>
      </c>
      <c r="O71" s="56">
        <f t="shared" si="3"/>
        <v>7.064868336544637E-3</v>
      </c>
    </row>
    <row r="72" spans="3:15">
      <c r="C72" s="159">
        <v>44420</v>
      </c>
      <c r="D72" s="125">
        <v>23424.04</v>
      </c>
      <c r="E72" s="126">
        <f t="shared" si="2"/>
        <v>9.963744379702516E-3</v>
      </c>
      <c r="H72" s="137">
        <v>44420</v>
      </c>
      <c r="I72">
        <v>1546</v>
      </c>
      <c r="J72">
        <v>1530</v>
      </c>
      <c r="K72">
        <v>1568.5</v>
      </c>
      <c r="L72">
        <v>1520.95</v>
      </c>
      <c r="M72">
        <v>1555.4</v>
      </c>
      <c r="N72">
        <v>1557</v>
      </c>
      <c r="O72" s="56">
        <f t="shared" si="3"/>
        <v>-6.8220763684567589E-3</v>
      </c>
    </row>
    <row r="73" spans="3:15">
      <c r="C73" s="159">
        <v>44421</v>
      </c>
      <c r="D73" s="125">
        <v>23659.78</v>
      </c>
      <c r="E73" s="126">
        <f t="shared" si="2"/>
        <v>2.0499080915694023E-3</v>
      </c>
      <c r="H73" s="137">
        <v>44421</v>
      </c>
      <c r="I73">
        <v>1557</v>
      </c>
      <c r="J73">
        <v>1557</v>
      </c>
      <c r="K73">
        <v>1567.15</v>
      </c>
      <c r="L73">
        <v>1540</v>
      </c>
      <c r="M73">
        <v>1543</v>
      </c>
      <c r="N73">
        <v>1546.45</v>
      </c>
      <c r="O73" s="56">
        <f t="shared" si="3"/>
        <v>1.9395506707609795E-4</v>
      </c>
    </row>
    <row r="74" spans="3:15">
      <c r="C74" s="159">
        <v>44424</v>
      </c>
      <c r="D74" s="125">
        <v>23708.38</v>
      </c>
      <c r="E74" s="126">
        <f t="shared" si="2"/>
        <v>3.1815439338547581E-3</v>
      </c>
      <c r="H74" s="137">
        <v>44424</v>
      </c>
      <c r="I74">
        <v>1546.45</v>
      </c>
      <c r="J74">
        <v>1546.45</v>
      </c>
      <c r="K74">
        <v>1561.3</v>
      </c>
      <c r="L74">
        <v>1517</v>
      </c>
      <c r="M74">
        <v>1541</v>
      </c>
      <c r="N74">
        <v>1546.75</v>
      </c>
      <c r="O74" s="56">
        <f t="shared" si="3"/>
        <v>-1.562756492333954E-2</v>
      </c>
    </row>
    <row r="75" spans="3:15">
      <c r="C75" s="159">
        <v>44425</v>
      </c>
      <c r="D75" s="125">
        <v>23784.05</v>
      </c>
      <c r="E75" s="126">
        <f t="shared" si="2"/>
        <v>-2.7607060628022499E-3</v>
      </c>
      <c r="H75" s="137">
        <v>44425</v>
      </c>
      <c r="I75">
        <v>1546.75</v>
      </c>
      <c r="J75">
        <v>1548.75</v>
      </c>
      <c r="K75">
        <v>1556.6</v>
      </c>
      <c r="L75">
        <v>1507.8</v>
      </c>
      <c r="M75">
        <v>1520</v>
      </c>
      <c r="N75">
        <v>1522.95</v>
      </c>
      <c r="O75" s="56">
        <f t="shared" si="3"/>
        <v>-1.051688673611581E-2</v>
      </c>
    </row>
    <row r="76" spans="3:15">
      <c r="C76" s="159">
        <v>44426</v>
      </c>
      <c r="D76" s="125">
        <v>23718.57</v>
      </c>
      <c r="E76" s="126">
        <f t="shared" si="2"/>
        <v>-7.1968810684404179E-3</v>
      </c>
      <c r="H76" s="137">
        <v>44426</v>
      </c>
      <c r="I76">
        <v>1522.95</v>
      </c>
      <c r="J76">
        <v>1530</v>
      </c>
      <c r="K76">
        <v>1530.15</v>
      </c>
      <c r="L76">
        <v>1496.45</v>
      </c>
      <c r="M76">
        <v>1505.8</v>
      </c>
      <c r="N76">
        <v>1507.1</v>
      </c>
      <c r="O76" s="56">
        <f t="shared" si="3"/>
        <v>-1.4916327149062165E-2</v>
      </c>
    </row>
    <row r="77" spans="3:15">
      <c r="C77" s="159">
        <v>44428</v>
      </c>
      <c r="D77" s="125">
        <v>23549.09</v>
      </c>
      <c r="E77" s="126">
        <f t="shared" si="2"/>
        <v>2.8167809343057596E-3</v>
      </c>
      <c r="H77" s="137">
        <v>44428</v>
      </c>
      <c r="I77">
        <v>1507.1</v>
      </c>
      <c r="J77">
        <v>1505</v>
      </c>
      <c r="K77">
        <v>1510.9</v>
      </c>
      <c r="L77">
        <v>1465</v>
      </c>
      <c r="M77">
        <v>1480</v>
      </c>
      <c r="N77">
        <v>1484.95</v>
      </c>
      <c r="O77" s="56">
        <f t="shared" si="3"/>
        <v>-6.1659382728598009E-3</v>
      </c>
    </row>
    <row r="78" spans="3:15">
      <c r="C78" s="159">
        <v>44431</v>
      </c>
      <c r="D78" s="125">
        <v>23615.61</v>
      </c>
      <c r="E78" s="126">
        <f t="shared" si="2"/>
        <v>7.7099554184821267E-3</v>
      </c>
      <c r="H78" s="137">
        <v>44431</v>
      </c>
      <c r="I78">
        <v>1484.95</v>
      </c>
      <c r="J78">
        <v>1490</v>
      </c>
      <c r="K78">
        <v>1506.9</v>
      </c>
      <c r="L78">
        <v>1468</v>
      </c>
      <c r="M78">
        <v>1473</v>
      </c>
      <c r="N78">
        <v>1475.85</v>
      </c>
      <c r="O78" s="56">
        <f t="shared" si="3"/>
        <v>-1.1514341523594089E-2</v>
      </c>
    </row>
    <row r="79" spans="3:15">
      <c r="C79" s="159">
        <v>44432</v>
      </c>
      <c r="D79" s="125">
        <v>23799.1</v>
      </c>
      <c r="E79" s="126">
        <f t="shared" si="2"/>
        <v>6.0176127504528941E-4</v>
      </c>
      <c r="H79" s="137">
        <v>44432</v>
      </c>
      <c r="I79">
        <v>1475.85</v>
      </c>
      <c r="J79">
        <v>1482</v>
      </c>
      <c r="K79">
        <v>1491.8</v>
      </c>
      <c r="L79">
        <v>1451.7</v>
      </c>
      <c r="M79">
        <v>1455</v>
      </c>
      <c r="N79">
        <v>1459.05</v>
      </c>
      <c r="O79" s="56">
        <f t="shared" si="3"/>
        <v>-1.2877473099618156E-2</v>
      </c>
    </row>
    <row r="80" spans="3:15">
      <c r="C80" s="159">
        <v>44433</v>
      </c>
      <c r="D80" s="125">
        <v>23813.43</v>
      </c>
      <c r="E80" s="126">
        <f t="shared" si="2"/>
        <v>1.3645898588720174E-4</v>
      </c>
      <c r="H80" s="137">
        <v>44433</v>
      </c>
      <c r="I80">
        <v>1459.05</v>
      </c>
      <c r="J80">
        <v>1465</v>
      </c>
      <c r="K80">
        <v>1468.35</v>
      </c>
      <c r="L80">
        <v>1431.4</v>
      </c>
      <c r="M80">
        <v>1439.6</v>
      </c>
      <c r="N80">
        <v>1440.5</v>
      </c>
      <c r="O80" s="56">
        <f t="shared" si="3"/>
        <v>1.6891315475174886E-2</v>
      </c>
    </row>
    <row r="81" spans="3:15">
      <c r="C81" s="159">
        <v>44434</v>
      </c>
      <c r="D81" s="125">
        <v>23816.68</v>
      </c>
      <c r="E81" s="126">
        <f t="shared" si="2"/>
        <v>4.0895725100440934E-3</v>
      </c>
      <c r="H81" s="137">
        <v>44434</v>
      </c>
      <c r="I81">
        <v>1440.5</v>
      </c>
      <c r="J81">
        <v>1440</v>
      </c>
      <c r="K81">
        <v>1477.75</v>
      </c>
      <c r="L81">
        <v>1433.3</v>
      </c>
      <c r="M81">
        <v>1468</v>
      </c>
      <c r="N81">
        <v>1465.25</v>
      </c>
      <c r="O81" s="56">
        <f t="shared" si="3"/>
        <v>5.7338671371378472E-3</v>
      </c>
    </row>
    <row r="82" spans="3:15">
      <c r="C82" s="159">
        <v>44435</v>
      </c>
      <c r="D82" s="125">
        <v>23914.48</v>
      </c>
      <c r="E82" s="126">
        <f t="shared" si="2"/>
        <v>1.33394945085775E-2</v>
      </c>
      <c r="H82" s="137">
        <v>44435</v>
      </c>
      <c r="I82">
        <v>1465.25</v>
      </c>
      <c r="J82">
        <v>1462</v>
      </c>
      <c r="K82">
        <v>1485</v>
      </c>
      <c r="L82">
        <v>1459.35</v>
      </c>
      <c r="M82">
        <v>1470</v>
      </c>
      <c r="N82">
        <v>1473.7</v>
      </c>
      <c r="O82" s="56">
        <f t="shared" si="3"/>
        <v>1.3818717167999374E-2</v>
      </c>
    </row>
    <row r="83" spans="3:15">
      <c r="C83" s="159">
        <v>44438</v>
      </c>
      <c r="D83" s="125">
        <v>24237.8</v>
      </c>
      <c r="E83" s="126">
        <f t="shared" si="2"/>
        <v>1.1739109693460448E-2</v>
      </c>
      <c r="H83" s="137">
        <v>44438</v>
      </c>
      <c r="I83">
        <v>1473.7</v>
      </c>
      <c r="J83">
        <v>1466</v>
      </c>
      <c r="K83">
        <v>1504.95</v>
      </c>
      <c r="L83">
        <v>1466</v>
      </c>
      <c r="M83">
        <v>1492.3</v>
      </c>
      <c r="N83">
        <v>1494.35</v>
      </c>
      <c r="O83" s="56">
        <f t="shared" si="3"/>
        <v>-3.5930154466084011E-3</v>
      </c>
    </row>
    <row r="84" spans="3:15">
      <c r="C84" s="159">
        <v>44439</v>
      </c>
      <c r="D84" s="125">
        <v>24525.71</v>
      </c>
      <c r="E84" s="126">
        <f t="shared" si="2"/>
        <v>-3.276251532994465E-3</v>
      </c>
      <c r="H84" s="137">
        <v>44439</v>
      </c>
      <c r="I84">
        <v>1494.35</v>
      </c>
      <c r="J84">
        <v>1495</v>
      </c>
      <c r="K84">
        <v>1515.5</v>
      </c>
      <c r="L84">
        <v>1455.75</v>
      </c>
      <c r="M84">
        <v>1489</v>
      </c>
      <c r="N84">
        <v>1489</v>
      </c>
      <c r="O84" s="56">
        <f t="shared" si="3"/>
        <v>4.5849219826343247E-2</v>
      </c>
    </row>
    <row r="85" spans="3:15">
      <c r="C85" s="159">
        <v>44440</v>
      </c>
      <c r="D85" s="125">
        <v>24445.62</v>
      </c>
      <c r="E85" s="126">
        <f t="shared" si="2"/>
        <v>9.2603137458656705E-3</v>
      </c>
      <c r="H85" s="137">
        <v>44440</v>
      </c>
      <c r="I85">
        <v>1489</v>
      </c>
      <c r="J85">
        <v>1494</v>
      </c>
      <c r="K85">
        <v>1572.8</v>
      </c>
      <c r="L85">
        <v>1477.45</v>
      </c>
      <c r="M85">
        <v>1561.1</v>
      </c>
      <c r="N85">
        <v>1560.55</v>
      </c>
      <c r="O85" s="56">
        <f t="shared" si="3"/>
        <v>2.1844051648489491E-2</v>
      </c>
    </row>
    <row r="86" spans="3:15">
      <c r="C86" s="159">
        <v>44441</v>
      </c>
      <c r="D86" s="125">
        <v>24674.11</v>
      </c>
      <c r="E86" s="126">
        <f t="shared" si="2"/>
        <v>5.1632578923536806E-3</v>
      </c>
      <c r="H86" s="137">
        <v>44441</v>
      </c>
      <c r="I86">
        <v>1560.55</v>
      </c>
      <c r="J86">
        <v>1568.3</v>
      </c>
      <c r="K86">
        <v>1609.75</v>
      </c>
      <c r="L86">
        <v>1560</v>
      </c>
      <c r="M86">
        <v>1592.7</v>
      </c>
      <c r="N86">
        <v>1595.4</v>
      </c>
      <c r="O86" s="56">
        <f t="shared" si="3"/>
        <v>-9.4912680334092621E-3</v>
      </c>
    </row>
    <row r="87" spans="3:15">
      <c r="C87" s="159">
        <v>44442</v>
      </c>
      <c r="D87" s="125">
        <v>24802.17</v>
      </c>
      <c r="E87" s="126">
        <f t="shared" si="2"/>
        <v>3.1198012523418655E-3</v>
      </c>
      <c r="H87" s="137">
        <v>44442</v>
      </c>
      <c r="I87">
        <v>1595.4</v>
      </c>
      <c r="J87">
        <v>1603</v>
      </c>
      <c r="K87">
        <v>1616</v>
      </c>
      <c r="L87">
        <v>1566</v>
      </c>
      <c r="M87">
        <v>1575</v>
      </c>
      <c r="N87">
        <v>1580.4</v>
      </c>
      <c r="O87" s="56">
        <f t="shared" si="3"/>
        <v>1.5480454757825828E-2</v>
      </c>
    </row>
    <row r="88" spans="3:15">
      <c r="C88" s="159">
        <v>44445</v>
      </c>
      <c r="D88" s="125">
        <v>24879.79</v>
      </c>
      <c r="E88" s="126">
        <f t="shared" si="2"/>
        <v>-9.0597237749762691E-4</v>
      </c>
      <c r="H88" s="137">
        <v>44445</v>
      </c>
      <c r="I88">
        <v>1580.4</v>
      </c>
      <c r="J88">
        <v>1580.9</v>
      </c>
      <c r="K88">
        <v>1613.85</v>
      </c>
      <c r="L88">
        <v>1577.55</v>
      </c>
      <c r="M88">
        <v>1602</v>
      </c>
      <c r="N88">
        <v>1605.25</v>
      </c>
      <c r="O88" s="56">
        <f t="shared" si="3"/>
        <v>-1.7720154694731531E-2</v>
      </c>
    </row>
    <row r="89" spans="3:15">
      <c r="C89" s="159">
        <v>44446</v>
      </c>
      <c r="D89" s="125">
        <v>24857.27</v>
      </c>
      <c r="E89" s="126">
        <f t="shared" si="2"/>
        <v>-7.1211603065737423E-5</v>
      </c>
      <c r="H89" s="137">
        <v>44446</v>
      </c>
      <c r="I89">
        <v>1605.25</v>
      </c>
      <c r="J89">
        <v>1612.95</v>
      </c>
      <c r="K89">
        <v>1612.95</v>
      </c>
      <c r="L89">
        <v>1563.35</v>
      </c>
      <c r="M89">
        <v>1576.9</v>
      </c>
      <c r="N89">
        <v>1577.3</v>
      </c>
      <c r="O89" s="56">
        <f t="shared" si="3"/>
        <v>3.6951647032815184E-3</v>
      </c>
    </row>
    <row r="90" spans="3:15">
      <c r="C90" s="159">
        <v>44447</v>
      </c>
      <c r="D90" s="125">
        <v>24855.5</v>
      </c>
      <c r="E90" s="126">
        <f t="shared" si="2"/>
        <v>9.0802790728710064E-4</v>
      </c>
      <c r="H90" s="137">
        <v>44447</v>
      </c>
      <c r="I90">
        <v>1577.3</v>
      </c>
      <c r="J90">
        <v>1577.3</v>
      </c>
      <c r="K90">
        <v>1595</v>
      </c>
      <c r="L90">
        <v>1565</v>
      </c>
      <c r="M90">
        <v>1575</v>
      </c>
      <c r="N90">
        <v>1583.15</v>
      </c>
      <c r="O90" s="56">
        <f t="shared" si="3"/>
        <v>-1.0116657709210183E-3</v>
      </c>
    </row>
    <row r="91" spans="3:15">
      <c r="C91" s="159">
        <v>44448</v>
      </c>
      <c r="D91" s="125">
        <v>24878.09</v>
      </c>
      <c r="E91" s="126">
        <f t="shared" si="2"/>
        <v>-8.0335922426962155E-4</v>
      </c>
      <c r="H91" s="137">
        <v>44448</v>
      </c>
      <c r="I91">
        <v>1583.15</v>
      </c>
      <c r="J91">
        <v>1577</v>
      </c>
      <c r="K91">
        <v>1586.5</v>
      </c>
      <c r="L91">
        <v>1565</v>
      </c>
      <c r="M91">
        <v>1582</v>
      </c>
      <c r="N91">
        <v>1581.55</v>
      </c>
      <c r="O91" s="56">
        <f t="shared" si="3"/>
        <v>1.5162837038420907E-2</v>
      </c>
    </row>
    <row r="92" spans="3:15">
      <c r="C92" s="159">
        <v>44452</v>
      </c>
      <c r="D92" s="125">
        <v>24858.12</v>
      </c>
      <c r="E92" s="126">
        <f t="shared" si="2"/>
        <v>1.4216556845539027E-3</v>
      </c>
      <c r="H92" s="137">
        <v>44452</v>
      </c>
      <c r="I92">
        <v>1581.55</v>
      </c>
      <c r="J92">
        <v>1574.1</v>
      </c>
      <c r="K92">
        <v>1610</v>
      </c>
      <c r="L92">
        <v>1573.9</v>
      </c>
      <c r="M92">
        <v>1610</v>
      </c>
      <c r="N92">
        <v>1605.9</v>
      </c>
      <c r="O92" s="56">
        <f t="shared" si="3"/>
        <v>6.1269959153359725E-3</v>
      </c>
    </row>
    <row r="93" spans="3:15">
      <c r="C93" s="159">
        <v>44453</v>
      </c>
      <c r="D93" s="125">
        <v>24893.51</v>
      </c>
      <c r="E93" s="126">
        <f t="shared" si="2"/>
        <v>7.9587235117694246E-3</v>
      </c>
      <c r="H93" s="137">
        <v>44453</v>
      </c>
      <c r="I93">
        <v>1605.9</v>
      </c>
      <c r="J93">
        <v>1614</v>
      </c>
      <c r="K93">
        <v>1629</v>
      </c>
      <c r="L93">
        <v>1606</v>
      </c>
      <c r="M93">
        <v>1614</v>
      </c>
      <c r="N93">
        <v>1615.8</v>
      </c>
      <c r="O93" s="56">
        <f t="shared" si="3"/>
        <v>1.0653930933137455E-2</v>
      </c>
    </row>
    <row r="94" spans="3:15">
      <c r="C94" s="159">
        <v>44454</v>
      </c>
      <c r="D94" s="125">
        <v>25093.22</v>
      </c>
      <c r="E94" s="126">
        <f t="shared" si="2"/>
        <v>6.2433492390558355E-3</v>
      </c>
      <c r="H94" s="137">
        <v>44454</v>
      </c>
      <c r="I94">
        <v>1615.8</v>
      </c>
      <c r="J94">
        <v>1618</v>
      </c>
      <c r="K94">
        <v>1647</v>
      </c>
      <c r="L94">
        <v>1610</v>
      </c>
      <c r="M94">
        <v>1633</v>
      </c>
      <c r="N94">
        <v>1633.2</v>
      </c>
      <c r="O94" s="56">
        <f t="shared" si="3"/>
        <v>4.4195190344112891E-3</v>
      </c>
    </row>
    <row r="95" spans="3:15">
      <c r="C95" s="159">
        <v>44455</v>
      </c>
      <c r="D95" s="125">
        <v>25250.87</v>
      </c>
      <c r="E95" s="126">
        <f t="shared" si="2"/>
        <v>-2.5222989009557515E-3</v>
      </c>
      <c r="H95" s="137">
        <v>44455</v>
      </c>
      <c r="I95">
        <v>1633.2</v>
      </c>
      <c r="J95">
        <v>1634.5</v>
      </c>
      <c r="K95">
        <v>1645</v>
      </c>
      <c r="L95">
        <v>1611.55</v>
      </c>
      <c r="M95">
        <v>1636.6</v>
      </c>
      <c r="N95">
        <v>1640.45</v>
      </c>
      <c r="O95" s="56">
        <f t="shared" si="3"/>
        <v>-6.6889632107023974E-3</v>
      </c>
    </row>
    <row r="96" spans="3:15">
      <c r="C96" s="159">
        <v>44456</v>
      </c>
      <c r="D96" s="125">
        <v>25187.34</v>
      </c>
      <c r="E96" s="126">
        <f t="shared" si="2"/>
        <v>-1.0820412140436563E-2</v>
      </c>
      <c r="H96" s="137">
        <v>44456</v>
      </c>
      <c r="I96">
        <v>1640.45</v>
      </c>
      <c r="J96">
        <v>1639.9</v>
      </c>
      <c r="K96">
        <v>1655.7</v>
      </c>
      <c r="L96">
        <v>1606</v>
      </c>
      <c r="M96">
        <v>1635</v>
      </c>
      <c r="N96">
        <v>1629.55</v>
      </c>
      <c r="O96" s="56">
        <f t="shared" si="3"/>
        <v>9.3619866865254815E-3</v>
      </c>
    </row>
    <row r="97" spans="3:15">
      <c r="C97" s="159">
        <v>44459</v>
      </c>
      <c r="D97" s="125">
        <v>24917.72</v>
      </c>
      <c r="E97" s="126">
        <f t="shared" si="2"/>
        <v>9.3996380717940361E-3</v>
      </c>
      <c r="H97" s="137">
        <v>44459</v>
      </c>
      <c r="I97">
        <v>1629.55</v>
      </c>
      <c r="J97">
        <v>1614</v>
      </c>
      <c r="K97">
        <v>1675</v>
      </c>
      <c r="L97">
        <v>1602.05</v>
      </c>
      <c r="M97">
        <v>1640</v>
      </c>
      <c r="N97">
        <v>1644.95</v>
      </c>
      <c r="O97" s="56">
        <f t="shared" si="3"/>
        <v>4.5658921474777389E-2</v>
      </c>
    </row>
    <row r="98" spans="3:15">
      <c r="C98" s="159">
        <v>44460</v>
      </c>
      <c r="D98" s="125">
        <v>25154.16</v>
      </c>
      <c r="E98" s="126">
        <f t="shared" si="2"/>
        <v>-8.7577067620551357E-4</v>
      </c>
      <c r="H98" s="137">
        <v>44460</v>
      </c>
      <c r="I98">
        <v>1644.95</v>
      </c>
      <c r="J98">
        <v>1655</v>
      </c>
      <c r="K98">
        <v>1758.6</v>
      </c>
      <c r="L98">
        <v>1651</v>
      </c>
      <c r="M98">
        <v>1732</v>
      </c>
      <c r="N98">
        <v>1723.65</v>
      </c>
      <c r="O98" s="56">
        <f t="shared" si="3"/>
        <v>0.11657526523499556</v>
      </c>
    </row>
    <row r="99" spans="3:15">
      <c r="C99" s="159">
        <v>44461</v>
      </c>
      <c r="D99" s="125">
        <v>25132.15</v>
      </c>
      <c r="E99" s="126">
        <f t="shared" si="2"/>
        <v>1.5503417434714494E-2</v>
      </c>
      <c r="H99" s="137">
        <v>44461</v>
      </c>
      <c r="I99">
        <v>1723.65</v>
      </c>
      <c r="J99">
        <v>1738.95</v>
      </c>
      <c r="K99">
        <v>1973</v>
      </c>
      <c r="L99">
        <v>1726.7</v>
      </c>
      <c r="M99">
        <v>1952</v>
      </c>
      <c r="N99">
        <v>1951.1</v>
      </c>
      <c r="O99" s="56">
        <f t="shared" si="3"/>
        <v>0.11285408993770757</v>
      </c>
    </row>
    <row r="100" spans="3:15">
      <c r="C100" s="159">
        <v>44462</v>
      </c>
      <c r="D100" s="125">
        <v>25527.919999999998</v>
      </c>
      <c r="E100" s="126">
        <f t="shared" si="2"/>
        <v>1.6940907050265589E-3</v>
      </c>
      <c r="H100" s="137">
        <v>44462</v>
      </c>
      <c r="I100">
        <v>1951.1</v>
      </c>
      <c r="J100">
        <v>1960</v>
      </c>
      <c r="K100">
        <v>2314.3000000000002</v>
      </c>
      <c r="L100">
        <v>1957.05</v>
      </c>
      <c r="M100">
        <v>2182.0500000000002</v>
      </c>
      <c r="N100">
        <v>2199.3000000000002</v>
      </c>
      <c r="O100" s="56">
        <f t="shared" si="3"/>
        <v>-3.5821031736979463E-3</v>
      </c>
    </row>
    <row r="101" spans="3:15">
      <c r="C101" s="159">
        <v>44463</v>
      </c>
      <c r="D101" s="125">
        <v>25571.24</v>
      </c>
      <c r="E101" s="126">
        <f t="shared" si="2"/>
        <v>1.0753112830653331E-4</v>
      </c>
      <c r="H101" s="137">
        <v>44463</v>
      </c>
      <c r="I101">
        <v>2199.3000000000002</v>
      </c>
      <c r="J101">
        <v>2199.85</v>
      </c>
      <c r="K101">
        <v>2273.75</v>
      </c>
      <c r="L101">
        <v>2152.35</v>
      </c>
      <c r="M101">
        <v>2192</v>
      </c>
      <c r="N101">
        <v>2191.4499999999998</v>
      </c>
      <c r="O101" s="56">
        <f t="shared" si="3"/>
        <v>4.1234632716454479E-2</v>
      </c>
    </row>
    <row r="102" spans="3:15">
      <c r="C102" s="159">
        <v>44466</v>
      </c>
      <c r="D102" s="125">
        <v>25573.99</v>
      </c>
      <c r="E102" s="126">
        <f t="shared" si="2"/>
        <v>-6.000048777686352E-3</v>
      </c>
      <c r="H102" s="137">
        <v>44466</v>
      </c>
      <c r="I102">
        <v>2191.4499999999998</v>
      </c>
      <c r="J102">
        <v>2192.5</v>
      </c>
      <c r="K102">
        <v>2328.9</v>
      </c>
      <c r="L102">
        <v>2187</v>
      </c>
      <c r="M102">
        <v>2284</v>
      </c>
      <c r="N102">
        <v>2285.6999999999998</v>
      </c>
      <c r="O102" s="56">
        <f t="shared" si="3"/>
        <v>-2.3050756422880674E-2</v>
      </c>
    </row>
    <row r="103" spans="3:15">
      <c r="C103" s="159">
        <v>44467</v>
      </c>
      <c r="D103" s="125">
        <v>25421.46</v>
      </c>
      <c r="E103" s="126">
        <f t="shared" si="2"/>
        <v>-2.1077744038844829E-3</v>
      </c>
      <c r="H103" s="137">
        <v>44467</v>
      </c>
      <c r="I103">
        <v>2285.6999999999998</v>
      </c>
      <c r="J103">
        <v>2282.5500000000002</v>
      </c>
      <c r="K103">
        <v>2309</v>
      </c>
      <c r="L103">
        <v>2163.15</v>
      </c>
      <c r="M103">
        <v>2228</v>
      </c>
      <c r="N103">
        <v>2234.1999999999998</v>
      </c>
      <c r="O103" s="56">
        <f t="shared" si="3"/>
        <v>3.2604459839792245E-2</v>
      </c>
    </row>
    <row r="104" spans="3:15">
      <c r="C104" s="159">
        <v>44468</v>
      </c>
      <c r="D104" s="125">
        <v>25367.99</v>
      </c>
      <c r="E104" s="126">
        <f t="shared" si="2"/>
        <v>-5.2871913410849443E-3</v>
      </c>
      <c r="H104" s="137">
        <v>44468</v>
      </c>
      <c r="I104">
        <v>2234.1999999999998</v>
      </c>
      <c r="J104">
        <v>2229.6999999999998</v>
      </c>
      <c r="K104">
        <v>2410</v>
      </c>
      <c r="L104">
        <v>2198</v>
      </c>
      <c r="M104">
        <v>2315</v>
      </c>
      <c r="N104">
        <v>2309.5</v>
      </c>
      <c r="O104" s="56">
        <f t="shared" si="3"/>
        <v>1.0381071845668459E-3</v>
      </c>
    </row>
    <row r="105" spans="3:15">
      <c r="C105" s="159">
        <v>44469</v>
      </c>
      <c r="D105" s="125">
        <v>25234.57</v>
      </c>
      <c r="E105" s="126">
        <f t="shared" si="2"/>
        <v>-4.9109462890138764E-3</v>
      </c>
      <c r="H105" s="137">
        <v>44469</v>
      </c>
      <c r="I105">
        <v>2309.5</v>
      </c>
      <c r="J105">
        <v>2325</v>
      </c>
      <c r="K105">
        <v>2349.8000000000002</v>
      </c>
      <c r="L105">
        <v>2290</v>
      </c>
      <c r="M105">
        <v>2318.75</v>
      </c>
      <c r="N105">
        <v>2311.9</v>
      </c>
      <c r="O105" s="56">
        <f t="shared" si="3"/>
        <v>-3.5194555142614027E-2</v>
      </c>
    </row>
    <row r="106" spans="3:15">
      <c r="C106" s="159">
        <v>44470</v>
      </c>
      <c r="D106" s="125">
        <v>25111.25</v>
      </c>
      <c r="E106" s="126">
        <f t="shared" si="2"/>
        <v>9.0006361654535218E-3</v>
      </c>
      <c r="H106" s="137">
        <v>44470</v>
      </c>
      <c r="I106">
        <v>2311.9</v>
      </c>
      <c r="J106">
        <v>2312</v>
      </c>
      <c r="K106">
        <v>2340</v>
      </c>
      <c r="L106">
        <v>2205</v>
      </c>
      <c r="M106">
        <v>2228.9499999999998</v>
      </c>
      <c r="N106">
        <v>2233.3000000000002</v>
      </c>
      <c r="O106" s="56">
        <f t="shared" si="3"/>
        <v>4.459797651387136E-2</v>
      </c>
    </row>
    <row r="107" spans="3:15">
      <c r="C107" s="159">
        <v>44473</v>
      </c>
      <c r="D107" s="125">
        <v>25339.32</v>
      </c>
      <c r="E107" s="126">
        <f t="shared" si="2"/>
        <v>7.3514375770263405E-3</v>
      </c>
      <c r="H107" s="137">
        <v>44473</v>
      </c>
      <c r="I107">
        <v>2233.3000000000002</v>
      </c>
      <c r="J107">
        <v>2239.9499999999998</v>
      </c>
      <c r="K107">
        <v>2387</v>
      </c>
      <c r="L107">
        <v>2237.6</v>
      </c>
      <c r="M107">
        <v>2334.4499999999998</v>
      </c>
      <c r="N107">
        <v>2337.5500000000002</v>
      </c>
      <c r="O107" s="56">
        <f t="shared" si="3"/>
        <v>-2.2796385832112E-2</v>
      </c>
    </row>
    <row r="108" spans="3:15">
      <c r="C108" s="159">
        <v>44474</v>
      </c>
      <c r="D108" s="125">
        <v>25526.98</v>
      </c>
      <c r="E108" s="126">
        <f t="shared" si="2"/>
        <v>-9.9903143407896033E-3</v>
      </c>
      <c r="H108" s="137">
        <v>44474</v>
      </c>
      <c r="I108">
        <v>2337.5500000000002</v>
      </c>
      <c r="J108">
        <v>2345</v>
      </c>
      <c r="K108">
        <v>2347.5</v>
      </c>
      <c r="L108">
        <v>2260</v>
      </c>
      <c r="M108">
        <v>2285</v>
      </c>
      <c r="N108">
        <v>2285.4499999999998</v>
      </c>
      <c r="O108" s="56">
        <f t="shared" si="3"/>
        <v>6.9959117640644658E-4</v>
      </c>
    </row>
    <row r="109" spans="3:15">
      <c r="C109" s="159">
        <v>44475</v>
      </c>
      <c r="D109" s="125">
        <v>25274.48</v>
      </c>
      <c r="E109" s="126">
        <f t="shared" si="2"/>
        <v>8.1149833250003661E-3</v>
      </c>
      <c r="H109" s="137">
        <v>44475</v>
      </c>
      <c r="I109">
        <v>2285.4499999999998</v>
      </c>
      <c r="J109">
        <v>2296.9</v>
      </c>
      <c r="K109">
        <v>2319.65</v>
      </c>
      <c r="L109">
        <v>2260.5</v>
      </c>
      <c r="M109">
        <v>2283</v>
      </c>
      <c r="N109">
        <v>2287.0500000000002</v>
      </c>
      <c r="O109" s="56">
        <f t="shared" si="3"/>
        <v>7.6610949612403098E-2</v>
      </c>
    </row>
    <row r="110" spans="3:15">
      <c r="C110" s="159">
        <v>44476</v>
      </c>
      <c r="D110" s="125">
        <v>25481.26</v>
      </c>
      <c r="E110" s="126">
        <f t="shared" si="2"/>
        <v>5.8568832423382044E-3</v>
      </c>
      <c r="H110" s="137">
        <v>44476</v>
      </c>
      <c r="I110">
        <v>2287.0500000000002</v>
      </c>
      <c r="J110">
        <v>2308.4499999999998</v>
      </c>
      <c r="K110">
        <v>2498</v>
      </c>
      <c r="L110">
        <v>2308.4499999999998</v>
      </c>
      <c r="M110">
        <v>2483</v>
      </c>
      <c r="N110">
        <v>2476.8000000000002</v>
      </c>
      <c r="O110" s="56">
        <f t="shared" si="3"/>
        <v>-4.9713922441195248E-2</v>
      </c>
    </row>
    <row r="111" spans="3:15">
      <c r="C111" s="159">
        <v>44477</v>
      </c>
      <c r="D111" s="125">
        <v>25631.38</v>
      </c>
      <c r="E111" s="126">
        <f t="shared" si="2"/>
        <v>2.8291206461225071E-3</v>
      </c>
      <c r="H111" s="137">
        <v>44477</v>
      </c>
      <c r="I111">
        <v>2476.8000000000002</v>
      </c>
      <c r="J111">
        <v>2499</v>
      </c>
      <c r="K111">
        <v>2499.8000000000002</v>
      </c>
      <c r="L111">
        <v>2314.3000000000002</v>
      </c>
      <c r="M111">
        <v>2363</v>
      </c>
      <c r="N111">
        <v>2359.5</v>
      </c>
      <c r="O111" s="56">
        <f t="shared" si="3"/>
        <v>3.9891090989678203E-3</v>
      </c>
    </row>
    <row r="112" spans="3:15">
      <c r="C112" s="159">
        <v>44480</v>
      </c>
      <c r="D112" s="125">
        <v>25704.1</v>
      </c>
      <c r="E112" s="126">
        <f t="shared" si="2"/>
        <v>2.5576241530367999E-3</v>
      </c>
      <c r="H112" s="137">
        <v>44480</v>
      </c>
      <c r="I112">
        <v>2359.5</v>
      </c>
      <c r="J112">
        <v>2373.5</v>
      </c>
      <c r="K112">
        <v>2440</v>
      </c>
      <c r="L112">
        <v>2336.4</v>
      </c>
      <c r="M112">
        <v>2379.9499999999998</v>
      </c>
      <c r="N112">
        <v>2368.9499999999998</v>
      </c>
      <c r="O112" s="56">
        <f t="shared" si="3"/>
        <v>2.7364920348168866E-2</v>
      </c>
    </row>
    <row r="113" spans="3:15">
      <c r="C113" s="159">
        <v>44481</v>
      </c>
      <c r="D113" s="125">
        <v>25770.01</v>
      </c>
      <c r="E113" s="126">
        <f t="shared" si="2"/>
        <v>9.3483344411046977E-3</v>
      </c>
      <c r="H113" s="137">
        <v>44481</v>
      </c>
      <c r="I113">
        <v>2368.9499999999998</v>
      </c>
      <c r="J113">
        <v>2380</v>
      </c>
      <c r="K113">
        <v>2448</v>
      </c>
      <c r="L113">
        <v>2354.5500000000002</v>
      </c>
      <c r="M113">
        <v>2430</v>
      </c>
      <c r="N113">
        <v>2435.6</v>
      </c>
      <c r="O113" s="56">
        <f t="shared" si="3"/>
        <v>9.1332560362890388E-3</v>
      </c>
    </row>
    <row r="114" spans="3:15">
      <c r="C114" s="159">
        <v>44482</v>
      </c>
      <c r="D114" s="125">
        <v>26013.19</v>
      </c>
      <c r="E114" s="126">
        <f t="shared" si="2"/>
        <v>9.7316858040500109E-3</v>
      </c>
      <c r="H114" s="137">
        <v>44482</v>
      </c>
      <c r="I114">
        <v>2435.6</v>
      </c>
      <c r="J114">
        <v>2440</v>
      </c>
      <c r="K114">
        <v>2479.9</v>
      </c>
      <c r="L114">
        <v>2403.25</v>
      </c>
      <c r="M114">
        <v>2460</v>
      </c>
      <c r="N114">
        <v>2458.0500000000002</v>
      </c>
      <c r="O114" s="56">
        <f t="shared" si="3"/>
        <v>1.7860353611027797E-2</v>
      </c>
    </row>
    <row r="115" spans="3:15">
      <c r="C115" s="159">
        <v>44483</v>
      </c>
      <c r="D115" s="125">
        <v>26268.83</v>
      </c>
      <c r="E115" s="126">
        <f t="shared" si="2"/>
        <v>7.4953121239449642E-3</v>
      </c>
      <c r="H115" s="137">
        <v>44483</v>
      </c>
      <c r="I115">
        <v>2458.0500000000002</v>
      </c>
      <c r="J115">
        <v>2472.5</v>
      </c>
      <c r="K115">
        <v>2598</v>
      </c>
      <c r="L115">
        <v>2462.1999999999998</v>
      </c>
      <c r="M115">
        <v>2499</v>
      </c>
      <c r="N115">
        <v>2502.75</v>
      </c>
      <c r="O115" s="56">
        <f t="shared" si="3"/>
        <v>1.997762506000555E-5</v>
      </c>
    </row>
    <row r="116" spans="3:15">
      <c r="C116" s="159">
        <v>44487</v>
      </c>
      <c r="D116" s="125">
        <v>26467.21</v>
      </c>
      <c r="E116" s="126">
        <f t="shared" si="2"/>
        <v>-3.164831632852241E-3</v>
      </c>
      <c r="H116" s="137">
        <v>44487</v>
      </c>
      <c r="I116">
        <v>2502.75</v>
      </c>
      <c r="J116">
        <v>2524.9499999999998</v>
      </c>
      <c r="K116">
        <v>2557.1</v>
      </c>
      <c r="L116">
        <v>2456.9499999999998</v>
      </c>
      <c r="M116">
        <v>2498.0500000000002</v>
      </c>
      <c r="N116">
        <v>2502.8000000000002</v>
      </c>
      <c r="O116" s="56">
        <f t="shared" si="3"/>
        <v>-4.7043320015897366E-2</v>
      </c>
    </row>
    <row r="117" spans="3:15">
      <c r="C117" s="159">
        <v>44488</v>
      </c>
      <c r="D117" s="125">
        <v>26383.71</v>
      </c>
      <c r="E117" s="126">
        <f t="shared" si="2"/>
        <v>-8.3288172567376282E-3</v>
      </c>
      <c r="H117" s="137">
        <v>44488</v>
      </c>
      <c r="I117">
        <v>2502.8000000000002</v>
      </c>
      <c r="J117">
        <v>2517</v>
      </c>
      <c r="K117">
        <v>2542</v>
      </c>
      <c r="L117">
        <v>2353.4</v>
      </c>
      <c r="M117">
        <v>2376.6999999999998</v>
      </c>
      <c r="N117">
        <v>2390.35</v>
      </c>
      <c r="O117" s="56">
        <f t="shared" si="3"/>
        <v>-3.4917954712733297E-2</v>
      </c>
    </row>
    <row r="118" spans="3:15">
      <c r="C118" s="159">
        <v>44489</v>
      </c>
      <c r="D118" s="125">
        <v>26165.78</v>
      </c>
      <c r="E118" s="126">
        <f t="shared" si="2"/>
        <v>-4.7303282814804013E-3</v>
      </c>
      <c r="H118" s="137">
        <v>44489</v>
      </c>
      <c r="I118">
        <v>2390.35</v>
      </c>
      <c r="J118">
        <v>2385</v>
      </c>
      <c r="K118">
        <v>2410.9</v>
      </c>
      <c r="L118">
        <v>2262.1</v>
      </c>
      <c r="M118">
        <v>2318.1999999999998</v>
      </c>
      <c r="N118">
        <v>2309.6999999999998</v>
      </c>
      <c r="O118" s="56">
        <f t="shared" si="3"/>
        <v>-1.1739454202987309E-2</v>
      </c>
    </row>
    <row r="119" spans="3:15">
      <c r="C119" s="159">
        <v>44490</v>
      </c>
      <c r="D119" s="125">
        <v>26042.59</v>
      </c>
      <c r="E119" s="126">
        <f t="shared" si="2"/>
        <v>-3.4902884208198805E-3</v>
      </c>
      <c r="H119" s="137">
        <v>44490</v>
      </c>
      <c r="I119">
        <v>2309.6999999999998</v>
      </c>
      <c r="J119">
        <v>2308</v>
      </c>
      <c r="K119">
        <v>2359.6</v>
      </c>
      <c r="L119">
        <v>2200.1</v>
      </c>
      <c r="M119">
        <v>2313</v>
      </c>
      <c r="N119">
        <v>2282.9</v>
      </c>
      <c r="O119" s="56">
        <f t="shared" si="3"/>
        <v>2.8925092517759154E-2</v>
      </c>
    </row>
    <row r="120" spans="3:15">
      <c r="C120" s="159">
        <v>44491</v>
      </c>
      <c r="D120" s="125">
        <v>25952.01</v>
      </c>
      <c r="E120" s="126">
        <f t="shared" si="2"/>
        <v>5.7881067691975953E-4</v>
      </c>
      <c r="H120" s="137">
        <v>44491</v>
      </c>
      <c r="I120">
        <v>2282.9</v>
      </c>
      <c r="J120">
        <v>2294.35</v>
      </c>
      <c r="K120">
        <v>2434.8000000000002</v>
      </c>
      <c r="L120">
        <v>2291.5500000000002</v>
      </c>
      <c r="M120">
        <v>2349</v>
      </c>
      <c r="N120">
        <v>2350.9</v>
      </c>
      <c r="O120" s="56">
        <f t="shared" si="3"/>
        <v>-3.1367903834342369E-2</v>
      </c>
    </row>
    <row r="121" spans="3:15">
      <c r="C121" s="159">
        <v>44494</v>
      </c>
      <c r="D121" s="125">
        <v>25967.040000000001</v>
      </c>
      <c r="E121" s="126">
        <f t="shared" si="2"/>
        <v>8.7421576917130032E-3</v>
      </c>
      <c r="H121" s="137">
        <v>44494</v>
      </c>
      <c r="I121">
        <v>2350.9</v>
      </c>
      <c r="J121">
        <v>2368</v>
      </c>
      <c r="K121">
        <v>2371</v>
      </c>
      <c r="L121">
        <v>2206.4499999999998</v>
      </c>
      <c r="M121">
        <v>2294.9</v>
      </c>
      <c r="N121">
        <v>2279.4</v>
      </c>
      <c r="O121" s="56">
        <f t="shared" si="3"/>
        <v>2.8078030060761074E-2</v>
      </c>
    </row>
    <row r="122" spans="3:15">
      <c r="C122" s="159">
        <v>44495</v>
      </c>
      <c r="D122" s="125">
        <v>26196.05</v>
      </c>
      <c r="E122" s="126">
        <f t="shared" si="2"/>
        <v>-3.1565903157049959E-3</v>
      </c>
      <c r="H122" s="137">
        <v>44495</v>
      </c>
      <c r="I122">
        <v>2279.4</v>
      </c>
      <c r="J122">
        <v>2286.1999999999998</v>
      </c>
      <c r="K122">
        <v>2363.5</v>
      </c>
      <c r="L122">
        <v>2266.1</v>
      </c>
      <c r="M122">
        <v>2346.5</v>
      </c>
      <c r="N122">
        <v>2345.25</v>
      </c>
      <c r="O122" s="56">
        <f t="shared" si="3"/>
        <v>1.6006545271460976E-2</v>
      </c>
    </row>
    <row r="123" spans="3:15">
      <c r="C123" s="159">
        <v>44496</v>
      </c>
      <c r="D123" s="125">
        <v>26113.62</v>
      </c>
      <c r="E123" s="126">
        <f t="shared" si="2"/>
        <v>-1.9784832188398455E-2</v>
      </c>
      <c r="H123" s="137">
        <v>44496</v>
      </c>
      <c r="I123">
        <v>2345.25</v>
      </c>
      <c r="J123">
        <v>2356.85</v>
      </c>
      <c r="K123">
        <v>2395.35</v>
      </c>
      <c r="L123">
        <v>2320</v>
      </c>
      <c r="M123">
        <v>2381.8000000000002</v>
      </c>
      <c r="N123">
        <v>2383.4</v>
      </c>
      <c r="O123" s="56">
        <f t="shared" si="3"/>
        <v>-4.9747847343037846E-2</v>
      </c>
    </row>
    <row r="124" spans="3:15">
      <c r="C124" s="159">
        <v>44497</v>
      </c>
      <c r="D124" s="125">
        <v>25606.99</v>
      </c>
      <c r="E124" s="126">
        <f t="shared" si="2"/>
        <v>-1.05032076692042E-2</v>
      </c>
      <c r="H124" s="137">
        <v>44497</v>
      </c>
      <c r="I124">
        <v>2383.4</v>
      </c>
      <c r="J124">
        <v>2389.0500000000002</v>
      </c>
      <c r="K124">
        <v>2389.85</v>
      </c>
      <c r="L124">
        <v>2255</v>
      </c>
      <c r="M124">
        <v>2284.9499999999998</v>
      </c>
      <c r="N124">
        <v>2270.4499999999998</v>
      </c>
      <c r="O124" s="56">
        <f t="shared" si="3"/>
        <v>-1.6634576635472006E-2</v>
      </c>
    </row>
    <row r="125" spans="3:15">
      <c r="C125" s="159">
        <v>44498</v>
      </c>
      <c r="D125" s="125">
        <v>25340.83</v>
      </c>
      <c r="E125" s="126">
        <f t="shared" si="2"/>
        <v>1.4389672822315819E-2</v>
      </c>
      <c r="H125" s="137">
        <v>44498</v>
      </c>
      <c r="I125">
        <v>2270.4499999999998</v>
      </c>
      <c r="J125">
        <v>2275</v>
      </c>
      <c r="K125">
        <v>2314.25</v>
      </c>
      <c r="L125">
        <v>2186.3000000000002</v>
      </c>
      <c r="M125">
        <v>2240</v>
      </c>
      <c r="N125">
        <v>2233.3000000000002</v>
      </c>
      <c r="O125" s="56">
        <f t="shared" si="3"/>
        <v>4.7755084637359821E-2</v>
      </c>
    </row>
    <row r="126" spans="3:15">
      <c r="C126" s="159">
        <v>44501</v>
      </c>
      <c r="D126" s="125">
        <v>25710.799999999999</v>
      </c>
      <c r="E126" s="126">
        <f t="shared" si="2"/>
        <v>-2.1550926097357206E-3</v>
      </c>
      <c r="H126" s="137">
        <v>44501</v>
      </c>
      <c r="I126">
        <v>2233.3000000000002</v>
      </c>
      <c r="J126">
        <v>2247.1</v>
      </c>
      <c r="K126">
        <v>2438.5</v>
      </c>
      <c r="L126">
        <v>2240</v>
      </c>
      <c r="M126">
        <v>2358</v>
      </c>
      <c r="N126">
        <v>2345.3000000000002</v>
      </c>
      <c r="O126" s="56">
        <f t="shared" si="3"/>
        <v>1.9362938059875002E-3</v>
      </c>
    </row>
    <row r="127" spans="3:15">
      <c r="C127" s="159">
        <v>44502</v>
      </c>
      <c r="D127" s="125">
        <v>25655.51</v>
      </c>
      <c r="E127" s="126">
        <f t="shared" si="2"/>
        <v>-3.3496468107372438E-3</v>
      </c>
      <c r="H127" s="137">
        <v>44502</v>
      </c>
      <c r="I127">
        <v>2345.3000000000002</v>
      </c>
      <c r="J127">
        <v>2359</v>
      </c>
      <c r="K127">
        <v>2430.75</v>
      </c>
      <c r="L127">
        <v>2271</v>
      </c>
      <c r="M127">
        <v>2359.85</v>
      </c>
      <c r="N127">
        <v>2349.85</v>
      </c>
      <c r="O127" s="56">
        <f t="shared" si="3"/>
        <v>3.2366324198562835E-2</v>
      </c>
    </row>
    <row r="128" spans="3:15">
      <c r="C128" s="159">
        <v>44503</v>
      </c>
      <c r="D128" s="125">
        <v>25569.86</v>
      </c>
      <c r="E128" s="126">
        <f t="shared" si="2"/>
        <v>4.8895721040648913E-3</v>
      </c>
      <c r="H128" s="137">
        <v>44503</v>
      </c>
      <c r="I128">
        <v>2349.85</v>
      </c>
      <c r="J128">
        <v>2335</v>
      </c>
      <c r="K128">
        <v>2454.8000000000002</v>
      </c>
      <c r="L128">
        <v>2315</v>
      </c>
      <c r="M128">
        <v>2431.35</v>
      </c>
      <c r="N128">
        <v>2428.4499999999998</v>
      </c>
      <c r="O128" s="56">
        <f t="shared" si="3"/>
        <v>5.9673237581804714E-4</v>
      </c>
    </row>
    <row r="129" spans="3:15">
      <c r="C129" s="159">
        <v>44504</v>
      </c>
      <c r="D129" s="125">
        <v>25695.5</v>
      </c>
      <c r="E129" s="126">
        <f t="shared" si="2"/>
        <v>8.3969144552039198E-3</v>
      </c>
      <c r="H129" s="137">
        <v>44504</v>
      </c>
      <c r="I129">
        <v>2428.4499999999998</v>
      </c>
      <c r="J129">
        <v>2440.1</v>
      </c>
      <c r="K129">
        <v>2464.1</v>
      </c>
      <c r="L129">
        <v>2412.5</v>
      </c>
      <c r="M129">
        <v>2428</v>
      </c>
      <c r="N129">
        <v>2429.9</v>
      </c>
      <c r="O129" s="56">
        <f t="shared" si="3"/>
        <v>6.906980546019327E-3</v>
      </c>
    </row>
    <row r="130" spans="3:15">
      <c r="C130" s="159">
        <v>44508</v>
      </c>
      <c r="D130" s="125">
        <v>25913.09</v>
      </c>
      <c r="E130" s="126">
        <f t="shared" si="2"/>
        <v>-1.3451434948536498E-3</v>
      </c>
      <c r="H130" s="137">
        <v>44508</v>
      </c>
      <c r="I130">
        <v>2429.9</v>
      </c>
      <c r="J130">
        <v>2439</v>
      </c>
      <c r="K130">
        <v>2471.5500000000002</v>
      </c>
      <c r="L130">
        <v>2407.8000000000002</v>
      </c>
      <c r="M130">
        <v>2450</v>
      </c>
      <c r="N130">
        <v>2446.8000000000002</v>
      </c>
      <c r="O130" s="56">
        <f t="shared" si="3"/>
        <v>-1.0677626551560489E-2</v>
      </c>
    </row>
    <row r="131" spans="3:15">
      <c r="C131" s="159">
        <v>44509</v>
      </c>
      <c r="D131" s="125">
        <v>25878.28</v>
      </c>
      <c r="E131" s="126">
        <f t="shared" ref="E131:E194" si="4">(D132-D131)/D132</f>
        <v>-1.5019657910939222E-3</v>
      </c>
      <c r="H131" s="137">
        <v>44509</v>
      </c>
      <c r="I131">
        <v>2446.8000000000002</v>
      </c>
      <c r="J131">
        <v>2451</v>
      </c>
      <c r="K131">
        <v>2484</v>
      </c>
      <c r="L131">
        <v>2410</v>
      </c>
      <c r="M131">
        <v>2431.8000000000002</v>
      </c>
      <c r="N131">
        <v>2420.9499999999998</v>
      </c>
      <c r="O131" s="56">
        <f t="shared" ref="O131:O194" si="5">(N132-N131)/N132</f>
        <v>-2.1648766695503439E-2</v>
      </c>
    </row>
    <row r="132" spans="3:15">
      <c r="C132" s="159">
        <v>44510</v>
      </c>
      <c r="D132" s="125">
        <v>25839.47</v>
      </c>
      <c r="E132" s="126">
        <f t="shared" si="4"/>
        <v>-7.8063692796845417E-3</v>
      </c>
      <c r="H132" s="137">
        <v>44510</v>
      </c>
      <c r="I132">
        <v>2420.9499999999998</v>
      </c>
      <c r="J132">
        <v>2416.15</v>
      </c>
      <c r="K132">
        <v>2416.15</v>
      </c>
      <c r="L132">
        <v>2343</v>
      </c>
      <c r="M132">
        <v>2364.5</v>
      </c>
      <c r="N132">
        <v>2369.65</v>
      </c>
      <c r="O132" s="56">
        <f t="shared" si="5"/>
        <v>-3.3517969295184885E-2</v>
      </c>
    </row>
    <row r="133" spans="3:15">
      <c r="C133" s="159">
        <v>44511</v>
      </c>
      <c r="D133" s="125">
        <v>25639.32</v>
      </c>
      <c r="E133" s="126">
        <f t="shared" si="4"/>
        <v>1.2657876880871192E-2</v>
      </c>
      <c r="H133" s="137">
        <v>44511</v>
      </c>
      <c r="I133">
        <v>2369.65</v>
      </c>
      <c r="J133">
        <v>2370</v>
      </c>
      <c r="K133">
        <v>2390</v>
      </c>
      <c r="L133">
        <v>2278.1999999999998</v>
      </c>
      <c r="M133">
        <v>2295</v>
      </c>
      <c r="N133">
        <v>2292.8000000000002</v>
      </c>
      <c r="O133" s="56">
        <f t="shared" si="5"/>
        <v>-3.7086323872700705E-4</v>
      </c>
    </row>
    <row r="134" spans="3:15">
      <c r="C134" s="159">
        <v>44512</v>
      </c>
      <c r="D134" s="125">
        <v>25968.02</v>
      </c>
      <c r="E134" s="126">
        <f t="shared" si="4"/>
        <v>3.6916406089706273E-4</v>
      </c>
      <c r="H134" s="137">
        <v>44512</v>
      </c>
      <c r="I134">
        <v>2292.8000000000002</v>
      </c>
      <c r="J134">
        <v>2320</v>
      </c>
      <c r="K134">
        <v>2341.75</v>
      </c>
      <c r="L134">
        <v>2237.9</v>
      </c>
      <c r="M134">
        <v>2287.6</v>
      </c>
      <c r="N134">
        <v>2291.9499999999998</v>
      </c>
      <c r="O134" s="56">
        <f t="shared" si="5"/>
        <v>1.9591487541439495E-2</v>
      </c>
    </row>
    <row r="135" spans="3:15">
      <c r="C135" s="159">
        <v>44515</v>
      </c>
      <c r="D135" s="125">
        <v>25977.61</v>
      </c>
      <c r="E135" s="126">
        <f t="shared" si="4"/>
        <v>-6.1240558973085441E-3</v>
      </c>
      <c r="H135" s="137">
        <v>44515</v>
      </c>
      <c r="I135">
        <v>2291.9499999999998</v>
      </c>
      <c r="J135">
        <v>2303.4499999999998</v>
      </c>
      <c r="K135">
        <v>2344</v>
      </c>
      <c r="L135">
        <v>2272.35</v>
      </c>
      <c r="M135">
        <v>2333</v>
      </c>
      <c r="N135">
        <v>2337.75</v>
      </c>
      <c r="O135" s="56">
        <f t="shared" si="5"/>
        <v>-6.7612669839149965E-3</v>
      </c>
    </row>
    <row r="136" spans="3:15">
      <c r="C136" s="159">
        <v>44516</v>
      </c>
      <c r="D136" s="125">
        <v>25819.49</v>
      </c>
      <c r="E136" s="126">
        <f t="shared" si="4"/>
        <v>-5.6198199040319403E-3</v>
      </c>
      <c r="H136" s="137">
        <v>44516</v>
      </c>
      <c r="I136">
        <v>2337.75</v>
      </c>
      <c r="J136">
        <v>2343.9</v>
      </c>
      <c r="K136">
        <v>2360</v>
      </c>
      <c r="L136">
        <v>2292.5500000000002</v>
      </c>
      <c r="M136">
        <v>2308</v>
      </c>
      <c r="N136">
        <v>2322.0500000000002</v>
      </c>
      <c r="O136" s="56">
        <f t="shared" si="5"/>
        <v>-4.493294932949346E-2</v>
      </c>
    </row>
    <row r="137" spans="3:15">
      <c r="C137" s="159">
        <v>44517</v>
      </c>
      <c r="D137" s="125">
        <v>25675.200000000001</v>
      </c>
      <c r="E137" s="126">
        <f t="shared" si="4"/>
        <v>-7.5331894740188416E-3</v>
      </c>
      <c r="H137" s="137">
        <v>44517</v>
      </c>
      <c r="I137">
        <v>2322.0500000000002</v>
      </c>
      <c r="J137">
        <v>2310.1999999999998</v>
      </c>
      <c r="K137">
        <v>2325</v>
      </c>
      <c r="L137">
        <v>2211.6</v>
      </c>
      <c r="M137">
        <v>2225</v>
      </c>
      <c r="N137">
        <v>2222.1999999999998</v>
      </c>
      <c r="O137" s="56">
        <f t="shared" si="5"/>
        <v>-2.0574997703683165E-2</v>
      </c>
    </row>
    <row r="138" spans="3:15">
      <c r="C138" s="159">
        <v>44518</v>
      </c>
      <c r="D138" s="125">
        <v>25483.23</v>
      </c>
      <c r="E138" s="126">
        <f t="shared" si="4"/>
        <v>-1.9726077389319887E-2</v>
      </c>
      <c r="H138" s="137">
        <v>44518</v>
      </c>
      <c r="I138">
        <v>2222.1999999999998</v>
      </c>
      <c r="J138">
        <v>2222</v>
      </c>
      <c r="K138">
        <v>2289.6</v>
      </c>
      <c r="L138">
        <v>2157.65</v>
      </c>
      <c r="M138">
        <v>2161.75</v>
      </c>
      <c r="N138">
        <v>2177.4</v>
      </c>
      <c r="O138" s="56">
        <f t="shared" si="5"/>
        <v>-2.891976183725559E-2</v>
      </c>
    </row>
    <row r="139" spans="3:15">
      <c r="C139" s="159">
        <v>44522</v>
      </c>
      <c r="D139" s="125">
        <v>24990.27</v>
      </c>
      <c r="E139" s="126">
        <f t="shared" si="4"/>
        <v>4.9592232793226974E-3</v>
      </c>
      <c r="H139" s="137">
        <v>44522</v>
      </c>
      <c r="I139">
        <v>2177.4</v>
      </c>
      <c r="J139">
        <v>2161.75</v>
      </c>
      <c r="K139">
        <v>2188.25</v>
      </c>
      <c r="L139">
        <v>2062.35</v>
      </c>
      <c r="M139">
        <v>2119.35</v>
      </c>
      <c r="N139">
        <v>2116.1999999999998</v>
      </c>
      <c r="O139" s="56">
        <f t="shared" si="5"/>
        <v>2.8084598250166529E-2</v>
      </c>
    </row>
    <row r="140" spans="3:15">
      <c r="C140" s="159">
        <v>44523</v>
      </c>
      <c r="D140" s="125">
        <v>25114.82</v>
      </c>
      <c r="E140" s="126">
        <f t="shared" si="4"/>
        <v>-5.0679961485790249E-3</v>
      </c>
      <c r="H140" s="137">
        <v>44523</v>
      </c>
      <c r="I140">
        <v>2116.1999999999998</v>
      </c>
      <c r="J140">
        <v>2119.8000000000002</v>
      </c>
      <c r="K140">
        <v>2208</v>
      </c>
      <c r="L140">
        <v>2107</v>
      </c>
      <c r="M140">
        <v>2179.85</v>
      </c>
      <c r="N140">
        <v>2177.35</v>
      </c>
      <c r="O140" s="56">
        <f t="shared" si="5"/>
        <v>2.3596792668958036E-3</v>
      </c>
    </row>
    <row r="141" spans="3:15">
      <c r="C141" s="159">
        <v>44524</v>
      </c>
      <c r="D141" s="125">
        <v>24988.18</v>
      </c>
      <c r="E141" s="126">
        <f t="shared" si="4"/>
        <v>6.9107986743538758E-3</v>
      </c>
      <c r="H141" s="137">
        <v>44524</v>
      </c>
      <c r="I141">
        <v>2177.35</v>
      </c>
      <c r="J141">
        <v>2199.4499999999998</v>
      </c>
      <c r="K141">
        <v>2254.8000000000002</v>
      </c>
      <c r="L141">
        <v>2160.5</v>
      </c>
      <c r="M141">
        <v>2164.9499999999998</v>
      </c>
      <c r="N141">
        <v>2182.5</v>
      </c>
      <c r="O141" s="56">
        <f t="shared" si="5"/>
        <v>2.5386831000066945E-2</v>
      </c>
    </row>
    <row r="142" spans="3:15">
      <c r="C142" s="159">
        <v>44525</v>
      </c>
      <c r="D142" s="125">
        <v>25162.07</v>
      </c>
      <c r="E142" s="126">
        <f t="shared" si="4"/>
        <v>-2.994368112357779E-2</v>
      </c>
      <c r="H142" s="137">
        <v>44525</v>
      </c>
      <c r="I142">
        <v>2182.5</v>
      </c>
      <c r="J142">
        <v>2194</v>
      </c>
      <c r="K142">
        <v>2269.9499999999998</v>
      </c>
      <c r="L142">
        <v>2185</v>
      </c>
      <c r="M142">
        <v>2237</v>
      </c>
      <c r="N142">
        <v>2239.35</v>
      </c>
      <c r="O142" s="56">
        <f t="shared" si="5"/>
        <v>-6.851962304664197E-2</v>
      </c>
    </row>
    <row r="143" spans="3:15">
      <c r="C143" s="159">
        <v>44526</v>
      </c>
      <c r="D143" s="125">
        <v>24430.53</v>
      </c>
      <c r="E143" s="126">
        <f t="shared" si="4"/>
        <v>1.612587500035871E-3</v>
      </c>
      <c r="H143" s="137">
        <v>44526</v>
      </c>
      <c r="I143">
        <v>2239.35</v>
      </c>
      <c r="J143">
        <v>2232.1</v>
      </c>
      <c r="K143">
        <v>2232.1</v>
      </c>
      <c r="L143">
        <v>2080</v>
      </c>
      <c r="M143">
        <v>2090</v>
      </c>
      <c r="N143">
        <v>2095.75</v>
      </c>
      <c r="O143" s="56">
        <f t="shared" si="5"/>
        <v>-1.6318316279520923E-2</v>
      </c>
    </row>
    <row r="144" spans="3:15">
      <c r="C144" s="159">
        <v>44529</v>
      </c>
      <c r="D144" s="125">
        <v>24469.99</v>
      </c>
      <c r="E144" s="126">
        <f t="shared" si="4"/>
        <v>-4.1635666985248097E-3</v>
      </c>
      <c r="H144" s="137">
        <v>44529</v>
      </c>
      <c r="I144">
        <v>2095.75</v>
      </c>
      <c r="J144">
        <v>2070.5</v>
      </c>
      <c r="K144">
        <v>2121.3000000000002</v>
      </c>
      <c r="L144">
        <v>1988.7</v>
      </c>
      <c r="M144">
        <v>2064.1999999999998</v>
      </c>
      <c r="N144">
        <v>2062.1</v>
      </c>
      <c r="O144" s="56">
        <f t="shared" si="5"/>
        <v>-3.2754044172885188E-2</v>
      </c>
    </row>
    <row r="145" spans="3:15">
      <c r="C145" s="159">
        <v>44530</v>
      </c>
      <c r="D145" s="125">
        <v>24368.53</v>
      </c>
      <c r="E145" s="126">
        <f t="shared" si="4"/>
        <v>1.0698658577480018E-2</v>
      </c>
      <c r="H145" s="137">
        <v>44530</v>
      </c>
      <c r="I145">
        <v>2062.1</v>
      </c>
      <c r="J145">
        <v>2106</v>
      </c>
      <c r="K145">
        <v>2172.9499999999998</v>
      </c>
      <c r="L145">
        <v>1960</v>
      </c>
      <c r="M145">
        <v>1964</v>
      </c>
      <c r="N145">
        <v>1996.7</v>
      </c>
      <c r="O145" s="56">
        <f t="shared" si="5"/>
        <v>-1.5357233663869842E-2</v>
      </c>
    </row>
    <row r="146" spans="3:15">
      <c r="C146" s="159">
        <v>44531</v>
      </c>
      <c r="D146" s="125">
        <v>24632.06</v>
      </c>
      <c r="E146" s="126">
        <f t="shared" si="4"/>
        <v>1.3490777130439356E-2</v>
      </c>
      <c r="H146" s="137">
        <v>44531</v>
      </c>
      <c r="I146">
        <v>1996.7</v>
      </c>
      <c r="J146">
        <v>1973.8</v>
      </c>
      <c r="K146">
        <v>2031</v>
      </c>
      <c r="L146">
        <v>1938.05</v>
      </c>
      <c r="M146">
        <v>1977</v>
      </c>
      <c r="N146">
        <v>1966.5</v>
      </c>
      <c r="O146" s="56">
        <f t="shared" si="5"/>
        <v>2.6846467895583322E-2</v>
      </c>
    </row>
    <row r="147" spans="3:15">
      <c r="C147" s="159">
        <v>44532</v>
      </c>
      <c r="D147" s="125">
        <v>24968.91</v>
      </c>
      <c r="E147" s="126">
        <f t="shared" si="4"/>
        <v>-1.1918217876273032E-2</v>
      </c>
      <c r="H147" s="137">
        <v>44532</v>
      </c>
      <c r="I147">
        <v>1966.5</v>
      </c>
      <c r="J147">
        <v>1982</v>
      </c>
      <c r="K147">
        <v>2029</v>
      </c>
      <c r="L147">
        <v>1943.5</v>
      </c>
      <c r="M147">
        <v>2028.9</v>
      </c>
      <c r="N147">
        <v>2020.75</v>
      </c>
      <c r="O147" s="56">
        <f t="shared" si="5"/>
        <v>-3.2176624919562943E-4</v>
      </c>
    </row>
    <row r="148" spans="3:15">
      <c r="C148" s="159">
        <v>44533</v>
      </c>
      <c r="D148" s="125">
        <v>24674.83</v>
      </c>
      <c r="E148" s="126">
        <f t="shared" si="4"/>
        <v>-1.6818101835807269E-2</v>
      </c>
      <c r="H148" s="137">
        <v>44533</v>
      </c>
      <c r="I148">
        <v>2020.75</v>
      </c>
      <c r="J148">
        <v>2031</v>
      </c>
      <c r="K148">
        <v>2063.9499999999998</v>
      </c>
      <c r="L148">
        <v>2005.1</v>
      </c>
      <c r="M148">
        <v>2022.5</v>
      </c>
      <c r="N148">
        <v>2020.1</v>
      </c>
      <c r="O148" s="56">
        <f t="shared" si="5"/>
        <v>-2.9901348492186831E-2</v>
      </c>
    </row>
    <row r="149" spans="3:15">
      <c r="C149" s="159">
        <v>44536</v>
      </c>
      <c r="D149" s="125">
        <v>24266.71</v>
      </c>
      <c r="E149" s="126">
        <f t="shared" si="4"/>
        <v>1.5396706507864552E-2</v>
      </c>
      <c r="H149" s="137">
        <v>44536</v>
      </c>
      <c r="I149">
        <v>2020.1</v>
      </c>
      <c r="J149">
        <v>2040.35</v>
      </c>
      <c r="K149">
        <v>2116.65</v>
      </c>
      <c r="L149">
        <v>1952.9</v>
      </c>
      <c r="M149">
        <v>1962.35</v>
      </c>
      <c r="N149">
        <v>1961.45</v>
      </c>
      <c r="O149" s="56">
        <f t="shared" si="5"/>
        <v>1.934854885883561E-2</v>
      </c>
    </row>
    <row r="150" spans="3:15">
      <c r="C150" s="159">
        <v>44537</v>
      </c>
      <c r="D150" s="125">
        <v>24646.18</v>
      </c>
      <c r="E150" s="126">
        <f t="shared" si="4"/>
        <v>1.6772903566575736E-2</v>
      </c>
      <c r="H150" s="137">
        <v>44537</v>
      </c>
      <c r="I150">
        <v>1961.45</v>
      </c>
      <c r="J150">
        <v>1990</v>
      </c>
      <c r="K150">
        <v>2008</v>
      </c>
      <c r="L150">
        <v>1962.35</v>
      </c>
      <c r="M150">
        <v>2005</v>
      </c>
      <c r="N150">
        <v>2000.15</v>
      </c>
      <c r="O150" s="56">
        <f t="shared" si="5"/>
        <v>2.0878206383395274E-2</v>
      </c>
    </row>
    <row r="151" spans="3:15">
      <c r="C151" s="159">
        <v>44538</v>
      </c>
      <c r="D151" s="125">
        <v>25066.62</v>
      </c>
      <c r="E151" s="126">
        <f t="shared" si="4"/>
        <v>2.6899570824330241E-3</v>
      </c>
      <c r="H151" s="137">
        <v>44538</v>
      </c>
      <c r="I151">
        <v>2000.15</v>
      </c>
      <c r="J151">
        <v>2018.2</v>
      </c>
      <c r="K151">
        <v>2049</v>
      </c>
      <c r="L151">
        <v>2009.3</v>
      </c>
      <c r="M151">
        <v>2033</v>
      </c>
      <c r="N151">
        <v>2042.8</v>
      </c>
      <c r="O151" s="56">
        <f t="shared" si="5"/>
        <v>7.5818719886514279E-4</v>
      </c>
    </row>
    <row r="152" spans="3:15">
      <c r="C152" s="159">
        <v>44539</v>
      </c>
      <c r="D152" s="125">
        <v>25134.23</v>
      </c>
      <c r="E152" s="126">
        <f t="shared" si="4"/>
        <v>-3.1799425620379184E-4</v>
      </c>
      <c r="H152" s="137">
        <v>44539</v>
      </c>
      <c r="I152">
        <v>2042.8</v>
      </c>
      <c r="J152">
        <v>2055</v>
      </c>
      <c r="K152">
        <v>2059.9</v>
      </c>
      <c r="L152">
        <v>2018</v>
      </c>
      <c r="M152">
        <v>2045</v>
      </c>
      <c r="N152">
        <v>2044.35</v>
      </c>
      <c r="O152" s="56">
        <f t="shared" si="5"/>
        <v>2.6129001524390204E-2</v>
      </c>
    </row>
    <row r="153" spans="3:15">
      <c r="C153" s="159">
        <v>44540</v>
      </c>
      <c r="D153" s="125">
        <v>25126.240000000002</v>
      </c>
      <c r="E153" s="126">
        <f t="shared" si="4"/>
        <v>-8.2348154289030376E-3</v>
      </c>
      <c r="H153" s="137">
        <v>44540</v>
      </c>
      <c r="I153">
        <v>2044.35</v>
      </c>
      <c r="J153">
        <v>2045</v>
      </c>
      <c r="K153">
        <v>2108</v>
      </c>
      <c r="L153">
        <v>2026.05</v>
      </c>
      <c r="M153">
        <v>2094</v>
      </c>
      <c r="N153">
        <v>2099.1999999999998</v>
      </c>
      <c r="O153" s="56">
        <f t="shared" si="5"/>
        <v>-1.589759721247606E-2</v>
      </c>
    </row>
    <row r="154" spans="3:15">
      <c r="C154" s="159">
        <v>44543</v>
      </c>
      <c r="D154" s="125">
        <v>24921.02</v>
      </c>
      <c r="E154" s="126">
        <f t="shared" si="4"/>
        <v>-2.5033398648928434E-3</v>
      </c>
      <c r="H154" s="137">
        <v>44543</v>
      </c>
      <c r="I154">
        <v>2099.1999999999998</v>
      </c>
      <c r="J154">
        <v>2108.65</v>
      </c>
      <c r="K154">
        <v>2125</v>
      </c>
      <c r="L154">
        <v>2055.5500000000002</v>
      </c>
      <c r="M154">
        <v>2073</v>
      </c>
      <c r="N154">
        <v>2066.35</v>
      </c>
      <c r="O154" s="56">
        <f t="shared" si="5"/>
        <v>7.7551020408163701E-3</v>
      </c>
    </row>
    <row r="155" spans="3:15">
      <c r="C155" s="159">
        <v>44544</v>
      </c>
      <c r="D155" s="125">
        <v>24858.79</v>
      </c>
      <c r="E155" s="126">
        <f t="shared" si="4"/>
        <v>-6.0092350153580333E-3</v>
      </c>
      <c r="H155" s="137">
        <v>44544</v>
      </c>
      <c r="I155">
        <v>2066.35</v>
      </c>
      <c r="J155">
        <v>2079</v>
      </c>
      <c r="K155">
        <v>2088</v>
      </c>
      <c r="L155">
        <v>2012</v>
      </c>
      <c r="M155">
        <v>2075</v>
      </c>
      <c r="N155">
        <v>2082.5</v>
      </c>
      <c r="O155" s="56">
        <f t="shared" si="5"/>
        <v>-3.457697848874753E-2</v>
      </c>
    </row>
    <row r="156" spans="3:15">
      <c r="C156" s="159">
        <v>44545</v>
      </c>
      <c r="D156" s="125">
        <v>24710.3</v>
      </c>
      <c r="E156" s="126">
        <f t="shared" si="4"/>
        <v>1.5641029681590952E-3</v>
      </c>
      <c r="H156" s="137">
        <v>44545</v>
      </c>
      <c r="I156">
        <v>2082.5</v>
      </c>
      <c r="J156">
        <v>2071</v>
      </c>
      <c r="K156">
        <v>2074.9</v>
      </c>
      <c r="L156">
        <v>1998.5</v>
      </c>
      <c r="M156">
        <v>2016</v>
      </c>
      <c r="N156">
        <v>2012.9</v>
      </c>
      <c r="O156" s="56">
        <f t="shared" si="5"/>
        <v>-7.1550085059542594E-3</v>
      </c>
    </row>
    <row r="157" spans="3:15">
      <c r="C157" s="159">
        <v>44546</v>
      </c>
      <c r="D157" s="125">
        <v>24749.01</v>
      </c>
      <c r="E157" s="126">
        <f t="shared" si="4"/>
        <v>-1.5495230674352711E-2</v>
      </c>
      <c r="H157" s="137">
        <v>44546</v>
      </c>
      <c r="I157">
        <v>2012.9</v>
      </c>
      <c r="J157">
        <v>2036.6</v>
      </c>
      <c r="K157">
        <v>2044.75</v>
      </c>
      <c r="L157">
        <v>1985</v>
      </c>
      <c r="M157">
        <v>2001</v>
      </c>
      <c r="N157">
        <v>1998.6</v>
      </c>
      <c r="O157" s="56">
        <f t="shared" si="5"/>
        <v>-6.0434021329654516E-2</v>
      </c>
    </row>
    <row r="158" spans="3:15">
      <c r="C158" s="159">
        <v>44547</v>
      </c>
      <c r="D158" s="125">
        <v>24371.37</v>
      </c>
      <c r="E158" s="126">
        <f t="shared" si="4"/>
        <v>-2.2331464268021222E-2</v>
      </c>
      <c r="H158" s="137">
        <v>44547</v>
      </c>
      <c r="I158">
        <v>1998.6</v>
      </c>
      <c r="J158">
        <v>1999</v>
      </c>
      <c r="K158">
        <v>2009.6</v>
      </c>
      <c r="L158">
        <v>1875</v>
      </c>
      <c r="M158">
        <v>1889</v>
      </c>
      <c r="N158">
        <v>1884.7</v>
      </c>
      <c r="O158" s="56">
        <f t="shared" si="5"/>
        <v>-4.3490297040666585E-2</v>
      </c>
    </row>
    <row r="159" spans="3:15">
      <c r="C159" s="159">
        <v>44550</v>
      </c>
      <c r="D159" s="125">
        <v>23839.01</v>
      </c>
      <c r="E159" s="126">
        <f t="shared" si="4"/>
        <v>9.3405940380106717E-3</v>
      </c>
      <c r="H159" s="137">
        <v>44550</v>
      </c>
      <c r="I159">
        <v>1884.7</v>
      </c>
      <c r="J159">
        <v>1845</v>
      </c>
      <c r="K159">
        <v>1885.9</v>
      </c>
      <c r="L159">
        <v>1766.35</v>
      </c>
      <c r="M159">
        <v>1801</v>
      </c>
      <c r="N159">
        <v>1806.15</v>
      </c>
      <c r="O159" s="56">
        <f t="shared" si="5"/>
        <v>6.6547504468581929E-3</v>
      </c>
    </row>
    <row r="160" spans="3:15">
      <c r="C160" s="159">
        <v>44551</v>
      </c>
      <c r="D160" s="125">
        <v>24063.78</v>
      </c>
      <c r="E160" s="126">
        <f t="shared" si="4"/>
        <v>1.1211088474899151E-2</v>
      </c>
      <c r="H160" s="137">
        <v>44551</v>
      </c>
      <c r="I160">
        <v>1806.15</v>
      </c>
      <c r="J160">
        <v>1820</v>
      </c>
      <c r="K160">
        <v>1856.8</v>
      </c>
      <c r="L160">
        <v>1792.55</v>
      </c>
      <c r="M160">
        <v>1817</v>
      </c>
      <c r="N160">
        <v>1818.25</v>
      </c>
      <c r="O160" s="56">
        <f t="shared" si="5"/>
        <v>1.8435543079248589E-2</v>
      </c>
    </row>
    <row r="161" spans="3:15">
      <c r="C161" s="159">
        <v>44552</v>
      </c>
      <c r="D161" s="125">
        <v>24336.62</v>
      </c>
      <c r="E161" s="126">
        <f t="shared" si="4"/>
        <v>6.8611187626889079E-3</v>
      </c>
      <c r="H161" s="137">
        <v>44552</v>
      </c>
      <c r="I161">
        <v>1818.25</v>
      </c>
      <c r="J161">
        <v>1820</v>
      </c>
      <c r="K161">
        <v>1861.85</v>
      </c>
      <c r="L161">
        <v>1820</v>
      </c>
      <c r="M161">
        <v>1846.35</v>
      </c>
      <c r="N161">
        <v>1852.4</v>
      </c>
      <c r="O161" s="56">
        <f t="shared" si="5"/>
        <v>1.2527320219627911E-2</v>
      </c>
    </row>
    <row r="162" spans="3:15">
      <c r="C162" s="159">
        <v>44553</v>
      </c>
      <c r="D162" s="125">
        <v>24504.75</v>
      </c>
      <c r="E162" s="126">
        <f t="shared" si="4"/>
        <v>-4.0477817713378567E-3</v>
      </c>
      <c r="H162" s="137">
        <v>44553</v>
      </c>
      <c r="I162">
        <v>1852.4</v>
      </c>
      <c r="J162">
        <v>1874</v>
      </c>
      <c r="K162">
        <v>1892.95</v>
      </c>
      <c r="L162">
        <v>1860</v>
      </c>
      <c r="M162">
        <v>1875.7</v>
      </c>
      <c r="N162">
        <v>1875.9</v>
      </c>
      <c r="O162" s="56">
        <f t="shared" si="5"/>
        <v>-2.581068518619787E-2</v>
      </c>
    </row>
    <row r="163" spans="3:15">
      <c r="C163" s="159">
        <v>44554</v>
      </c>
      <c r="D163" s="125">
        <v>24405.96</v>
      </c>
      <c r="E163" s="126">
        <f t="shared" si="4"/>
        <v>4.8278527961586543E-3</v>
      </c>
      <c r="H163" s="137">
        <v>44554</v>
      </c>
      <c r="I163">
        <v>1875.9</v>
      </c>
      <c r="J163">
        <v>1880</v>
      </c>
      <c r="K163">
        <v>1885</v>
      </c>
      <c r="L163">
        <v>1814.15</v>
      </c>
      <c r="M163">
        <v>1827</v>
      </c>
      <c r="N163">
        <v>1828.7</v>
      </c>
      <c r="O163" s="56">
        <f t="shared" si="5"/>
        <v>6.0332644852700889E-3</v>
      </c>
    </row>
    <row r="164" spans="3:15">
      <c r="C164" s="159">
        <v>44557</v>
      </c>
      <c r="D164" s="125">
        <v>24524.36</v>
      </c>
      <c r="E164" s="126">
        <f t="shared" si="4"/>
        <v>8.5286949997007977E-3</v>
      </c>
      <c r="H164" s="137">
        <v>44557</v>
      </c>
      <c r="I164">
        <v>1828.7</v>
      </c>
      <c r="J164">
        <v>1818</v>
      </c>
      <c r="K164">
        <v>1846.55</v>
      </c>
      <c r="L164">
        <v>1785</v>
      </c>
      <c r="M164">
        <v>1837</v>
      </c>
      <c r="N164">
        <v>1839.8</v>
      </c>
      <c r="O164" s="56">
        <f t="shared" si="5"/>
        <v>8.5949077192510014E-3</v>
      </c>
    </row>
    <row r="165" spans="3:15">
      <c r="C165" s="159">
        <v>44558</v>
      </c>
      <c r="D165" s="125">
        <v>24735.32</v>
      </c>
      <c r="E165" s="126">
        <f t="shared" si="4"/>
        <v>-1.142181801992187E-3</v>
      </c>
      <c r="H165" s="137">
        <v>44558</v>
      </c>
      <c r="I165">
        <v>1839.8</v>
      </c>
      <c r="J165">
        <v>1853</v>
      </c>
      <c r="K165">
        <v>1865</v>
      </c>
      <c r="L165">
        <v>1832.1</v>
      </c>
      <c r="M165">
        <v>1858.2</v>
      </c>
      <c r="N165">
        <v>1855.75</v>
      </c>
      <c r="O165" s="56">
        <f t="shared" si="5"/>
        <v>1.3990905911157258E-3</v>
      </c>
    </row>
    <row r="166" spans="3:15">
      <c r="C166" s="159">
        <v>44559</v>
      </c>
      <c r="D166" s="125">
        <v>24707.1</v>
      </c>
      <c r="E166" s="126">
        <f t="shared" si="4"/>
        <v>-5.6088202241497348E-4</v>
      </c>
      <c r="H166" s="137">
        <v>44559</v>
      </c>
      <c r="I166">
        <v>1855.75</v>
      </c>
      <c r="J166">
        <v>1855.75</v>
      </c>
      <c r="K166">
        <v>1868</v>
      </c>
      <c r="L166">
        <v>1845.4</v>
      </c>
      <c r="M166">
        <v>1855</v>
      </c>
      <c r="N166">
        <v>1858.35</v>
      </c>
      <c r="O166" s="56">
        <f t="shared" si="5"/>
        <v>-9.7258822570566242E-3</v>
      </c>
    </row>
    <row r="167" spans="3:15">
      <c r="C167" s="159">
        <v>44560</v>
      </c>
      <c r="D167" s="125">
        <v>24693.25</v>
      </c>
      <c r="E167" s="126">
        <f t="shared" si="4"/>
        <v>8.6499862899362973E-3</v>
      </c>
      <c r="H167" s="137">
        <v>44560</v>
      </c>
      <c r="I167">
        <v>1858.35</v>
      </c>
      <c r="J167">
        <v>1858</v>
      </c>
      <c r="K167">
        <v>1859.95</v>
      </c>
      <c r="L167">
        <v>1825</v>
      </c>
      <c r="M167">
        <v>1842</v>
      </c>
      <c r="N167">
        <v>1840.45</v>
      </c>
      <c r="O167" s="56">
        <f t="shared" si="5"/>
        <v>1.6748584250454061E-2</v>
      </c>
    </row>
    <row r="168" spans="3:15">
      <c r="C168" s="159">
        <v>44561</v>
      </c>
      <c r="D168" s="125">
        <v>24908.71</v>
      </c>
      <c r="E168" s="126">
        <f t="shared" si="4"/>
        <v>1.5412692307844412E-2</v>
      </c>
      <c r="H168" s="137">
        <v>44561</v>
      </c>
      <c r="I168">
        <v>1840.45</v>
      </c>
      <c r="J168">
        <v>1853.25</v>
      </c>
      <c r="K168">
        <v>1881.95</v>
      </c>
      <c r="L168">
        <v>1848.15</v>
      </c>
      <c r="M168">
        <v>1871.55</v>
      </c>
      <c r="N168">
        <v>1871.8</v>
      </c>
      <c r="O168" s="56">
        <f t="shared" si="5"/>
        <v>1.6705190166001239E-2</v>
      </c>
    </row>
    <row r="169" spans="3:15">
      <c r="C169" s="159">
        <v>44564</v>
      </c>
      <c r="D169" s="125">
        <v>25298.63</v>
      </c>
      <c r="E169" s="126">
        <f t="shared" si="4"/>
        <v>1.0083994813028749E-2</v>
      </c>
      <c r="H169" s="137">
        <v>44564</v>
      </c>
      <c r="I169">
        <v>1871.8</v>
      </c>
      <c r="J169">
        <v>1886.75</v>
      </c>
      <c r="K169">
        <v>1914.4</v>
      </c>
      <c r="L169">
        <v>1875</v>
      </c>
      <c r="M169">
        <v>1905</v>
      </c>
      <c r="N169">
        <v>1903.6</v>
      </c>
      <c r="O169" s="56">
        <f t="shared" si="5"/>
        <v>-7.0359202243029965E-3</v>
      </c>
    </row>
    <row r="170" spans="3:15">
      <c r="C170" s="159">
        <v>44565</v>
      </c>
      <c r="D170" s="125">
        <v>25556.34</v>
      </c>
      <c r="E170" s="126">
        <f t="shared" si="4"/>
        <v>6.6945008235977889E-3</v>
      </c>
      <c r="H170" s="137">
        <v>44565</v>
      </c>
      <c r="I170">
        <v>1903.6</v>
      </c>
      <c r="J170">
        <v>1919.55</v>
      </c>
      <c r="K170">
        <v>1919.55</v>
      </c>
      <c r="L170">
        <v>1872.25</v>
      </c>
      <c r="M170">
        <v>1888</v>
      </c>
      <c r="N170">
        <v>1890.3</v>
      </c>
      <c r="O170" s="56">
        <f t="shared" si="5"/>
        <v>1.582756286770453E-2</v>
      </c>
    </row>
    <row r="171" spans="3:15">
      <c r="C171" s="159">
        <v>44566</v>
      </c>
      <c r="D171" s="125">
        <v>25728.58</v>
      </c>
      <c r="E171" s="126">
        <f t="shared" si="4"/>
        <v>-1.0105538887479946E-2</v>
      </c>
      <c r="H171" s="137">
        <v>44566</v>
      </c>
      <c r="I171">
        <v>1890.3</v>
      </c>
      <c r="J171">
        <v>1890</v>
      </c>
      <c r="K171">
        <v>1928.95</v>
      </c>
      <c r="L171">
        <v>1870</v>
      </c>
      <c r="M171">
        <v>1924</v>
      </c>
      <c r="N171">
        <v>1920.7</v>
      </c>
      <c r="O171" s="56">
        <f t="shared" si="5"/>
        <v>-9.0094822831026725E-3</v>
      </c>
    </row>
    <row r="172" spans="3:15">
      <c r="C172" s="159">
        <v>44567</v>
      </c>
      <c r="D172" s="125">
        <v>25471.18</v>
      </c>
      <c r="E172" s="126">
        <f t="shared" si="4"/>
        <v>3.7501378727159483E-3</v>
      </c>
      <c r="H172" s="137">
        <v>44567</v>
      </c>
      <c r="I172">
        <v>1920.7</v>
      </c>
      <c r="J172">
        <v>1909.95</v>
      </c>
      <c r="K172">
        <v>1910</v>
      </c>
      <c r="L172">
        <v>1876.75</v>
      </c>
      <c r="M172">
        <v>1900.05</v>
      </c>
      <c r="N172">
        <v>1903.55</v>
      </c>
      <c r="O172" s="56">
        <f t="shared" si="5"/>
        <v>-6.3706053396774803E-3</v>
      </c>
    </row>
    <row r="173" spans="3:15">
      <c r="C173" s="159">
        <v>44568</v>
      </c>
      <c r="D173" s="125">
        <v>25567.06</v>
      </c>
      <c r="E173" s="126">
        <f t="shared" si="4"/>
        <v>1.0586433297652985E-2</v>
      </c>
      <c r="H173" s="137">
        <v>44568</v>
      </c>
      <c r="I173">
        <v>1903.55</v>
      </c>
      <c r="J173">
        <v>1910</v>
      </c>
      <c r="K173">
        <v>1932.4</v>
      </c>
      <c r="L173">
        <v>1885</v>
      </c>
      <c r="M173">
        <v>1888.95</v>
      </c>
      <c r="N173">
        <v>1891.5</v>
      </c>
      <c r="O173" s="56">
        <f t="shared" si="5"/>
        <v>1.56128024980484E-2</v>
      </c>
    </row>
    <row r="174" spans="3:15">
      <c r="C174" s="159">
        <v>44571</v>
      </c>
      <c r="D174" s="125">
        <v>25840.62</v>
      </c>
      <c r="E174" s="126">
        <f t="shared" si="4"/>
        <v>2.9043957201547173E-3</v>
      </c>
      <c r="H174" s="137">
        <v>44571</v>
      </c>
      <c r="I174">
        <v>1891.5</v>
      </c>
      <c r="J174">
        <v>1901.8</v>
      </c>
      <c r="K174">
        <v>1947</v>
      </c>
      <c r="L174">
        <v>1901.8</v>
      </c>
      <c r="M174">
        <v>1928</v>
      </c>
      <c r="N174">
        <v>1921.5</v>
      </c>
      <c r="O174" s="56">
        <f t="shared" si="5"/>
        <v>-4.3120344962759702E-3</v>
      </c>
    </row>
    <row r="175" spans="3:15">
      <c r="C175" s="159">
        <v>44572</v>
      </c>
      <c r="D175" s="125">
        <v>25915.89</v>
      </c>
      <c r="E175" s="126">
        <f t="shared" si="4"/>
        <v>8.5992407236537404E-3</v>
      </c>
      <c r="H175" s="137">
        <v>44572</v>
      </c>
      <c r="I175">
        <v>1921.5</v>
      </c>
      <c r="J175">
        <v>1923</v>
      </c>
      <c r="K175">
        <v>1948.5</v>
      </c>
      <c r="L175">
        <v>1906.6</v>
      </c>
      <c r="M175">
        <v>1911</v>
      </c>
      <c r="N175">
        <v>1913.25</v>
      </c>
      <c r="O175" s="56">
        <f t="shared" si="5"/>
        <v>2.1905833035120857E-2</v>
      </c>
    </row>
    <row r="176" spans="3:15">
      <c r="C176" s="159">
        <v>44573</v>
      </c>
      <c r="D176" s="125">
        <v>26140.68</v>
      </c>
      <c r="E176" s="126">
        <f t="shared" si="4"/>
        <v>2.4876106002204349E-3</v>
      </c>
      <c r="H176" s="137">
        <v>44573</v>
      </c>
      <c r="I176">
        <v>1913.25</v>
      </c>
      <c r="J176">
        <v>1930</v>
      </c>
      <c r="K176">
        <v>1988.4</v>
      </c>
      <c r="L176">
        <v>1926.85</v>
      </c>
      <c r="M176">
        <v>1950.6</v>
      </c>
      <c r="N176">
        <v>1956.1</v>
      </c>
      <c r="O176" s="56">
        <f t="shared" si="5"/>
        <v>-1.3575832944712067E-2</v>
      </c>
    </row>
    <row r="177" spans="3:15">
      <c r="C177" s="159">
        <v>44574</v>
      </c>
      <c r="D177" s="125">
        <v>26205.87</v>
      </c>
      <c r="E177" s="126">
        <f t="shared" si="4"/>
        <v>-1.1067447697714485E-4</v>
      </c>
      <c r="H177" s="137">
        <v>44574</v>
      </c>
      <c r="I177">
        <v>1956.1</v>
      </c>
      <c r="J177">
        <v>1957.95</v>
      </c>
      <c r="K177">
        <v>1957.95</v>
      </c>
      <c r="L177">
        <v>1912.2</v>
      </c>
      <c r="M177">
        <v>1929.95</v>
      </c>
      <c r="N177">
        <v>1929.9</v>
      </c>
      <c r="O177" s="56">
        <f t="shared" si="5"/>
        <v>1.7537607860106306E-2</v>
      </c>
    </row>
    <row r="178" spans="3:15">
      <c r="C178" s="159">
        <v>44575</v>
      </c>
      <c r="D178" s="125">
        <v>26202.97</v>
      </c>
      <c r="E178" s="126">
        <f t="shared" si="4"/>
        <v>2.8578963371358149E-3</v>
      </c>
      <c r="H178" s="137">
        <v>44575</v>
      </c>
      <c r="I178">
        <v>1929.9</v>
      </c>
      <c r="J178">
        <v>1920</v>
      </c>
      <c r="K178">
        <v>1969.65</v>
      </c>
      <c r="L178">
        <v>1906.05</v>
      </c>
      <c r="M178">
        <v>1960.95</v>
      </c>
      <c r="N178">
        <v>1964.35</v>
      </c>
      <c r="O178" s="56">
        <f t="shared" si="5"/>
        <v>6.8758057584873914E-3</v>
      </c>
    </row>
    <row r="179" spans="3:15">
      <c r="C179" s="159">
        <v>44578</v>
      </c>
      <c r="D179" s="125">
        <v>26278.07</v>
      </c>
      <c r="E179" s="126">
        <f t="shared" si="4"/>
        <v>-1.0767308738240517E-2</v>
      </c>
      <c r="H179" s="137">
        <v>44578</v>
      </c>
      <c r="I179">
        <v>1964.35</v>
      </c>
      <c r="J179">
        <v>1964.95</v>
      </c>
      <c r="K179">
        <v>1989.9</v>
      </c>
      <c r="L179">
        <v>1938</v>
      </c>
      <c r="M179">
        <v>1979.65</v>
      </c>
      <c r="N179">
        <v>1977.95</v>
      </c>
      <c r="O179" s="56">
        <f t="shared" si="5"/>
        <v>-3.9357872888258372E-2</v>
      </c>
    </row>
    <row r="180" spans="3:15">
      <c r="C180" s="159">
        <v>44579</v>
      </c>
      <c r="D180" s="125">
        <v>25998.14</v>
      </c>
      <c r="E180" s="126">
        <f t="shared" si="4"/>
        <v>-9.6439546544226182E-3</v>
      </c>
      <c r="H180" s="137">
        <v>44579</v>
      </c>
      <c r="I180">
        <v>1977.95</v>
      </c>
      <c r="J180">
        <v>1983</v>
      </c>
      <c r="K180">
        <v>2012.5</v>
      </c>
      <c r="L180">
        <v>1894.8</v>
      </c>
      <c r="M180">
        <v>1903.6</v>
      </c>
      <c r="N180">
        <v>1903.05</v>
      </c>
      <c r="O180" s="56">
        <f t="shared" si="5"/>
        <v>-2.800885911840963E-2</v>
      </c>
    </row>
    <row r="181" spans="3:15">
      <c r="C181" s="159">
        <v>44580</v>
      </c>
      <c r="D181" s="125">
        <v>25749.81</v>
      </c>
      <c r="E181" s="126">
        <f t="shared" si="4"/>
        <v>-1.007414195039498E-2</v>
      </c>
      <c r="H181" s="137">
        <v>44580</v>
      </c>
      <c r="I181">
        <v>1903.05</v>
      </c>
      <c r="J181">
        <v>1898</v>
      </c>
      <c r="K181">
        <v>1898</v>
      </c>
      <c r="L181">
        <v>1820.4</v>
      </c>
      <c r="M181">
        <v>1855</v>
      </c>
      <c r="N181">
        <v>1851.2</v>
      </c>
      <c r="O181" s="56">
        <f t="shared" si="5"/>
        <v>8.462774504552734E-3</v>
      </c>
    </row>
    <row r="182" spans="3:15">
      <c r="C182" s="159">
        <v>44581</v>
      </c>
      <c r="D182" s="125">
        <v>25492.99</v>
      </c>
      <c r="E182" s="126">
        <f t="shared" si="4"/>
        <v>-7.9180886832258615E-3</v>
      </c>
      <c r="H182" s="137">
        <v>44581</v>
      </c>
      <c r="I182">
        <v>1851.2</v>
      </c>
      <c r="J182">
        <v>1860.5</v>
      </c>
      <c r="K182">
        <v>1879.45</v>
      </c>
      <c r="L182">
        <v>1842.5</v>
      </c>
      <c r="M182">
        <v>1868</v>
      </c>
      <c r="N182">
        <v>1867</v>
      </c>
      <c r="O182" s="56">
        <f t="shared" si="5"/>
        <v>-3.7885315618311752E-2</v>
      </c>
    </row>
    <row r="183" spans="3:15">
      <c r="C183" s="159">
        <v>44582</v>
      </c>
      <c r="D183" s="125">
        <v>25292.720000000001</v>
      </c>
      <c r="E183" s="126">
        <f t="shared" si="4"/>
        <v>-2.7294084007291417E-2</v>
      </c>
      <c r="H183" s="137">
        <v>44582</v>
      </c>
      <c r="I183">
        <v>1867</v>
      </c>
      <c r="J183">
        <v>1850</v>
      </c>
      <c r="K183">
        <v>1858</v>
      </c>
      <c r="L183">
        <v>1776.7</v>
      </c>
      <c r="M183">
        <v>1805</v>
      </c>
      <c r="N183">
        <v>1798.85</v>
      </c>
      <c r="O183" s="56">
        <f t="shared" si="5"/>
        <v>-8.6327676792076702E-2</v>
      </c>
    </row>
    <row r="184" spans="3:15">
      <c r="C184" s="159">
        <v>44585</v>
      </c>
      <c r="D184" s="125">
        <v>24620.720000000001</v>
      </c>
      <c r="E184" s="126">
        <f t="shared" si="4"/>
        <v>7.4591576549791413E-3</v>
      </c>
      <c r="H184" s="137">
        <v>44585</v>
      </c>
      <c r="I184">
        <v>1798.85</v>
      </c>
      <c r="J184">
        <v>1798.85</v>
      </c>
      <c r="K184">
        <v>1800</v>
      </c>
      <c r="L184">
        <v>1627</v>
      </c>
      <c r="M184">
        <v>1649</v>
      </c>
      <c r="N184">
        <v>1655.9</v>
      </c>
      <c r="O184" s="56">
        <f t="shared" si="5"/>
        <v>-1.0341987247933155E-2</v>
      </c>
    </row>
    <row r="185" spans="3:15">
      <c r="C185" s="159">
        <v>44586</v>
      </c>
      <c r="D185" s="125">
        <v>24805.75</v>
      </c>
      <c r="E185" s="126">
        <f t="shared" si="4"/>
        <v>-9.8083396533495959E-3</v>
      </c>
      <c r="H185" s="137">
        <v>44586</v>
      </c>
      <c r="I185">
        <v>1655.9</v>
      </c>
      <c r="J185">
        <v>1644</v>
      </c>
      <c r="K185">
        <v>1648.5</v>
      </c>
      <c r="L185">
        <v>1560.5</v>
      </c>
      <c r="M185">
        <v>1634.15</v>
      </c>
      <c r="N185">
        <v>1638.95</v>
      </c>
      <c r="O185" s="56">
        <f t="shared" si="5"/>
        <v>-1.8012981769620174E-2</v>
      </c>
    </row>
    <row r="186" spans="3:15">
      <c r="C186" s="159">
        <v>44588</v>
      </c>
      <c r="D186" s="125">
        <v>24564.81</v>
      </c>
      <c r="E186" s="126">
        <f t="shared" si="4"/>
        <v>-4.7937037531810462E-4</v>
      </c>
      <c r="H186" s="137">
        <v>44588</v>
      </c>
      <c r="I186">
        <v>1638.95</v>
      </c>
      <c r="J186">
        <v>1624.1</v>
      </c>
      <c r="K186">
        <v>1624.1</v>
      </c>
      <c r="L186">
        <v>1548</v>
      </c>
      <c r="M186">
        <v>1616</v>
      </c>
      <c r="N186">
        <v>1609.95</v>
      </c>
      <c r="O186" s="56">
        <f t="shared" si="5"/>
        <v>1.3571472336253823E-2</v>
      </c>
    </row>
    <row r="187" spans="3:15">
      <c r="C187" s="159">
        <v>44589</v>
      </c>
      <c r="D187" s="125">
        <v>24553.040000000001</v>
      </c>
      <c r="E187" s="126">
        <f t="shared" si="4"/>
        <v>1.3721036914803203E-2</v>
      </c>
      <c r="H187" s="137">
        <v>44589</v>
      </c>
      <c r="I187">
        <v>1609.95</v>
      </c>
      <c r="J187">
        <v>1630</v>
      </c>
      <c r="K187">
        <v>1705.75</v>
      </c>
      <c r="L187">
        <v>1620.15</v>
      </c>
      <c r="M187">
        <v>1633</v>
      </c>
      <c r="N187">
        <v>1632.1</v>
      </c>
      <c r="O187" s="56">
        <f t="shared" si="5"/>
        <v>4.8421420866979668E-2</v>
      </c>
    </row>
    <row r="188" spans="3:15">
      <c r="C188" s="159">
        <v>44592</v>
      </c>
      <c r="D188" s="125">
        <v>24894.62</v>
      </c>
      <c r="E188" s="126">
        <f t="shared" si="4"/>
        <v>1.3484108708221056E-2</v>
      </c>
      <c r="H188" s="137">
        <v>44592</v>
      </c>
      <c r="I188">
        <v>1632.1</v>
      </c>
      <c r="J188">
        <v>1659</v>
      </c>
      <c r="K188">
        <v>1725</v>
      </c>
      <c r="L188">
        <v>1656.7</v>
      </c>
      <c r="M188">
        <v>1717</v>
      </c>
      <c r="N188">
        <v>1715.15</v>
      </c>
      <c r="O188" s="56">
        <f t="shared" si="5"/>
        <v>3.6886436247458082E-3</v>
      </c>
    </row>
    <row r="189" spans="3:15">
      <c r="C189" s="159">
        <v>44593</v>
      </c>
      <c r="D189" s="125">
        <v>25234.89</v>
      </c>
      <c r="E189" s="126">
        <f t="shared" si="4"/>
        <v>1.1425750835894387E-2</v>
      </c>
      <c r="H189" s="137">
        <v>44593</v>
      </c>
      <c r="I189">
        <v>1715.15</v>
      </c>
      <c r="J189">
        <v>1749.85</v>
      </c>
      <c r="K189">
        <v>1761</v>
      </c>
      <c r="L189">
        <v>1687.3</v>
      </c>
      <c r="M189">
        <v>1729.95</v>
      </c>
      <c r="N189">
        <v>1721.5</v>
      </c>
      <c r="O189" s="56">
        <f t="shared" si="5"/>
        <v>3.405902816743353E-2</v>
      </c>
    </row>
    <row r="190" spans="3:15">
      <c r="C190" s="159">
        <v>44594</v>
      </c>
      <c r="D190" s="125">
        <v>25526.55</v>
      </c>
      <c r="E190" s="126">
        <f t="shared" si="4"/>
        <v>-1.2267420649397972E-2</v>
      </c>
      <c r="H190" s="137">
        <v>44594</v>
      </c>
      <c r="I190">
        <v>1721.5</v>
      </c>
      <c r="J190">
        <v>1736</v>
      </c>
      <c r="K190">
        <v>1786.8</v>
      </c>
      <c r="L190">
        <v>1727</v>
      </c>
      <c r="M190">
        <v>1777</v>
      </c>
      <c r="N190">
        <v>1782.2</v>
      </c>
      <c r="O190" s="56">
        <f t="shared" si="5"/>
        <v>-6.8561321461762234E-2</v>
      </c>
    </row>
    <row r="191" spans="3:15">
      <c r="C191" s="159">
        <v>44595</v>
      </c>
      <c r="D191" s="125">
        <v>25217.200000000001</v>
      </c>
      <c r="E191" s="126">
        <f t="shared" si="4"/>
        <v>-2.5069431910612451E-3</v>
      </c>
      <c r="H191" s="137">
        <v>44595</v>
      </c>
      <c r="I191">
        <v>1782.2</v>
      </c>
      <c r="J191">
        <v>1784.9</v>
      </c>
      <c r="K191">
        <v>1792</v>
      </c>
      <c r="L191">
        <v>1651.7</v>
      </c>
      <c r="M191">
        <v>1664.7</v>
      </c>
      <c r="N191">
        <v>1667.85</v>
      </c>
      <c r="O191" s="56">
        <f t="shared" si="5"/>
        <v>-0.10680868007167019</v>
      </c>
    </row>
    <row r="192" spans="3:15">
      <c r="C192" s="159">
        <v>44596</v>
      </c>
      <c r="D192" s="125">
        <v>25154.14</v>
      </c>
      <c r="E192" s="126">
        <f t="shared" si="4"/>
        <v>-1.7584938176213413E-2</v>
      </c>
      <c r="H192" s="137">
        <v>44596</v>
      </c>
      <c r="I192">
        <v>1667.85</v>
      </c>
      <c r="J192">
        <v>1501.1</v>
      </c>
      <c r="K192">
        <v>1574.8</v>
      </c>
      <c r="L192">
        <v>1500.1</v>
      </c>
      <c r="M192">
        <v>1511.4</v>
      </c>
      <c r="N192">
        <v>1506.9</v>
      </c>
      <c r="O192" s="56">
        <f t="shared" si="5"/>
        <v>3.4997278345233813E-2</v>
      </c>
    </row>
    <row r="193" spans="3:15">
      <c r="C193" s="159">
        <v>44599</v>
      </c>
      <c r="D193" s="125">
        <v>24719.45</v>
      </c>
      <c r="E193" s="126">
        <f t="shared" si="4"/>
        <v>3.0775422894881092E-3</v>
      </c>
      <c r="H193" s="137">
        <v>44599</v>
      </c>
      <c r="I193">
        <v>1506.9</v>
      </c>
      <c r="J193">
        <v>1590.25</v>
      </c>
      <c r="K193">
        <v>1609.7</v>
      </c>
      <c r="L193">
        <v>1532.15</v>
      </c>
      <c r="M193">
        <v>1561</v>
      </c>
      <c r="N193">
        <v>1561.55</v>
      </c>
      <c r="O193" s="56">
        <f t="shared" si="5"/>
        <v>-6.6722537390406841E-3</v>
      </c>
    </row>
    <row r="194" spans="3:15">
      <c r="C194" s="159">
        <v>44600</v>
      </c>
      <c r="D194" s="125">
        <v>24795.759999999998</v>
      </c>
      <c r="E194" s="126">
        <f t="shared" si="4"/>
        <v>1.1514634476930075E-2</v>
      </c>
      <c r="H194" s="137">
        <v>44600</v>
      </c>
      <c r="I194">
        <v>1561.55</v>
      </c>
      <c r="J194">
        <v>1570</v>
      </c>
      <c r="K194">
        <v>1579.95</v>
      </c>
      <c r="L194">
        <v>1520</v>
      </c>
      <c r="M194">
        <v>1548</v>
      </c>
      <c r="N194">
        <v>1551.2</v>
      </c>
      <c r="O194" s="56">
        <f t="shared" si="5"/>
        <v>-2.6177164463691009E-3</v>
      </c>
    </row>
    <row r="195" spans="3:15">
      <c r="C195" s="159">
        <v>44601</v>
      </c>
      <c r="D195" s="125">
        <v>25084.6</v>
      </c>
      <c r="E195" s="126">
        <f t="shared" ref="E195:E249" si="6">(D196-D195)/D196</f>
        <v>8.138259467418878E-3</v>
      </c>
      <c r="H195" s="137">
        <v>44601</v>
      </c>
      <c r="I195">
        <v>1551.2</v>
      </c>
      <c r="J195">
        <v>1560</v>
      </c>
      <c r="K195">
        <v>1564</v>
      </c>
      <c r="L195">
        <v>1537.95</v>
      </c>
      <c r="M195">
        <v>1549</v>
      </c>
      <c r="N195">
        <v>1547.15</v>
      </c>
      <c r="O195" s="56">
        <f t="shared" ref="O195:O249" si="7">(N196-N195)/N196</f>
        <v>1.8741675651677524E-2</v>
      </c>
    </row>
    <row r="196" spans="3:15">
      <c r="C196" s="159">
        <v>44602</v>
      </c>
      <c r="D196" s="125">
        <v>25290.42</v>
      </c>
      <c r="E196" s="126">
        <f t="shared" si="6"/>
        <v>-1.3300906105947986E-2</v>
      </c>
      <c r="H196" s="137">
        <v>44602</v>
      </c>
      <c r="I196">
        <v>1547.15</v>
      </c>
      <c r="J196">
        <v>1556.65</v>
      </c>
      <c r="K196">
        <v>1585</v>
      </c>
      <c r="L196">
        <v>1542</v>
      </c>
      <c r="M196">
        <v>1576.7</v>
      </c>
      <c r="N196">
        <v>1576.7</v>
      </c>
      <c r="O196" s="56">
        <f t="shared" si="7"/>
        <v>-1.041366272549585E-2</v>
      </c>
    </row>
    <row r="197" spans="3:15">
      <c r="C197" s="159">
        <v>44603</v>
      </c>
      <c r="D197" s="125">
        <v>24958.45</v>
      </c>
      <c r="E197" s="126">
        <f t="shared" si="6"/>
        <v>-3.0941312829985721E-2</v>
      </c>
      <c r="H197" s="137">
        <v>44603</v>
      </c>
      <c r="I197">
        <v>1576.7</v>
      </c>
      <c r="J197">
        <v>1569.9</v>
      </c>
      <c r="K197">
        <v>1580.8</v>
      </c>
      <c r="L197">
        <v>1532.25</v>
      </c>
      <c r="M197">
        <v>1560</v>
      </c>
      <c r="N197">
        <v>1560.45</v>
      </c>
      <c r="O197" s="56">
        <f t="shared" si="7"/>
        <v>-5.9944301046053521E-2</v>
      </c>
    </row>
    <row r="198" spans="3:15">
      <c r="C198" s="159">
        <v>44606</v>
      </c>
      <c r="D198" s="125">
        <v>24209.38</v>
      </c>
      <c r="E198" s="126">
        <f t="shared" si="6"/>
        <v>2.9370221149686463E-2</v>
      </c>
      <c r="H198" s="137">
        <v>44606</v>
      </c>
      <c r="I198">
        <v>1560.45</v>
      </c>
      <c r="J198">
        <v>1535</v>
      </c>
      <c r="K198">
        <v>1550</v>
      </c>
      <c r="L198">
        <v>1459</v>
      </c>
      <c r="M198">
        <v>1465.25</v>
      </c>
      <c r="N198">
        <v>1472.2</v>
      </c>
      <c r="O198" s="56">
        <f t="shared" si="7"/>
        <v>5.2821205687447671E-2</v>
      </c>
    </row>
    <row r="199" spans="3:15">
      <c r="C199" s="159">
        <v>44607</v>
      </c>
      <c r="D199" s="125">
        <v>24941.93</v>
      </c>
      <c r="E199" s="126">
        <f t="shared" si="6"/>
        <v>-1.4961049473854518E-3</v>
      </c>
      <c r="H199" s="137">
        <v>44607</v>
      </c>
      <c r="I199">
        <v>1472.2</v>
      </c>
      <c r="J199">
        <v>1496.9</v>
      </c>
      <c r="K199">
        <v>1562.05</v>
      </c>
      <c r="L199">
        <v>1481.1</v>
      </c>
      <c r="M199">
        <v>1552</v>
      </c>
      <c r="N199">
        <v>1554.3</v>
      </c>
      <c r="O199" s="56">
        <f t="shared" si="7"/>
        <v>2.0543197428949608E-2</v>
      </c>
    </row>
    <row r="200" spans="3:15">
      <c r="C200" s="159">
        <v>44608</v>
      </c>
      <c r="D200" s="125">
        <v>24904.67</v>
      </c>
      <c r="E200" s="126">
        <f t="shared" si="6"/>
        <v>-1.0189185234965644E-3</v>
      </c>
      <c r="H200" s="137">
        <v>44608</v>
      </c>
      <c r="I200">
        <v>1554.3</v>
      </c>
      <c r="J200">
        <v>1560</v>
      </c>
      <c r="K200">
        <v>1628</v>
      </c>
      <c r="L200">
        <v>1560</v>
      </c>
      <c r="M200">
        <v>1583</v>
      </c>
      <c r="N200">
        <v>1586.9</v>
      </c>
      <c r="O200" s="56">
        <f t="shared" si="7"/>
        <v>1.2046692607003834E-2</v>
      </c>
    </row>
    <row r="201" spans="3:15">
      <c r="C201" s="159">
        <v>44609</v>
      </c>
      <c r="D201" s="125">
        <v>24879.32</v>
      </c>
      <c r="E201" s="126">
        <f t="shared" si="6"/>
        <v>-1.6361577990456585E-3</v>
      </c>
      <c r="H201" s="137">
        <v>44609</v>
      </c>
      <c r="I201">
        <v>1586.9</v>
      </c>
      <c r="J201">
        <v>1598</v>
      </c>
      <c r="K201">
        <v>1612</v>
      </c>
      <c r="L201">
        <v>1585</v>
      </c>
      <c r="M201">
        <v>1606.4</v>
      </c>
      <c r="N201">
        <v>1606.25</v>
      </c>
      <c r="O201" s="56">
        <f t="shared" si="7"/>
        <v>-2.374123645634162E-2</v>
      </c>
    </row>
    <row r="202" spans="3:15">
      <c r="C202" s="159">
        <v>44610</v>
      </c>
      <c r="D202" s="125">
        <v>24838.68</v>
      </c>
      <c r="E202" s="126">
        <f t="shared" si="6"/>
        <v>-3.7213207961177739E-3</v>
      </c>
      <c r="H202" s="137">
        <v>44610</v>
      </c>
      <c r="I202">
        <v>1606.25</v>
      </c>
      <c r="J202">
        <v>1600</v>
      </c>
      <c r="K202">
        <v>1616.65</v>
      </c>
      <c r="L202">
        <v>1562.55</v>
      </c>
      <c r="M202">
        <v>1566</v>
      </c>
      <c r="N202">
        <v>1569</v>
      </c>
      <c r="O202" s="56">
        <f t="shared" si="7"/>
        <v>1.146673387096777E-2</v>
      </c>
    </row>
    <row r="203" spans="3:15">
      <c r="C203" s="159">
        <v>44613</v>
      </c>
      <c r="D203" s="125">
        <v>24746.59</v>
      </c>
      <c r="E203" s="126">
        <f t="shared" si="6"/>
        <v>-6.6935019658653722E-3</v>
      </c>
      <c r="H203" s="137">
        <v>44613</v>
      </c>
      <c r="I203">
        <v>1569</v>
      </c>
      <c r="J203">
        <v>1565</v>
      </c>
      <c r="K203">
        <v>1599.45</v>
      </c>
      <c r="L203">
        <v>1537.35</v>
      </c>
      <c r="M203">
        <v>1586.4</v>
      </c>
      <c r="N203">
        <v>1587.2</v>
      </c>
      <c r="O203" s="56">
        <f t="shared" si="7"/>
        <v>-1.9756497156991872E-2</v>
      </c>
    </row>
    <row r="204" spans="3:15">
      <c r="C204" s="159">
        <v>44614</v>
      </c>
      <c r="D204" s="125">
        <v>24582.05</v>
      </c>
      <c r="E204" s="126">
        <f t="shared" si="6"/>
        <v>-1.6967931668623066E-3</v>
      </c>
      <c r="H204" s="137">
        <v>44614</v>
      </c>
      <c r="I204">
        <v>1587.2</v>
      </c>
      <c r="J204">
        <v>1546.95</v>
      </c>
      <c r="K204">
        <v>1583.7</v>
      </c>
      <c r="L204">
        <v>1530</v>
      </c>
      <c r="M204">
        <v>1555.4</v>
      </c>
      <c r="N204">
        <v>1556.45</v>
      </c>
      <c r="O204" s="56">
        <f t="shared" si="7"/>
        <v>2.5299808998966632E-2</v>
      </c>
    </row>
    <row r="205" spans="3:15">
      <c r="C205" s="159">
        <v>44615</v>
      </c>
      <c r="D205" s="125">
        <v>24540.41</v>
      </c>
      <c r="E205" s="126">
        <f t="shared" si="6"/>
        <v>-5.0178343322128539E-2</v>
      </c>
      <c r="H205" s="137">
        <v>44615</v>
      </c>
      <c r="I205">
        <v>1556.45</v>
      </c>
      <c r="J205">
        <v>1570</v>
      </c>
      <c r="K205">
        <v>1609</v>
      </c>
      <c r="L205">
        <v>1567</v>
      </c>
      <c r="M205">
        <v>1591.9</v>
      </c>
      <c r="N205">
        <v>1596.85</v>
      </c>
      <c r="O205" s="56">
        <f t="shared" si="7"/>
        <v>-0.10028939571418725</v>
      </c>
    </row>
    <row r="206" spans="3:15">
      <c r="C206" s="159">
        <v>44616</v>
      </c>
      <c r="D206" s="125">
        <v>23367.85</v>
      </c>
      <c r="E206" s="126">
        <f t="shared" si="6"/>
        <v>2.4636761679765928E-2</v>
      </c>
      <c r="H206" s="137">
        <v>44616</v>
      </c>
      <c r="I206">
        <v>1596.85</v>
      </c>
      <c r="J206">
        <v>1520.2</v>
      </c>
      <c r="K206">
        <v>1548</v>
      </c>
      <c r="L206">
        <v>1443</v>
      </c>
      <c r="M206">
        <v>1445.05</v>
      </c>
      <c r="N206">
        <v>1451.3</v>
      </c>
      <c r="O206" s="56">
        <f t="shared" si="7"/>
        <v>1.3693975330456415E-2</v>
      </c>
    </row>
    <row r="207" spans="3:15">
      <c r="C207" s="159">
        <v>44617</v>
      </c>
      <c r="D207" s="125">
        <v>23958.1</v>
      </c>
      <c r="E207" s="126">
        <f t="shared" si="6"/>
        <v>8.0698016520508158E-3</v>
      </c>
      <c r="H207" s="137">
        <v>44617</v>
      </c>
      <c r="I207">
        <v>1451.3</v>
      </c>
      <c r="J207">
        <v>1500</v>
      </c>
      <c r="K207">
        <v>1533.35</v>
      </c>
      <c r="L207">
        <v>1457.85</v>
      </c>
      <c r="M207">
        <v>1473</v>
      </c>
      <c r="N207">
        <v>1471.45</v>
      </c>
      <c r="O207" s="56">
        <f t="shared" si="7"/>
        <v>2.043737309855876E-2</v>
      </c>
    </row>
    <row r="208" spans="3:15">
      <c r="C208" s="159">
        <v>44620</v>
      </c>
      <c r="D208" s="125">
        <v>24153.01</v>
      </c>
      <c r="E208" s="126">
        <f t="shared" si="6"/>
        <v>-1.1317387634239199E-2</v>
      </c>
      <c r="H208" s="137">
        <v>44620</v>
      </c>
      <c r="I208">
        <v>1471.45</v>
      </c>
      <c r="J208">
        <v>1465</v>
      </c>
      <c r="K208">
        <v>1510.7</v>
      </c>
      <c r="L208">
        <v>1432</v>
      </c>
      <c r="M208">
        <v>1505</v>
      </c>
      <c r="N208">
        <v>1502.15</v>
      </c>
      <c r="O208" s="56">
        <f t="shared" si="7"/>
        <v>1.6946899714228448E-3</v>
      </c>
    </row>
    <row r="209" spans="3:15">
      <c r="C209" s="159">
        <v>44622</v>
      </c>
      <c r="D209" s="125">
        <v>23882.720000000001</v>
      </c>
      <c r="E209" s="126">
        <f t="shared" si="6"/>
        <v>-6.5400795868429803E-3</v>
      </c>
      <c r="H209" s="137">
        <v>44622</v>
      </c>
      <c r="I209">
        <v>1502.15</v>
      </c>
      <c r="J209">
        <v>1507</v>
      </c>
      <c r="K209">
        <v>1519.5</v>
      </c>
      <c r="L209">
        <v>1481.1</v>
      </c>
      <c r="M209">
        <v>1507.05</v>
      </c>
      <c r="N209">
        <v>1504.7</v>
      </c>
      <c r="O209" s="56">
        <f t="shared" si="7"/>
        <v>2.2668225513120203E-2</v>
      </c>
    </row>
    <row r="210" spans="3:15">
      <c r="C210" s="159">
        <v>44623</v>
      </c>
      <c r="D210" s="125">
        <v>23727.54</v>
      </c>
      <c r="E210" s="126">
        <f t="shared" si="6"/>
        <v>-1.5556792973142143E-2</v>
      </c>
      <c r="H210" s="137">
        <v>44623</v>
      </c>
      <c r="I210">
        <v>1504.7</v>
      </c>
      <c r="J210">
        <v>1529.25</v>
      </c>
      <c r="K210">
        <v>1561.95</v>
      </c>
      <c r="L210">
        <v>1516.35</v>
      </c>
      <c r="M210">
        <v>1540.15</v>
      </c>
      <c r="N210">
        <v>1539.6</v>
      </c>
      <c r="O210" s="56">
        <f t="shared" si="7"/>
        <v>-4.9989770169815151E-2</v>
      </c>
    </row>
    <row r="211" spans="3:15">
      <c r="C211" s="159">
        <v>44624</v>
      </c>
      <c r="D211" s="125">
        <v>23364.07</v>
      </c>
      <c r="E211" s="126">
        <f t="shared" si="6"/>
        <v>-2.409266774814689E-2</v>
      </c>
      <c r="H211" s="137">
        <v>44624</v>
      </c>
      <c r="I211">
        <v>1539.6</v>
      </c>
      <c r="J211">
        <v>1520</v>
      </c>
      <c r="K211">
        <v>1532.8</v>
      </c>
      <c r="L211">
        <v>1443.45</v>
      </c>
      <c r="M211">
        <v>1466</v>
      </c>
      <c r="N211">
        <v>1466.3</v>
      </c>
      <c r="O211" s="56">
        <f t="shared" si="7"/>
        <v>-6.655513529240617E-2</v>
      </c>
    </row>
    <row r="212" spans="3:15">
      <c r="C212" s="159">
        <v>44627</v>
      </c>
      <c r="D212" s="125">
        <v>22814.41</v>
      </c>
      <c r="E212" s="126">
        <f t="shared" si="6"/>
        <v>9.3853558055037069E-3</v>
      </c>
      <c r="H212" s="137">
        <v>44627</v>
      </c>
      <c r="I212">
        <v>1466.3</v>
      </c>
      <c r="J212">
        <v>1429</v>
      </c>
      <c r="K212">
        <v>1429</v>
      </c>
      <c r="L212">
        <v>1350.55</v>
      </c>
      <c r="M212">
        <v>1377</v>
      </c>
      <c r="N212">
        <v>1374.8</v>
      </c>
      <c r="O212" s="56">
        <f t="shared" si="7"/>
        <v>3.4720028084957028E-2</v>
      </c>
    </row>
    <row r="213" spans="3:15">
      <c r="C213" s="159">
        <v>44628</v>
      </c>
      <c r="D213" s="125">
        <v>23030.560000000001</v>
      </c>
      <c r="E213" s="126">
        <f t="shared" si="6"/>
        <v>2.0304264061354674E-2</v>
      </c>
      <c r="H213" s="137">
        <v>44628</v>
      </c>
      <c r="I213">
        <v>1374.8</v>
      </c>
      <c r="J213">
        <v>1374</v>
      </c>
      <c r="K213">
        <v>1429</v>
      </c>
      <c r="L213">
        <v>1368</v>
      </c>
      <c r="M213">
        <v>1426</v>
      </c>
      <c r="N213">
        <v>1424.25</v>
      </c>
      <c r="O213" s="56">
        <f t="shared" si="7"/>
        <v>2.9339603353097495E-2</v>
      </c>
    </row>
    <row r="214" spans="3:15">
      <c r="C214" s="159">
        <v>44629</v>
      </c>
      <c r="D214" s="125">
        <v>23507.87</v>
      </c>
      <c r="E214" s="126">
        <f t="shared" si="6"/>
        <v>1.5037644390087198E-2</v>
      </c>
      <c r="H214" s="137">
        <v>44629</v>
      </c>
      <c r="I214">
        <v>1424.25</v>
      </c>
      <c r="J214">
        <v>1438</v>
      </c>
      <c r="K214">
        <v>1480</v>
      </c>
      <c r="L214">
        <v>1425</v>
      </c>
      <c r="M214">
        <v>1464</v>
      </c>
      <c r="N214">
        <v>1467.3</v>
      </c>
      <c r="O214" s="56">
        <f t="shared" si="7"/>
        <v>1.1253369272237227E-2</v>
      </c>
    </row>
    <row r="215" spans="3:15">
      <c r="C215" s="159">
        <v>44630</v>
      </c>
      <c r="D215" s="125">
        <v>23866.77</v>
      </c>
      <c r="E215" s="126">
        <f t="shared" si="6"/>
        <v>2.140232695430492E-3</v>
      </c>
      <c r="H215" s="137">
        <v>44630</v>
      </c>
      <c r="I215">
        <v>1467.3</v>
      </c>
      <c r="J215">
        <v>1519</v>
      </c>
      <c r="K215">
        <v>1519</v>
      </c>
      <c r="L215">
        <v>1475.55</v>
      </c>
      <c r="M215">
        <v>1479.9</v>
      </c>
      <c r="N215">
        <v>1484</v>
      </c>
      <c r="O215" s="56">
        <f t="shared" si="7"/>
        <v>5.894962486602328E-3</v>
      </c>
    </row>
    <row r="216" spans="3:15">
      <c r="C216" s="159">
        <v>44631</v>
      </c>
      <c r="D216" s="125">
        <v>23917.96</v>
      </c>
      <c r="E216" s="126">
        <f t="shared" si="6"/>
        <v>1.4273238574052723E-2</v>
      </c>
      <c r="H216" s="137">
        <v>44631</v>
      </c>
      <c r="I216">
        <v>1484</v>
      </c>
      <c r="J216">
        <v>1480</v>
      </c>
      <c r="K216">
        <v>1501.95</v>
      </c>
      <c r="L216">
        <v>1471</v>
      </c>
      <c r="M216">
        <v>1489.9</v>
      </c>
      <c r="N216">
        <v>1492.8</v>
      </c>
      <c r="O216" s="56">
        <f t="shared" si="7"/>
        <v>-3.664235048912526E-3</v>
      </c>
    </row>
    <row r="217" spans="3:15">
      <c r="C217" s="159">
        <v>44634</v>
      </c>
      <c r="D217" s="125">
        <v>24264.29</v>
      </c>
      <c r="E217" s="126">
        <f t="shared" si="6"/>
        <v>-1.2500459008075192E-2</v>
      </c>
      <c r="H217" s="137">
        <v>44634</v>
      </c>
      <c r="I217">
        <v>1492.8</v>
      </c>
      <c r="J217">
        <v>1500</v>
      </c>
      <c r="K217">
        <v>1504</v>
      </c>
      <c r="L217">
        <v>1467.9</v>
      </c>
      <c r="M217">
        <v>1482</v>
      </c>
      <c r="N217">
        <v>1487.35</v>
      </c>
      <c r="O217" s="56">
        <f t="shared" si="7"/>
        <v>-1.1149257282708361E-2</v>
      </c>
    </row>
    <row r="218" spans="3:15">
      <c r="C218" s="159">
        <v>44635</v>
      </c>
      <c r="D218" s="125">
        <v>23964.720000000001</v>
      </c>
      <c r="E218" s="126">
        <f t="shared" si="6"/>
        <v>1.8402555910543083E-2</v>
      </c>
      <c r="H218" s="137">
        <v>44635</v>
      </c>
      <c r="I218">
        <v>1487.35</v>
      </c>
      <c r="J218">
        <v>1494.8</v>
      </c>
      <c r="K218">
        <v>1536.9</v>
      </c>
      <c r="L218">
        <v>1462</v>
      </c>
      <c r="M218">
        <v>1464</v>
      </c>
      <c r="N218">
        <v>1470.95</v>
      </c>
      <c r="O218" s="56">
        <f t="shared" si="7"/>
        <v>3.6295738198971313E-2</v>
      </c>
    </row>
    <row r="219" spans="3:15">
      <c r="C219" s="159">
        <v>44636</v>
      </c>
      <c r="D219" s="125">
        <v>24414</v>
      </c>
      <c r="E219" s="126">
        <f t="shared" si="6"/>
        <v>1.8030131601016335E-2</v>
      </c>
      <c r="H219" s="137">
        <v>44636</v>
      </c>
      <c r="I219">
        <v>1470.95</v>
      </c>
      <c r="J219">
        <v>1490.75</v>
      </c>
      <c r="K219">
        <v>1534.75</v>
      </c>
      <c r="L219">
        <v>1490</v>
      </c>
      <c r="M219">
        <v>1526</v>
      </c>
      <c r="N219">
        <v>1526.35</v>
      </c>
      <c r="O219" s="56">
        <f t="shared" si="7"/>
        <v>4.3879979954898632E-2</v>
      </c>
    </row>
    <row r="220" spans="3:15">
      <c r="C220" s="159">
        <v>44637</v>
      </c>
      <c r="D220" s="125">
        <v>24862.27</v>
      </c>
      <c r="E220" s="126">
        <f t="shared" si="6"/>
        <v>-9.9010825996038755E-3</v>
      </c>
      <c r="H220" s="137">
        <v>44637</v>
      </c>
      <c r="I220">
        <v>1526.35</v>
      </c>
      <c r="J220">
        <v>1549</v>
      </c>
      <c r="K220">
        <v>1604.2</v>
      </c>
      <c r="L220">
        <v>1545</v>
      </c>
      <c r="M220">
        <v>1598</v>
      </c>
      <c r="N220">
        <v>1596.4</v>
      </c>
      <c r="O220" s="56">
        <f t="shared" si="7"/>
        <v>7.0904341335986214E-3</v>
      </c>
    </row>
    <row r="221" spans="3:15">
      <c r="C221" s="159">
        <v>44641</v>
      </c>
      <c r="D221" s="125">
        <v>24618.52</v>
      </c>
      <c r="E221" s="126">
        <f t="shared" si="6"/>
        <v>1.1429080830770698E-2</v>
      </c>
      <c r="H221" s="137">
        <v>44641</v>
      </c>
      <c r="I221">
        <v>1596.4</v>
      </c>
      <c r="J221">
        <v>1609.75</v>
      </c>
      <c r="K221">
        <v>1639.7</v>
      </c>
      <c r="L221">
        <v>1601.45</v>
      </c>
      <c r="M221">
        <v>1609</v>
      </c>
      <c r="N221">
        <v>1607.8</v>
      </c>
      <c r="O221" s="56">
        <f t="shared" si="7"/>
        <v>-1.8271636213939586E-2</v>
      </c>
    </row>
    <row r="222" spans="3:15">
      <c r="C222" s="159">
        <v>44642</v>
      </c>
      <c r="D222" s="125">
        <v>24903.14</v>
      </c>
      <c r="E222" s="126">
        <f t="shared" si="6"/>
        <v>-4.0479398647084077E-3</v>
      </c>
      <c r="H222" s="137">
        <v>44642</v>
      </c>
      <c r="I222">
        <v>1607.8</v>
      </c>
      <c r="J222">
        <v>1607</v>
      </c>
      <c r="K222">
        <v>1607</v>
      </c>
      <c r="L222">
        <v>1545.25</v>
      </c>
      <c r="M222">
        <v>1580.85</v>
      </c>
      <c r="N222">
        <v>1578.95</v>
      </c>
      <c r="O222" s="56">
        <f t="shared" si="7"/>
        <v>-1.31215912736606E-2</v>
      </c>
    </row>
    <row r="223" spans="3:15">
      <c r="C223" s="159">
        <v>44643</v>
      </c>
      <c r="D223" s="125">
        <v>24802.74</v>
      </c>
      <c r="E223" s="126">
        <f t="shared" si="6"/>
        <v>-1.331866490376431E-3</v>
      </c>
      <c r="H223" s="137">
        <v>44643</v>
      </c>
      <c r="I223">
        <v>1578.95</v>
      </c>
      <c r="J223">
        <v>1580</v>
      </c>
      <c r="K223">
        <v>1611</v>
      </c>
      <c r="L223">
        <v>1551.15</v>
      </c>
      <c r="M223">
        <v>1554.45</v>
      </c>
      <c r="N223">
        <v>1558.5</v>
      </c>
      <c r="O223" s="56">
        <f t="shared" si="7"/>
        <v>7.1034944095818113E-3</v>
      </c>
    </row>
    <row r="224" spans="3:15">
      <c r="C224" s="159">
        <v>44644</v>
      </c>
      <c r="D224" s="125">
        <v>24769.75</v>
      </c>
      <c r="E224" s="126">
        <f t="shared" si="6"/>
        <v>-4.0657574449369264E-3</v>
      </c>
      <c r="H224" s="137">
        <v>44644</v>
      </c>
      <c r="I224">
        <v>1558.5</v>
      </c>
      <c r="J224">
        <v>1548</v>
      </c>
      <c r="K224">
        <v>1574.45</v>
      </c>
      <c r="L224">
        <v>1533.2</v>
      </c>
      <c r="M224">
        <v>1568</v>
      </c>
      <c r="N224">
        <v>1569.65</v>
      </c>
      <c r="O224" s="56">
        <f t="shared" si="7"/>
        <v>3.2841430727995287E-2</v>
      </c>
    </row>
    <row r="225" spans="3:15">
      <c r="C225" s="159">
        <v>44645</v>
      </c>
      <c r="D225" s="125">
        <v>24669.45</v>
      </c>
      <c r="E225" s="126">
        <f t="shared" si="6"/>
        <v>4.0066713257745148E-3</v>
      </c>
      <c r="H225" s="137">
        <v>44645</v>
      </c>
      <c r="I225">
        <v>1569.65</v>
      </c>
      <c r="J225">
        <v>1583.8</v>
      </c>
      <c r="K225">
        <v>1635.5</v>
      </c>
      <c r="L225">
        <v>1575.15</v>
      </c>
      <c r="M225">
        <v>1620</v>
      </c>
      <c r="N225">
        <v>1622.95</v>
      </c>
      <c r="O225" s="56">
        <f t="shared" si="7"/>
        <v>3.6833543079898092E-3</v>
      </c>
    </row>
    <row r="226" spans="3:15">
      <c r="C226" s="159">
        <v>44648</v>
      </c>
      <c r="D226" s="125">
        <v>24768.69</v>
      </c>
      <c r="E226" s="126">
        <f t="shared" si="6"/>
        <v>5.9749004417365345E-3</v>
      </c>
      <c r="H226" s="137">
        <v>44648</v>
      </c>
      <c r="I226">
        <v>1622.95</v>
      </c>
      <c r="J226">
        <v>1631.55</v>
      </c>
      <c r="K226">
        <v>1651.35</v>
      </c>
      <c r="L226">
        <v>1598.2</v>
      </c>
      <c r="M226">
        <v>1622</v>
      </c>
      <c r="N226">
        <v>1628.95</v>
      </c>
      <c r="O226" s="56">
        <f t="shared" si="7"/>
        <v>2.0523188139434595E-3</v>
      </c>
    </row>
    <row r="227" spans="3:15">
      <c r="C227" s="159">
        <v>44649</v>
      </c>
      <c r="D227" s="125">
        <v>24917.57</v>
      </c>
      <c r="E227" s="126">
        <f t="shared" si="6"/>
        <v>9.8838486850079173E-3</v>
      </c>
      <c r="H227" s="137">
        <v>44649</v>
      </c>
      <c r="I227">
        <v>1628.95</v>
      </c>
      <c r="J227">
        <v>1637</v>
      </c>
      <c r="K227">
        <v>1664</v>
      </c>
      <c r="L227">
        <v>1626.9</v>
      </c>
      <c r="M227">
        <v>1631.75</v>
      </c>
      <c r="N227">
        <v>1632.3</v>
      </c>
      <c r="O227" s="56">
        <f t="shared" si="7"/>
        <v>1.9992795389048964E-2</v>
      </c>
    </row>
    <row r="228" spans="3:15">
      <c r="C228" s="159">
        <v>44650</v>
      </c>
      <c r="D228" s="125">
        <v>25166.31</v>
      </c>
      <c r="E228" s="126">
        <f t="shared" si="6"/>
        <v>-1.9177375394834925E-3</v>
      </c>
      <c r="H228" s="137">
        <v>44650</v>
      </c>
      <c r="I228">
        <v>1632.3</v>
      </c>
      <c r="J228">
        <v>1647.9</v>
      </c>
      <c r="K228">
        <v>1676.95</v>
      </c>
      <c r="L228">
        <v>1642.6</v>
      </c>
      <c r="M228">
        <v>1662.05</v>
      </c>
      <c r="N228">
        <v>1665.6</v>
      </c>
      <c r="O228" s="56">
        <f t="shared" si="7"/>
        <v>3.9468963042699054E-3</v>
      </c>
    </row>
    <row r="229" spans="3:15">
      <c r="C229" s="159">
        <v>44651</v>
      </c>
      <c r="D229" s="125">
        <v>25118.14</v>
      </c>
      <c r="E229" s="126">
        <f t="shared" si="6"/>
        <v>1.1639281433732798E-2</v>
      </c>
      <c r="H229" s="137">
        <v>44651</v>
      </c>
      <c r="I229">
        <v>1665.6</v>
      </c>
      <c r="J229">
        <v>1685</v>
      </c>
      <c r="K229">
        <v>1685</v>
      </c>
      <c r="L229">
        <v>1657.55</v>
      </c>
      <c r="M229">
        <v>1673</v>
      </c>
      <c r="N229">
        <v>1672.2</v>
      </c>
      <c r="O229" s="56">
        <f t="shared" si="7"/>
        <v>1.1789734952575152E-2</v>
      </c>
    </row>
    <row r="230" spans="3:15">
      <c r="C230" s="159">
        <v>44652</v>
      </c>
      <c r="D230" s="125">
        <v>25413.94</v>
      </c>
      <c r="E230" s="126">
        <f t="shared" si="6"/>
        <v>2.1212630061098383E-2</v>
      </c>
      <c r="H230" s="137">
        <v>44652</v>
      </c>
      <c r="I230">
        <v>1672.2</v>
      </c>
      <c r="J230">
        <v>1673.2</v>
      </c>
      <c r="K230">
        <v>1698</v>
      </c>
      <c r="L230">
        <v>1670</v>
      </c>
      <c r="M230">
        <v>1694.25</v>
      </c>
      <c r="N230">
        <v>1692.15</v>
      </c>
      <c r="O230" s="56">
        <f t="shared" si="7"/>
        <v>-6.1840344878846976E-3</v>
      </c>
    </row>
    <row r="231" spans="3:15">
      <c r="C231" s="159">
        <v>44655</v>
      </c>
      <c r="D231" s="125">
        <v>25964.720000000001</v>
      </c>
      <c r="E231" s="126">
        <f t="shared" si="6"/>
        <v>-5.2502776905592402E-3</v>
      </c>
      <c r="H231" s="137">
        <v>44655</v>
      </c>
      <c r="I231">
        <v>1692.15</v>
      </c>
      <c r="J231">
        <v>1700.65</v>
      </c>
      <c r="K231">
        <v>1715.15</v>
      </c>
      <c r="L231">
        <v>1658.3</v>
      </c>
      <c r="M231">
        <v>1683</v>
      </c>
      <c r="N231">
        <v>1681.75</v>
      </c>
      <c r="O231" s="56">
        <f t="shared" si="7"/>
        <v>-5.8012619239855541E-3</v>
      </c>
    </row>
    <row r="232" spans="3:15">
      <c r="C232" s="159">
        <v>44656</v>
      </c>
      <c r="D232" s="125">
        <v>25829.11</v>
      </c>
      <c r="E232" s="126">
        <f t="shared" si="6"/>
        <v>-8.4095587870715114E-3</v>
      </c>
      <c r="H232" s="137">
        <v>44656</v>
      </c>
      <c r="I232">
        <v>1681.75</v>
      </c>
      <c r="J232">
        <v>1689</v>
      </c>
      <c r="K232">
        <v>1693.35</v>
      </c>
      <c r="L232">
        <v>1665</v>
      </c>
      <c r="M232">
        <v>1671</v>
      </c>
      <c r="N232">
        <v>1672.05</v>
      </c>
      <c r="O232" s="56">
        <f t="shared" si="7"/>
        <v>5.7086789760057892E-3</v>
      </c>
    </row>
    <row r="233" spans="3:15">
      <c r="C233" s="159">
        <v>44657</v>
      </c>
      <c r="D233" s="125">
        <v>25613.71</v>
      </c>
      <c r="E233" s="126">
        <f t="shared" si="6"/>
        <v>-9.5314182472878671E-3</v>
      </c>
      <c r="H233" s="137">
        <v>44657</v>
      </c>
      <c r="I233">
        <v>1672.05</v>
      </c>
      <c r="J233">
        <v>1665</v>
      </c>
      <c r="K233">
        <v>1690</v>
      </c>
      <c r="L233">
        <v>1659</v>
      </c>
      <c r="M233">
        <v>1681.6</v>
      </c>
      <c r="N233">
        <v>1681.65</v>
      </c>
      <c r="O233" s="56">
        <f t="shared" si="7"/>
        <v>-8.8790233074362915E-3</v>
      </c>
    </row>
    <row r="234" spans="3:15">
      <c r="C234" s="159">
        <v>44658</v>
      </c>
      <c r="D234" s="125">
        <v>25371.88</v>
      </c>
      <c r="E234" s="126">
        <f t="shared" si="6"/>
        <v>8.1418599969116847E-3</v>
      </c>
      <c r="H234" s="137">
        <v>44658</v>
      </c>
      <c r="I234">
        <v>1681.65</v>
      </c>
      <c r="J234">
        <v>1690.1</v>
      </c>
      <c r="K234">
        <v>1699</v>
      </c>
      <c r="L234">
        <v>1662</v>
      </c>
      <c r="M234">
        <v>1669.05</v>
      </c>
      <c r="N234">
        <v>1666.85</v>
      </c>
      <c r="O234" s="56">
        <f t="shared" si="7"/>
        <v>-9.6081669419000699E-4</v>
      </c>
    </row>
    <row r="235" spans="3:15">
      <c r="C235" s="159">
        <v>44659</v>
      </c>
      <c r="D235" s="125">
        <v>25580.15</v>
      </c>
      <c r="E235" s="126">
        <f t="shared" si="6"/>
        <v>-6.1889303346089651E-3</v>
      </c>
      <c r="H235" s="137">
        <v>44659</v>
      </c>
      <c r="I235">
        <v>1666.85</v>
      </c>
      <c r="J235">
        <v>1680</v>
      </c>
      <c r="K235">
        <v>1682.5</v>
      </c>
      <c r="L235">
        <v>1658.3</v>
      </c>
      <c r="M235">
        <v>1665</v>
      </c>
      <c r="N235">
        <v>1665.25</v>
      </c>
      <c r="O235" s="56">
        <f t="shared" si="7"/>
        <v>1.3798821474045752E-2</v>
      </c>
    </row>
    <row r="236" spans="3:15">
      <c r="C236" s="159">
        <v>44662</v>
      </c>
      <c r="D236" s="125">
        <v>25422.81</v>
      </c>
      <c r="E236" s="126">
        <f t="shared" si="6"/>
        <v>-8.251119582339983E-3</v>
      </c>
      <c r="H236" s="137">
        <v>44662</v>
      </c>
      <c r="I236">
        <v>1665.25</v>
      </c>
      <c r="J236">
        <v>1670.25</v>
      </c>
      <c r="K236">
        <v>1705</v>
      </c>
      <c r="L236">
        <v>1664</v>
      </c>
      <c r="M236">
        <v>1689</v>
      </c>
      <c r="N236">
        <v>1688.55</v>
      </c>
      <c r="O236" s="56">
        <f t="shared" si="7"/>
        <v>-4.8170334274806735E-2</v>
      </c>
    </row>
    <row r="237" spans="3:15">
      <c r="C237" s="159">
        <v>44663</v>
      </c>
      <c r="D237" s="125">
        <v>25214.76</v>
      </c>
      <c r="E237" s="126">
        <f t="shared" si="6"/>
        <v>-3.1281665077319927E-3</v>
      </c>
      <c r="H237" s="137">
        <v>44663</v>
      </c>
      <c r="I237">
        <v>1688.55</v>
      </c>
      <c r="J237">
        <v>1680</v>
      </c>
      <c r="K237">
        <v>1682.35</v>
      </c>
      <c r="L237">
        <v>1596.6</v>
      </c>
      <c r="M237">
        <v>1612</v>
      </c>
      <c r="N237">
        <v>1610.95</v>
      </c>
      <c r="O237" s="56">
        <f t="shared" si="7"/>
        <v>-4.8027444253859628E-3</v>
      </c>
    </row>
    <row r="238" spans="3:15">
      <c r="C238" s="159">
        <v>44664</v>
      </c>
      <c r="D238" s="125">
        <v>25136.13</v>
      </c>
      <c r="E238" s="126">
        <f t="shared" si="6"/>
        <v>-1.7584988917789268E-2</v>
      </c>
      <c r="H238" s="137">
        <v>44664</v>
      </c>
      <c r="I238">
        <v>1610.95</v>
      </c>
      <c r="J238">
        <v>1624.5</v>
      </c>
      <c r="K238">
        <v>1632</v>
      </c>
      <c r="L238">
        <v>1598</v>
      </c>
      <c r="M238">
        <v>1600</v>
      </c>
      <c r="N238">
        <v>1603.25</v>
      </c>
      <c r="O238" s="56">
        <f t="shared" si="7"/>
        <v>9.9697791070810921E-4</v>
      </c>
    </row>
    <row r="239" spans="3:15">
      <c r="C239" s="159">
        <v>44669</v>
      </c>
      <c r="D239" s="125">
        <v>24701.75</v>
      </c>
      <c r="E239" s="126">
        <f t="shared" si="6"/>
        <v>-1.2676416642137273E-2</v>
      </c>
      <c r="H239" s="137">
        <v>44669</v>
      </c>
      <c r="I239">
        <v>1603.25</v>
      </c>
      <c r="J239">
        <v>1590</v>
      </c>
      <c r="K239">
        <v>1609.15</v>
      </c>
      <c r="L239">
        <v>1550.3</v>
      </c>
      <c r="M239">
        <v>1603.7</v>
      </c>
      <c r="N239">
        <v>1604.85</v>
      </c>
      <c r="O239" s="56">
        <f t="shared" si="7"/>
        <v>-2.484115073916783E-2</v>
      </c>
    </row>
    <row r="240" spans="3:15">
      <c r="C240" s="159">
        <v>44670</v>
      </c>
      <c r="D240" s="125">
        <v>24392.54</v>
      </c>
      <c r="E240" s="126">
        <f t="shared" si="6"/>
        <v>1.0380389802177852E-2</v>
      </c>
      <c r="H240" s="137">
        <v>44670</v>
      </c>
      <c r="I240">
        <v>1604.85</v>
      </c>
      <c r="J240">
        <v>1617.8</v>
      </c>
      <c r="K240">
        <v>1628.15</v>
      </c>
      <c r="L240">
        <v>1538.85</v>
      </c>
      <c r="M240">
        <v>1552</v>
      </c>
      <c r="N240">
        <v>1565.95</v>
      </c>
      <c r="O240" s="56">
        <f t="shared" si="7"/>
        <v>6.1561895090915149E-3</v>
      </c>
    </row>
    <row r="241" spans="3:15">
      <c r="C241" s="159">
        <v>44671</v>
      </c>
      <c r="D241" s="125">
        <v>24648.400000000001</v>
      </c>
      <c r="E241" s="126">
        <f t="shared" si="6"/>
        <v>1.4762730271691241E-2</v>
      </c>
      <c r="H241" s="137">
        <v>44671</v>
      </c>
      <c r="I241">
        <v>1565.95</v>
      </c>
      <c r="J241">
        <v>1575</v>
      </c>
      <c r="K241">
        <v>1592.95</v>
      </c>
      <c r="L241">
        <v>1563</v>
      </c>
      <c r="M241">
        <v>1578.2</v>
      </c>
      <c r="N241">
        <v>1575.65</v>
      </c>
      <c r="O241" s="56">
        <f t="shared" si="7"/>
        <v>1.144990275425058E-2</v>
      </c>
    </row>
    <row r="242" spans="3:15">
      <c r="C242" s="159">
        <v>44672</v>
      </c>
      <c r="D242" s="125">
        <v>25017.73</v>
      </c>
      <c r="E242" s="126">
        <f t="shared" si="6"/>
        <v>-1.284880058428294E-2</v>
      </c>
      <c r="H242" s="137">
        <v>44672</v>
      </c>
      <c r="I242">
        <v>1575.65</v>
      </c>
      <c r="J242">
        <v>1590</v>
      </c>
      <c r="K242">
        <v>1605.95</v>
      </c>
      <c r="L242">
        <v>1582.7</v>
      </c>
      <c r="M242">
        <v>1598.65</v>
      </c>
      <c r="N242">
        <v>1593.9</v>
      </c>
      <c r="O242" s="56">
        <f t="shared" si="7"/>
        <v>-1.2385670731707316E-2</v>
      </c>
    </row>
    <row r="243" spans="3:15">
      <c r="C243" s="159">
        <v>44673</v>
      </c>
      <c r="D243" s="125">
        <v>24700.36</v>
      </c>
      <c r="E243" s="126">
        <f t="shared" si="6"/>
        <v>-1.285860617924965E-2</v>
      </c>
      <c r="H243" s="137">
        <v>44673</v>
      </c>
      <c r="I243">
        <v>1593.9</v>
      </c>
      <c r="J243">
        <v>1580</v>
      </c>
      <c r="K243">
        <v>1599.5</v>
      </c>
      <c r="L243">
        <v>1565.05</v>
      </c>
      <c r="M243">
        <v>1574</v>
      </c>
      <c r="N243">
        <v>1574.4</v>
      </c>
      <c r="O243" s="56">
        <f t="shared" si="7"/>
        <v>-4.20969023034155E-2</v>
      </c>
    </row>
    <row r="244" spans="3:15">
      <c r="C244" s="159">
        <v>44676</v>
      </c>
      <c r="D244" s="125">
        <v>24386.78</v>
      </c>
      <c r="E244" s="126">
        <f t="shared" si="6"/>
        <v>1.4352183423410112E-2</v>
      </c>
      <c r="H244" s="137">
        <v>44676</v>
      </c>
      <c r="I244">
        <v>1574.4</v>
      </c>
      <c r="J244">
        <v>1560</v>
      </c>
      <c r="K244">
        <v>1560</v>
      </c>
      <c r="L244">
        <v>1503.55</v>
      </c>
      <c r="M244">
        <v>1511</v>
      </c>
      <c r="N244">
        <v>1510.8</v>
      </c>
      <c r="O244" s="56">
        <f t="shared" si="7"/>
        <v>4.5549308231726662E-2</v>
      </c>
    </row>
    <row r="245" spans="3:15">
      <c r="C245" s="159">
        <v>44677</v>
      </c>
      <c r="D245" s="125">
        <v>24741.88</v>
      </c>
      <c r="E245" s="126">
        <f t="shared" si="6"/>
        <v>-9.5306488006104764E-3</v>
      </c>
      <c r="H245" s="137">
        <v>44677</v>
      </c>
      <c r="I245">
        <v>1510.8</v>
      </c>
      <c r="J245">
        <v>1518.75</v>
      </c>
      <c r="K245">
        <v>1589</v>
      </c>
      <c r="L245">
        <v>1517.05</v>
      </c>
      <c r="M245">
        <v>1581</v>
      </c>
      <c r="N245">
        <v>1582.9</v>
      </c>
      <c r="O245" s="56">
        <f t="shared" si="7"/>
        <v>-7.9597554763117667E-3</v>
      </c>
    </row>
    <row r="246" spans="3:15">
      <c r="C246" s="159">
        <v>44678</v>
      </c>
      <c r="D246" s="125">
        <v>24508.3</v>
      </c>
      <c r="E246" s="126">
        <f t="shared" si="6"/>
        <v>1.22312869129099E-2</v>
      </c>
      <c r="H246" s="137">
        <v>44678</v>
      </c>
      <c r="I246">
        <v>1582.9</v>
      </c>
      <c r="J246">
        <v>1572.05</v>
      </c>
      <c r="K246">
        <v>1581.8</v>
      </c>
      <c r="L246">
        <v>1546.3</v>
      </c>
      <c r="M246">
        <v>1571</v>
      </c>
      <c r="N246">
        <v>1570.4</v>
      </c>
      <c r="O246" s="56">
        <f t="shared" si="7"/>
        <v>1.1612172325895974E-2</v>
      </c>
    </row>
    <row r="247" spans="3:15">
      <c r="C247" s="159">
        <v>44679</v>
      </c>
      <c r="D247" s="125">
        <v>24811.78</v>
      </c>
      <c r="E247" s="126">
        <f t="shared" si="6"/>
        <v>-8.3310372181975862E-3</v>
      </c>
      <c r="H247" s="137">
        <v>44679</v>
      </c>
      <c r="I247">
        <v>1570.4</v>
      </c>
      <c r="J247">
        <v>1592.6</v>
      </c>
      <c r="K247">
        <v>1604.5</v>
      </c>
      <c r="L247">
        <v>1565.05</v>
      </c>
      <c r="M247">
        <v>1586.55</v>
      </c>
      <c r="N247">
        <v>1588.85</v>
      </c>
      <c r="O247" s="56">
        <f t="shared" si="7"/>
        <v>-9.787409831897971E-3</v>
      </c>
    </row>
    <row r="248" spans="3:15">
      <c r="C248" s="159">
        <v>44680</v>
      </c>
      <c r="D248" s="125">
        <v>24606.78</v>
      </c>
      <c r="E248" s="126">
        <f t="shared" si="6"/>
        <v>-1.9614302275250211E-3</v>
      </c>
      <c r="H248" s="137">
        <v>44680</v>
      </c>
      <c r="I248">
        <v>1588.85</v>
      </c>
      <c r="J248">
        <v>1597.6</v>
      </c>
      <c r="K248">
        <v>1621</v>
      </c>
      <c r="L248">
        <v>1567</v>
      </c>
      <c r="M248">
        <v>1570</v>
      </c>
      <c r="N248">
        <v>1573.45</v>
      </c>
      <c r="O248" s="56">
        <f t="shared" si="7"/>
        <v>2.6179792665944581E-2</v>
      </c>
    </row>
    <row r="249" spans="3:15">
      <c r="C249" s="159">
        <v>44683</v>
      </c>
      <c r="D249" s="125">
        <v>24558.61</v>
      </c>
      <c r="E249" s="126" t="e">
        <f t="shared" si="6"/>
        <v>#DIV/0!</v>
      </c>
      <c r="H249" s="137">
        <v>44683</v>
      </c>
      <c r="I249">
        <v>1573.45</v>
      </c>
      <c r="J249">
        <v>1555.35</v>
      </c>
      <c r="K249">
        <v>1630</v>
      </c>
      <c r="L249">
        <v>1544.05</v>
      </c>
      <c r="M249">
        <v>1615</v>
      </c>
      <c r="N249">
        <v>1615.75</v>
      </c>
      <c r="O249" s="56" t="e">
        <f t="shared" si="7"/>
        <v>#DIV/0!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49"/>
  <sheetViews>
    <sheetView topLeftCell="A37" zoomScale="85" zoomScaleNormal="85" workbookViewId="0">
      <selection activeCell="C2" sqref="C2:C49"/>
    </sheetView>
  </sheetViews>
  <sheetFormatPr defaultColWidth="9.140625" defaultRowHeight="15"/>
  <cols>
    <col min="1" max="1" width="13.140625" style="6" customWidth="1"/>
    <col min="2" max="2" width="52" style="6" customWidth="1"/>
    <col min="3" max="3" width="14.140625" style="6" customWidth="1"/>
    <col min="4" max="4" width="14.28515625" style="6" customWidth="1"/>
    <col min="5" max="5" width="10.28515625" style="6" customWidth="1"/>
    <col min="6" max="16384" width="9.140625" style="6"/>
  </cols>
  <sheetData>
    <row r="1" spans="1:5" ht="78.2" customHeight="1">
      <c r="A1" s="2" t="s">
        <v>74</v>
      </c>
      <c r="B1" s="3" t="s">
        <v>75</v>
      </c>
      <c r="C1" s="4" t="s">
        <v>76</v>
      </c>
      <c r="D1" s="2" t="s">
        <v>77</v>
      </c>
      <c r="E1" s="5" t="s">
        <v>78</v>
      </c>
    </row>
    <row r="2" spans="1:5" ht="29.1" customHeight="1">
      <c r="A2" s="188" t="s">
        <v>79</v>
      </c>
      <c r="B2" s="7" t="s">
        <v>80</v>
      </c>
      <c r="C2" s="8">
        <v>202</v>
      </c>
      <c r="D2" s="9" t="s">
        <v>81</v>
      </c>
      <c r="E2" s="9" t="s">
        <v>82</v>
      </c>
    </row>
    <row r="3" spans="1:5" ht="24" customHeight="1">
      <c r="A3" s="190"/>
      <c r="B3" s="5" t="s">
        <v>80</v>
      </c>
      <c r="C3" s="8">
        <v>203</v>
      </c>
      <c r="D3" s="9" t="s">
        <v>81</v>
      </c>
      <c r="E3" s="9" t="s">
        <v>82</v>
      </c>
    </row>
    <row r="4" spans="1:5" ht="24" customHeight="1">
      <c r="A4" s="188" t="s">
        <v>83</v>
      </c>
      <c r="B4" s="5" t="s">
        <v>84</v>
      </c>
      <c r="C4" s="8">
        <v>301</v>
      </c>
      <c r="D4" s="9" t="s">
        <v>81</v>
      </c>
      <c r="E4" s="9" t="s">
        <v>82</v>
      </c>
    </row>
    <row r="5" spans="1:5" ht="37.700000000000003" customHeight="1">
      <c r="A5" s="189"/>
      <c r="B5" s="5" t="s">
        <v>85</v>
      </c>
      <c r="C5" s="8">
        <v>302</v>
      </c>
      <c r="D5" s="9" t="s">
        <v>81</v>
      </c>
      <c r="E5" s="9" t="s">
        <v>82</v>
      </c>
    </row>
    <row r="6" spans="1:5" ht="37.700000000000003" customHeight="1">
      <c r="A6" s="189"/>
      <c r="B6" s="5" t="s">
        <v>86</v>
      </c>
      <c r="C6" s="8">
        <v>303</v>
      </c>
      <c r="D6" s="9" t="s">
        <v>81</v>
      </c>
      <c r="E6" s="9" t="s">
        <v>82</v>
      </c>
    </row>
    <row r="7" spans="1:5" ht="48" customHeight="1">
      <c r="A7" s="190"/>
      <c r="B7" s="5" t="s">
        <v>87</v>
      </c>
      <c r="C7" s="8">
        <v>304</v>
      </c>
      <c r="D7" s="9" t="s">
        <v>81</v>
      </c>
      <c r="E7" s="9" t="s">
        <v>82</v>
      </c>
    </row>
    <row r="8" spans="1:5" ht="37.700000000000003" customHeight="1">
      <c r="A8" s="188" t="s">
        <v>88</v>
      </c>
      <c r="B8" s="5" t="s">
        <v>89</v>
      </c>
      <c r="C8" s="8">
        <v>401</v>
      </c>
      <c r="D8" s="9" t="s">
        <v>81</v>
      </c>
      <c r="E8" s="9" t="s">
        <v>82</v>
      </c>
    </row>
    <row r="9" spans="1:5" ht="48" customHeight="1">
      <c r="A9" s="189"/>
      <c r="B9" s="5" t="s">
        <v>90</v>
      </c>
      <c r="C9" s="8">
        <v>402</v>
      </c>
      <c r="D9" s="9" t="s">
        <v>81</v>
      </c>
      <c r="E9" s="9" t="s">
        <v>82</v>
      </c>
    </row>
    <row r="10" spans="1:5" ht="24" customHeight="1">
      <c r="A10" s="189"/>
      <c r="B10" s="5" t="s">
        <v>91</v>
      </c>
      <c r="C10" s="8">
        <v>403</v>
      </c>
      <c r="D10" s="9" t="s">
        <v>81</v>
      </c>
      <c r="E10" s="9" t="s">
        <v>82</v>
      </c>
    </row>
    <row r="11" spans="1:5" ht="24" customHeight="1">
      <c r="A11" s="190"/>
      <c r="B11" s="5" t="s">
        <v>92</v>
      </c>
      <c r="C11" s="8">
        <v>404</v>
      </c>
      <c r="D11" s="9" t="s">
        <v>81</v>
      </c>
      <c r="E11" s="9" t="s">
        <v>82</v>
      </c>
    </row>
    <row r="12" spans="1:5" ht="24" customHeight="1">
      <c r="A12" s="187" t="s">
        <v>93</v>
      </c>
      <c r="B12" s="5" t="s">
        <v>94</v>
      </c>
      <c r="C12" s="8">
        <v>501</v>
      </c>
      <c r="D12" s="9" t="s">
        <v>81</v>
      </c>
      <c r="E12" s="9" t="s">
        <v>82</v>
      </c>
    </row>
    <row r="13" spans="1:5" ht="48" customHeight="1">
      <c r="A13" s="185"/>
      <c r="B13" s="5" t="s">
        <v>95</v>
      </c>
      <c r="C13" s="8">
        <v>502</v>
      </c>
      <c r="D13" s="9" t="s">
        <v>81</v>
      </c>
      <c r="E13" s="9" t="s">
        <v>82</v>
      </c>
    </row>
    <row r="14" spans="1:5" ht="37.700000000000003" customHeight="1">
      <c r="A14" s="186"/>
      <c r="B14" s="5" t="s">
        <v>96</v>
      </c>
      <c r="C14" s="8">
        <v>503</v>
      </c>
      <c r="D14" s="9" t="s">
        <v>81</v>
      </c>
      <c r="E14" s="9" t="s">
        <v>82</v>
      </c>
    </row>
    <row r="15" spans="1:5" ht="24" customHeight="1">
      <c r="A15" s="187" t="s">
        <v>97</v>
      </c>
      <c r="B15" s="5" t="s">
        <v>98</v>
      </c>
      <c r="C15" s="8">
        <v>601</v>
      </c>
      <c r="D15" s="9" t="s">
        <v>81</v>
      </c>
      <c r="E15" s="9" t="s">
        <v>82</v>
      </c>
    </row>
    <row r="16" spans="1:5" ht="24" customHeight="1">
      <c r="A16" s="185"/>
      <c r="B16" s="5" t="s">
        <v>99</v>
      </c>
      <c r="C16" s="8">
        <v>602</v>
      </c>
      <c r="D16" s="9" t="s">
        <v>81</v>
      </c>
      <c r="E16" s="9" t="s">
        <v>82</v>
      </c>
    </row>
    <row r="17" spans="1:5" ht="48" customHeight="1">
      <c r="A17" s="185"/>
      <c r="B17" s="5" t="s">
        <v>100</v>
      </c>
      <c r="C17" s="8">
        <v>603</v>
      </c>
      <c r="D17" s="9" t="s">
        <v>81</v>
      </c>
      <c r="E17" s="9" t="s">
        <v>82</v>
      </c>
    </row>
    <row r="18" spans="1:5" ht="24" customHeight="1">
      <c r="A18" s="186"/>
      <c r="B18" s="5" t="s">
        <v>101</v>
      </c>
      <c r="C18" s="8">
        <v>604</v>
      </c>
      <c r="D18" s="9" t="s">
        <v>81</v>
      </c>
      <c r="E18" s="9" t="s">
        <v>82</v>
      </c>
    </row>
    <row r="19" spans="1:5" ht="24" customHeight="1">
      <c r="A19" s="193" t="s">
        <v>102</v>
      </c>
      <c r="B19" s="5" t="s">
        <v>103</v>
      </c>
      <c r="C19" s="8">
        <v>701</v>
      </c>
      <c r="D19" s="9" t="s">
        <v>81</v>
      </c>
      <c r="E19" s="9" t="s">
        <v>82</v>
      </c>
    </row>
    <row r="20" spans="1:5" ht="37.700000000000003" customHeight="1">
      <c r="A20" s="194"/>
      <c r="B20" s="5" t="s">
        <v>104</v>
      </c>
      <c r="C20" s="8">
        <v>702</v>
      </c>
      <c r="D20" s="9" t="s">
        <v>81</v>
      </c>
      <c r="E20" s="9" t="s">
        <v>82</v>
      </c>
    </row>
    <row r="21" spans="1:5" ht="37.700000000000003" customHeight="1">
      <c r="A21" s="194"/>
      <c r="B21" s="5" t="s">
        <v>105</v>
      </c>
      <c r="C21" s="8">
        <v>703</v>
      </c>
      <c r="D21" s="9" t="s">
        <v>81</v>
      </c>
      <c r="E21" s="9" t="s">
        <v>82</v>
      </c>
    </row>
    <row r="22" spans="1:5" ht="37.700000000000003" customHeight="1">
      <c r="A22" s="10"/>
      <c r="B22" s="5" t="s">
        <v>106</v>
      </c>
      <c r="C22" s="8">
        <v>704</v>
      </c>
      <c r="D22" s="11" t="s">
        <v>81</v>
      </c>
      <c r="E22" s="9" t="s">
        <v>82</v>
      </c>
    </row>
    <row r="23" spans="1:5" ht="24" customHeight="1">
      <c r="A23" s="188" t="s">
        <v>107</v>
      </c>
      <c r="B23" s="5" t="s">
        <v>108</v>
      </c>
      <c r="C23" s="8">
        <v>801</v>
      </c>
      <c r="D23" s="11" t="s">
        <v>81</v>
      </c>
      <c r="E23" s="9" t="s">
        <v>82</v>
      </c>
    </row>
    <row r="24" spans="1:5" ht="48" customHeight="1">
      <c r="A24" s="189"/>
      <c r="B24" s="5" t="s">
        <v>109</v>
      </c>
      <c r="C24" s="8">
        <v>802</v>
      </c>
      <c r="D24" s="11" t="s">
        <v>81</v>
      </c>
      <c r="E24" s="9" t="s">
        <v>82</v>
      </c>
    </row>
    <row r="25" spans="1:5" ht="24" customHeight="1">
      <c r="A25" s="189"/>
      <c r="B25" s="5" t="s">
        <v>110</v>
      </c>
      <c r="C25" s="8">
        <v>803</v>
      </c>
      <c r="D25" s="11" t="s">
        <v>81</v>
      </c>
      <c r="E25" s="9" t="s">
        <v>82</v>
      </c>
    </row>
    <row r="26" spans="1:5" ht="48" customHeight="1">
      <c r="A26" s="190"/>
      <c r="B26" s="5" t="s">
        <v>111</v>
      </c>
      <c r="C26" s="8">
        <v>804</v>
      </c>
      <c r="D26" s="11" t="s">
        <v>81</v>
      </c>
      <c r="E26" s="9" t="s">
        <v>82</v>
      </c>
    </row>
    <row r="27" spans="1:5" ht="37.700000000000003" customHeight="1">
      <c r="A27" s="188" t="s">
        <v>112</v>
      </c>
      <c r="B27" s="5" t="s">
        <v>113</v>
      </c>
      <c r="C27" s="8">
        <v>901</v>
      </c>
      <c r="D27" s="11" t="s">
        <v>81</v>
      </c>
      <c r="E27" s="9" t="s">
        <v>82</v>
      </c>
    </row>
    <row r="28" spans="1:5" ht="37.700000000000003" customHeight="1">
      <c r="A28" s="189"/>
      <c r="B28" s="5" t="s">
        <v>114</v>
      </c>
      <c r="C28" s="8">
        <v>902</v>
      </c>
      <c r="D28" s="11" t="s">
        <v>81</v>
      </c>
      <c r="E28" s="9" t="s">
        <v>82</v>
      </c>
    </row>
    <row r="29" spans="1:5" ht="24" customHeight="1">
      <c r="A29" s="189"/>
      <c r="B29" s="5" t="s">
        <v>115</v>
      </c>
      <c r="C29" s="8">
        <v>903</v>
      </c>
      <c r="D29" s="11" t="s">
        <v>81</v>
      </c>
      <c r="E29" s="9" t="s">
        <v>82</v>
      </c>
    </row>
    <row r="30" spans="1:5" ht="48" customHeight="1">
      <c r="A30" s="190"/>
      <c r="B30" s="5" t="s">
        <v>116</v>
      </c>
      <c r="C30" s="8">
        <v>904</v>
      </c>
      <c r="D30" s="11" t="s">
        <v>81</v>
      </c>
      <c r="E30" s="9" t="s">
        <v>82</v>
      </c>
    </row>
    <row r="31" spans="1:5" ht="24" customHeight="1">
      <c r="A31" s="187" t="s">
        <v>117</v>
      </c>
      <c r="B31" s="5" t="s">
        <v>118</v>
      </c>
      <c r="C31" s="8">
        <v>1001</v>
      </c>
      <c r="D31" s="11" t="s">
        <v>81</v>
      </c>
      <c r="E31" s="9" t="s">
        <v>82</v>
      </c>
    </row>
    <row r="32" spans="1:5" ht="24" customHeight="1">
      <c r="A32" s="185"/>
      <c r="B32" s="5" t="s">
        <v>119</v>
      </c>
      <c r="C32" s="8">
        <v>1002</v>
      </c>
      <c r="D32" s="11" t="s">
        <v>81</v>
      </c>
      <c r="E32" s="9" t="s">
        <v>82</v>
      </c>
    </row>
    <row r="33" spans="1:12" ht="37.700000000000003" customHeight="1">
      <c r="A33" s="185"/>
      <c r="B33" s="5" t="s">
        <v>120</v>
      </c>
      <c r="C33" s="8">
        <v>1003</v>
      </c>
      <c r="D33" s="11" t="s">
        <v>81</v>
      </c>
      <c r="E33" s="9" t="s">
        <v>82</v>
      </c>
    </row>
    <row r="34" spans="1:12" ht="24" customHeight="1">
      <c r="A34" s="186"/>
      <c r="B34" s="5" t="s">
        <v>121</v>
      </c>
      <c r="C34" s="8">
        <v>1004</v>
      </c>
      <c r="D34" s="11" t="s">
        <v>81</v>
      </c>
      <c r="E34" s="9" t="s">
        <v>82</v>
      </c>
    </row>
    <row r="35" spans="1:12" ht="37.700000000000003" customHeight="1">
      <c r="A35" s="188" t="s">
        <v>122</v>
      </c>
      <c r="B35" s="5" t="s">
        <v>123</v>
      </c>
      <c r="C35" s="8">
        <v>1101</v>
      </c>
      <c r="D35" s="11" t="s">
        <v>81</v>
      </c>
      <c r="E35" s="9" t="s">
        <v>82</v>
      </c>
    </row>
    <row r="36" spans="1:12" ht="48" customHeight="1">
      <c r="A36" s="189"/>
      <c r="B36" s="5" t="s">
        <v>124</v>
      </c>
      <c r="C36" s="8">
        <v>1102</v>
      </c>
      <c r="D36" s="11" t="s">
        <v>81</v>
      </c>
      <c r="E36" s="9" t="s">
        <v>82</v>
      </c>
    </row>
    <row r="37" spans="1:12" ht="48" customHeight="1">
      <c r="A37" s="190"/>
      <c r="B37" s="5" t="s">
        <v>125</v>
      </c>
      <c r="C37" s="8">
        <v>1103</v>
      </c>
      <c r="D37" s="11" t="s">
        <v>81</v>
      </c>
      <c r="E37" s="9" t="s">
        <v>82</v>
      </c>
    </row>
    <row r="38" spans="1:12" ht="48" customHeight="1">
      <c r="A38" s="188" t="s">
        <v>126</v>
      </c>
      <c r="B38" s="5" t="s">
        <v>127</v>
      </c>
      <c r="C38" s="8">
        <v>1201</v>
      </c>
      <c r="D38" s="11" t="s">
        <v>81</v>
      </c>
      <c r="E38" s="9" t="s">
        <v>82</v>
      </c>
    </row>
    <row r="39" spans="1:12" ht="48" customHeight="1">
      <c r="A39" s="189"/>
      <c r="B39" s="5" t="s">
        <v>128</v>
      </c>
      <c r="C39" s="8">
        <v>1202</v>
      </c>
      <c r="D39" s="11" t="s">
        <v>81</v>
      </c>
      <c r="E39" s="9" t="s">
        <v>82</v>
      </c>
    </row>
    <row r="40" spans="1:12" ht="24" customHeight="1">
      <c r="A40" s="189"/>
      <c r="B40" s="5" t="s">
        <v>129</v>
      </c>
      <c r="C40" s="8">
        <v>1203</v>
      </c>
      <c r="D40" s="11" t="s">
        <v>81</v>
      </c>
      <c r="E40" s="9" t="s">
        <v>82</v>
      </c>
    </row>
    <row r="41" spans="1:12" ht="24" customHeight="1">
      <c r="A41" s="190"/>
      <c r="B41" s="5" t="s">
        <v>130</v>
      </c>
      <c r="C41" s="8">
        <v>1204</v>
      </c>
      <c r="D41" s="11" t="s">
        <v>81</v>
      </c>
      <c r="E41" s="9" t="s">
        <v>82</v>
      </c>
    </row>
    <row r="42" spans="1:12" ht="24" customHeight="1">
      <c r="A42" s="191"/>
      <c r="B42" s="5" t="s">
        <v>131</v>
      </c>
      <c r="C42" s="8">
        <v>1301</v>
      </c>
      <c r="D42" s="11" t="s">
        <v>81</v>
      </c>
      <c r="E42" s="9" t="s">
        <v>82</v>
      </c>
    </row>
    <row r="43" spans="1:12" ht="37.700000000000003" customHeight="1">
      <c r="A43" s="192"/>
      <c r="B43" s="5" t="s">
        <v>132</v>
      </c>
      <c r="C43" s="8">
        <v>1302</v>
      </c>
      <c r="D43" s="11" t="s">
        <v>81</v>
      </c>
      <c r="E43" s="9" t="s">
        <v>82</v>
      </c>
    </row>
    <row r="44" spans="1:12" ht="48" customHeight="1">
      <c r="A44" s="185" t="s">
        <v>133</v>
      </c>
      <c r="B44" s="5" t="s">
        <v>134</v>
      </c>
      <c r="C44" s="12">
        <v>1303</v>
      </c>
      <c r="D44" s="13" t="s">
        <v>81</v>
      </c>
      <c r="E44" s="9" t="s">
        <v>82</v>
      </c>
    </row>
    <row r="45" spans="1:12" ht="48" customHeight="1">
      <c r="A45" s="186"/>
      <c r="B45" s="5" t="s">
        <v>135</v>
      </c>
      <c r="C45" s="12">
        <v>1304</v>
      </c>
      <c r="D45" s="13" t="s">
        <v>81</v>
      </c>
      <c r="E45" s="9" t="s">
        <v>82</v>
      </c>
    </row>
    <row r="46" spans="1:12" ht="48" customHeight="1">
      <c r="A46" s="187" t="s">
        <v>136</v>
      </c>
      <c r="B46" s="5" t="s">
        <v>137</v>
      </c>
      <c r="C46" s="12">
        <v>1402</v>
      </c>
      <c r="D46" s="13" t="s">
        <v>81</v>
      </c>
      <c r="E46" s="9" t="s">
        <v>82</v>
      </c>
      <c r="K46" s="6">
        <f>25+27+48</f>
        <v>100</v>
      </c>
      <c r="L46" s="6">
        <f>K46/27</f>
        <v>3.7037037037037037</v>
      </c>
    </row>
    <row r="47" spans="1:12" ht="24" customHeight="1">
      <c r="A47" s="185"/>
      <c r="B47" s="5" t="s">
        <v>138</v>
      </c>
      <c r="C47" s="12">
        <v>1403</v>
      </c>
      <c r="D47" s="13" t="s">
        <v>81</v>
      </c>
      <c r="E47" s="9" t="s">
        <v>82</v>
      </c>
    </row>
    <row r="48" spans="1:12" ht="48" customHeight="1">
      <c r="A48" s="186"/>
      <c r="B48" s="5" t="s">
        <v>139</v>
      </c>
      <c r="C48" s="12">
        <v>1404</v>
      </c>
      <c r="D48" s="13" t="s">
        <v>81</v>
      </c>
      <c r="E48" s="9" t="s">
        <v>82</v>
      </c>
    </row>
    <row r="49" spans="1:5" ht="24" customHeight="1">
      <c r="A49" s="5" t="s">
        <v>140</v>
      </c>
      <c r="B49" s="5" t="s">
        <v>141</v>
      </c>
      <c r="C49" s="12">
        <v>1501</v>
      </c>
      <c r="D49" s="13" t="s">
        <v>142</v>
      </c>
      <c r="E49" s="9" t="s">
        <v>82</v>
      </c>
    </row>
  </sheetData>
  <mergeCells count="14">
    <mergeCell ref="A19:A21"/>
    <mergeCell ref="A2:A3"/>
    <mergeCell ref="A4:A7"/>
    <mergeCell ref="A8:A11"/>
    <mergeCell ref="A12:A14"/>
    <mergeCell ref="A15:A18"/>
    <mergeCell ref="A44:A45"/>
    <mergeCell ref="A46:A48"/>
    <mergeCell ref="A23:A26"/>
    <mergeCell ref="A27:A30"/>
    <mergeCell ref="A31:A34"/>
    <mergeCell ref="A35:A37"/>
    <mergeCell ref="A38:A41"/>
    <mergeCell ref="A42:A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3:R126"/>
  <sheetViews>
    <sheetView topLeftCell="A34" zoomScale="55" zoomScaleNormal="55" workbookViewId="0">
      <selection activeCell="E11" sqref="E11"/>
    </sheetView>
  </sheetViews>
  <sheetFormatPr defaultRowHeight="15"/>
  <cols>
    <col min="2" max="2" width="13.7109375" customWidth="1"/>
    <col min="3" max="3" width="38" customWidth="1"/>
    <col min="4" max="4" width="13.140625" customWidth="1"/>
    <col min="5" max="5" width="23.42578125" customWidth="1"/>
    <col min="6" max="6" width="16" customWidth="1"/>
    <col min="7" max="7" width="25.28515625" customWidth="1"/>
    <col min="8" max="8" width="20.28515625" customWidth="1"/>
    <col min="9" max="9" width="14.85546875" bestFit="1" customWidth="1"/>
    <col min="10" max="10" width="21.7109375" customWidth="1"/>
    <col min="11" max="11" width="19.85546875" bestFit="1" customWidth="1"/>
    <col min="13" max="13" width="18.28515625" bestFit="1" customWidth="1"/>
    <col min="14" max="14" width="16.5703125" bestFit="1" customWidth="1"/>
    <col min="15" max="15" width="18.85546875" bestFit="1" customWidth="1"/>
    <col min="16" max="16" width="20" bestFit="1" customWidth="1"/>
    <col min="17" max="17" width="19.28515625" bestFit="1" customWidth="1"/>
    <col min="18" max="18" width="20" bestFit="1" customWidth="1"/>
    <col min="19" max="19" width="27.85546875" bestFit="1" customWidth="1"/>
    <col min="20" max="20" width="26.28515625" bestFit="1" customWidth="1"/>
    <col min="21" max="21" width="14.5703125" bestFit="1" customWidth="1"/>
    <col min="22" max="22" width="12" bestFit="1" customWidth="1"/>
  </cols>
  <sheetData>
    <row r="3" spans="2:11" ht="15.75">
      <c r="B3" s="85" t="s">
        <v>201</v>
      </c>
      <c r="C3" s="85" t="s">
        <v>0</v>
      </c>
      <c r="D3" s="85" t="s">
        <v>202</v>
      </c>
      <c r="E3" s="85" t="s">
        <v>203</v>
      </c>
      <c r="F3" s="85" t="s">
        <v>1</v>
      </c>
      <c r="G3" s="86" t="s">
        <v>65</v>
      </c>
      <c r="H3" s="85" t="s">
        <v>69</v>
      </c>
      <c r="I3" s="85" t="s">
        <v>70</v>
      </c>
      <c r="J3" s="87" t="s">
        <v>71</v>
      </c>
      <c r="K3" s="86" t="s">
        <v>72</v>
      </c>
    </row>
    <row r="4" spans="2:11" ht="27.95" customHeight="1">
      <c r="B4" s="88" t="s">
        <v>2</v>
      </c>
      <c r="C4" s="89" t="s">
        <v>3</v>
      </c>
      <c r="D4" s="90" t="s">
        <v>4</v>
      </c>
      <c r="E4" s="90"/>
      <c r="F4" s="90"/>
      <c r="G4" s="90"/>
      <c r="H4" s="90"/>
      <c r="I4" s="90"/>
      <c r="J4" s="91"/>
      <c r="K4" s="92"/>
    </row>
    <row r="5" spans="2:11" ht="27.95" customHeight="1">
      <c r="B5" s="93"/>
      <c r="C5" s="89" t="s">
        <v>5</v>
      </c>
      <c r="D5" s="90">
        <v>102</v>
      </c>
      <c r="E5" s="90" t="s">
        <v>6</v>
      </c>
      <c r="F5" s="90" t="s">
        <v>7</v>
      </c>
      <c r="G5" s="90" t="s">
        <v>66</v>
      </c>
      <c r="H5" s="94">
        <v>12000000</v>
      </c>
      <c r="I5" s="95">
        <f>H5*12%</f>
        <v>1440000</v>
      </c>
      <c r="J5" s="96">
        <v>4600000</v>
      </c>
      <c r="K5" s="96">
        <f>H5+I5-J5</f>
        <v>8840000</v>
      </c>
    </row>
    <row r="6" spans="2:11" ht="27.95" customHeight="1">
      <c r="B6" s="93"/>
      <c r="C6" s="89"/>
      <c r="D6" s="90">
        <v>103</v>
      </c>
      <c r="E6" s="90" t="s">
        <v>6</v>
      </c>
      <c r="F6" s="90" t="s">
        <v>8</v>
      </c>
      <c r="G6" s="90"/>
      <c r="H6" s="97"/>
      <c r="I6" s="90"/>
      <c r="J6" s="96"/>
      <c r="K6" s="96">
        <f t="shared" ref="K6:K63" si="0">H6+I6-J6</f>
        <v>0</v>
      </c>
    </row>
    <row r="7" spans="2:11" ht="27.95" customHeight="1">
      <c r="B7" s="98"/>
      <c r="C7" s="89" t="s">
        <v>3</v>
      </c>
      <c r="D7" s="90"/>
      <c r="E7" s="90"/>
      <c r="F7" s="90"/>
      <c r="G7" s="90"/>
      <c r="H7" s="90"/>
      <c r="I7" s="99"/>
      <c r="J7" s="96"/>
      <c r="K7" s="96">
        <f t="shared" si="0"/>
        <v>0</v>
      </c>
    </row>
    <row r="8" spans="2:11" ht="27.95" customHeight="1">
      <c r="B8" s="100" t="s">
        <v>9</v>
      </c>
      <c r="C8" s="101"/>
      <c r="D8" s="90">
        <v>201</v>
      </c>
      <c r="E8" s="90" t="s">
        <v>6</v>
      </c>
      <c r="F8" s="90" t="s">
        <v>8</v>
      </c>
      <c r="G8" s="90"/>
      <c r="H8" s="90"/>
      <c r="I8" s="99"/>
      <c r="J8" s="102"/>
      <c r="K8" s="96">
        <f t="shared" si="0"/>
        <v>0</v>
      </c>
    </row>
    <row r="9" spans="2:11" ht="27.95" customHeight="1">
      <c r="B9" s="103" t="s">
        <v>9</v>
      </c>
      <c r="C9" s="101" t="s">
        <v>10</v>
      </c>
      <c r="D9" s="90">
        <v>204</v>
      </c>
      <c r="E9" s="90" t="s">
        <v>6</v>
      </c>
      <c r="F9" s="90" t="s">
        <v>7</v>
      </c>
      <c r="G9" s="90" t="s">
        <v>66</v>
      </c>
      <c r="H9" s="97">
        <v>16434869</v>
      </c>
      <c r="I9" s="95">
        <f t="shared" ref="I9:I15" si="1">H9*12%</f>
        <v>1972184.28</v>
      </c>
      <c r="J9" s="96">
        <f>100000+2000000+6500000-1026100+4835284+75736</f>
        <v>12484920</v>
      </c>
      <c r="K9" s="96">
        <f t="shared" si="0"/>
        <v>5922133.2800000012</v>
      </c>
    </row>
    <row r="10" spans="2:11" ht="27.95" customHeight="1">
      <c r="B10" s="103" t="s">
        <v>11</v>
      </c>
      <c r="C10" s="89" t="s">
        <v>12</v>
      </c>
      <c r="D10" s="90">
        <v>504</v>
      </c>
      <c r="E10" s="104" t="s">
        <v>13</v>
      </c>
      <c r="F10" s="104" t="s">
        <v>7</v>
      </c>
      <c r="G10" s="90" t="s">
        <v>66</v>
      </c>
      <c r="H10" s="97">
        <v>16067797</v>
      </c>
      <c r="I10" s="95">
        <f t="shared" si="1"/>
        <v>1928135.64</v>
      </c>
      <c r="J10" s="96">
        <f>13039322-1004068</f>
        <v>12035254</v>
      </c>
      <c r="K10" s="96">
        <f t="shared" si="0"/>
        <v>5960678.6400000006</v>
      </c>
    </row>
    <row r="11" spans="2:11" ht="27.95" customHeight="1">
      <c r="B11" s="103" t="s">
        <v>14</v>
      </c>
      <c r="C11" s="105" t="s">
        <v>15</v>
      </c>
      <c r="D11" s="90">
        <v>1104</v>
      </c>
      <c r="E11" s="90" t="s">
        <v>16</v>
      </c>
      <c r="F11" s="90" t="s">
        <v>7</v>
      </c>
      <c r="G11" s="90" t="s">
        <v>66</v>
      </c>
      <c r="H11" s="94">
        <v>16866848</v>
      </c>
      <c r="I11" s="106">
        <f t="shared" si="1"/>
        <v>2024021.76</v>
      </c>
      <c r="J11" s="96">
        <f>9500000+1946264+71250+735606+572977</f>
        <v>12826097</v>
      </c>
      <c r="K11" s="96">
        <f t="shared" si="0"/>
        <v>6064772.7600000016</v>
      </c>
    </row>
    <row r="12" spans="2:11" ht="27.95" customHeight="1">
      <c r="B12" s="105" t="s">
        <v>17</v>
      </c>
      <c r="C12" s="105" t="s">
        <v>18</v>
      </c>
      <c r="D12" s="90">
        <v>1401</v>
      </c>
      <c r="E12" s="104" t="s">
        <v>19</v>
      </c>
      <c r="F12" s="104" t="s">
        <v>7</v>
      </c>
      <c r="G12" s="90">
        <v>0</v>
      </c>
      <c r="H12" s="94">
        <v>18434000</v>
      </c>
      <c r="I12" s="95">
        <f t="shared" si="1"/>
        <v>2212080</v>
      </c>
      <c r="J12" s="96">
        <f>4500000+4200000+1300000-1320355+18434+1741349+3434000</f>
        <v>13873428</v>
      </c>
      <c r="K12" s="96">
        <f t="shared" si="0"/>
        <v>6772652</v>
      </c>
    </row>
    <row r="13" spans="2:11" ht="27.95" customHeight="1">
      <c r="B13" s="88" t="s">
        <v>20</v>
      </c>
      <c r="C13" s="100" t="s">
        <v>21</v>
      </c>
      <c r="D13" s="90">
        <v>1502</v>
      </c>
      <c r="E13" s="90" t="s">
        <v>6</v>
      </c>
      <c r="F13" s="90" t="s">
        <v>7</v>
      </c>
      <c r="G13" s="90" t="s">
        <v>66</v>
      </c>
      <c r="H13" s="97">
        <v>12958552</v>
      </c>
      <c r="I13" s="106">
        <f t="shared" si="1"/>
        <v>1555026.24</v>
      </c>
      <c r="J13" s="96">
        <f>423284+423284+428757+2100000+641000+129585-558342+369233+400000+300000+581665</f>
        <v>5238466</v>
      </c>
      <c r="K13" s="96">
        <f t="shared" si="0"/>
        <v>9275112.2400000002</v>
      </c>
    </row>
    <row r="14" spans="2:11" ht="27.95" customHeight="1">
      <c r="B14" s="93"/>
      <c r="C14" s="100" t="s">
        <v>22</v>
      </c>
      <c r="D14" s="90">
        <v>1503</v>
      </c>
      <c r="E14" s="90" t="s">
        <v>6</v>
      </c>
      <c r="F14" s="90" t="s">
        <v>7</v>
      </c>
      <c r="G14" s="90" t="s">
        <v>66</v>
      </c>
      <c r="H14" s="97">
        <v>12958552</v>
      </c>
      <c r="I14" s="106">
        <f t="shared" si="1"/>
        <v>1555026.24</v>
      </c>
      <c r="J14" s="96">
        <f>14500000+428757-558342+129585</f>
        <v>14500000</v>
      </c>
      <c r="K14" s="96">
        <f t="shared" si="0"/>
        <v>13578.240000000224</v>
      </c>
    </row>
    <row r="15" spans="2:11" ht="27.95" customHeight="1">
      <c r="B15" s="98"/>
      <c r="C15" s="89" t="s">
        <v>23</v>
      </c>
      <c r="D15" s="90">
        <v>1504</v>
      </c>
      <c r="E15" s="90" t="s">
        <v>24</v>
      </c>
      <c r="F15" s="90" t="s">
        <v>7</v>
      </c>
      <c r="G15" s="90" t="s">
        <v>66</v>
      </c>
      <c r="H15" s="97">
        <v>15500000</v>
      </c>
      <c r="I15" s="106">
        <f t="shared" si="1"/>
        <v>1860000</v>
      </c>
      <c r="J15" s="96">
        <v>11804800</v>
      </c>
      <c r="K15" s="96">
        <f t="shared" si="0"/>
        <v>5555200</v>
      </c>
    </row>
    <row r="16" spans="2:11" ht="27.95" customHeight="1">
      <c r="B16" s="88" t="s">
        <v>25</v>
      </c>
      <c r="C16" s="89"/>
      <c r="D16" s="90">
        <v>1601</v>
      </c>
      <c r="E16" s="104" t="s">
        <v>19</v>
      </c>
      <c r="F16" s="104" t="s">
        <v>8</v>
      </c>
      <c r="G16" s="90"/>
      <c r="H16" s="94"/>
      <c r="I16" s="99"/>
      <c r="J16" s="96"/>
      <c r="K16" s="96">
        <f t="shared" si="0"/>
        <v>0</v>
      </c>
    </row>
    <row r="17" spans="2:11" ht="27.95" customHeight="1">
      <c r="B17" s="93"/>
      <c r="C17" s="107" t="s">
        <v>4</v>
      </c>
      <c r="D17" s="133">
        <v>1602</v>
      </c>
      <c r="E17" s="104" t="s">
        <v>13</v>
      </c>
      <c r="F17" s="104" t="s">
        <v>8</v>
      </c>
      <c r="G17" s="90"/>
      <c r="H17" s="97"/>
      <c r="I17" s="99"/>
      <c r="J17" s="96"/>
      <c r="K17" s="96">
        <f t="shared" si="0"/>
        <v>0</v>
      </c>
    </row>
    <row r="18" spans="2:11" ht="27.95" customHeight="1">
      <c r="B18" s="93"/>
      <c r="C18" s="89" t="s">
        <v>26</v>
      </c>
      <c r="D18" s="90">
        <v>1603</v>
      </c>
      <c r="E18" s="90" t="s">
        <v>13</v>
      </c>
      <c r="F18" s="90" t="s">
        <v>7</v>
      </c>
      <c r="G18" s="90" t="s">
        <v>66</v>
      </c>
      <c r="H18" s="97">
        <v>11833412</v>
      </c>
      <c r="I18" s="106">
        <f>H18*12%</f>
        <v>1420009.44</v>
      </c>
      <c r="J18" s="96">
        <f>8012403+525403+76918+394053</f>
        <v>9008777</v>
      </c>
      <c r="K18" s="96">
        <f t="shared" si="0"/>
        <v>4244644.4399999995</v>
      </c>
    </row>
    <row r="19" spans="2:11" ht="27.95" customHeight="1">
      <c r="B19" s="98"/>
      <c r="C19" s="89" t="s">
        <v>27</v>
      </c>
      <c r="D19" s="90">
        <v>1604</v>
      </c>
      <c r="E19" s="90" t="s">
        <v>19</v>
      </c>
      <c r="F19" s="90" t="s">
        <v>7</v>
      </c>
      <c r="G19" s="90" t="s">
        <v>66</v>
      </c>
      <c r="H19" s="97">
        <v>15300345</v>
      </c>
      <c r="I19" s="106">
        <f>H19*12%</f>
        <v>1836041.4</v>
      </c>
      <c r="J19" s="96">
        <f>10590000+539200+5392+512970+5129</f>
        <v>11652691</v>
      </c>
      <c r="K19" s="96">
        <f t="shared" si="0"/>
        <v>5483695.3999999985</v>
      </c>
    </row>
    <row r="20" spans="2:11" ht="27.95" customHeight="1">
      <c r="B20" s="88" t="s">
        <v>28</v>
      </c>
      <c r="C20" s="89" t="s">
        <v>29</v>
      </c>
      <c r="D20" s="90">
        <v>1701</v>
      </c>
      <c r="E20" s="90" t="s">
        <v>19</v>
      </c>
      <c r="F20" s="90" t="s">
        <v>7</v>
      </c>
      <c r="G20" s="90" t="s">
        <v>66</v>
      </c>
      <c r="H20" s="97">
        <v>17561215</v>
      </c>
      <c r="I20" s="106">
        <f>H20*12%</f>
        <v>2107345.7999999998</v>
      </c>
      <c r="J20" s="96">
        <f>11997822+752938+7529+610169</f>
        <v>13368458</v>
      </c>
      <c r="K20" s="96">
        <f t="shared" si="0"/>
        <v>6300102.8000000007</v>
      </c>
    </row>
    <row r="21" spans="2:11" ht="27.95" customHeight="1">
      <c r="B21" s="93"/>
      <c r="C21" s="89" t="s">
        <v>30</v>
      </c>
      <c r="D21" s="90">
        <v>1702</v>
      </c>
      <c r="E21" s="90" t="s">
        <v>13</v>
      </c>
      <c r="F21" s="90" t="s">
        <v>7</v>
      </c>
      <c r="G21" s="90" t="s">
        <v>66</v>
      </c>
      <c r="H21" s="97">
        <v>13374645</v>
      </c>
      <c r="I21" s="106">
        <f>H21*12%</f>
        <v>1604957.4</v>
      </c>
      <c r="J21" s="96">
        <f>10184790</f>
        <v>10184790</v>
      </c>
      <c r="K21" s="96">
        <f t="shared" si="0"/>
        <v>4794812.4000000004</v>
      </c>
    </row>
    <row r="22" spans="2:11" ht="27.95" customHeight="1">
      <c r="B22" s="93"/>
      <c r="C22" s="89" t="s">
        <v>31</v>
      </c>
      <c r="D22" s="90"/>
      <c r="E22" s="104"/>
      <c r="F22" s="104" t="s">
        <v>32</v>
      </c>
      <c r="G22" s="90"/>
      <c r="H22" s="90"/>
      <c r="I22" s="99"/>
      <c r="J22" s="96"/>
      <c r="K22" s="96">
        <f t="shared" si="0"/>
        <v>0</v>
      </c>
    </row>
    <row r="23" spans="2:11" ht="27.95" customHeight="1">
      <c r="B23" s="98"/>
      <c r="C23" s="89" t="s">
        <v>33</v>
      </c>
      <c r="D23" s="90">
        <v>1704</v>
      </c>
      <c r="E23" s="90" t="s">
        <v>19</v>
      </c>
      <c r="F23" s="90" t="s">
        <v>7</v>
      </c>
      <c r="G23" s="90" t="s">
        <v>66</v>
      </c>
      <c r="H23" s="97">
        <v>11600000</v>
      </c>
      <c r="I23" s="106">
        <f t="shared" ref="I23:I34" si="2">H23*12%</f>
        <v>1392000</v>
      </c>
      <c r="J23" s="96">
        <f>3000000+1500000+1200000+4255680</f>
        <v>9955680</v>
      </c>
      <c r="K23" s="96">
        <f t="shared" si="0"/>
        <v>3036320</v>
      </c>
    </row>
    <row r="24" spans="2:11" ht="27.95" customHeight="1">
      <c r="B24" s="88" t="s">
        <v>34</v>
      </c>
      <c r="C24" s="89" t="s">
        <v>35</v>
      </c>
      <c r="D24" s="90">
        <v>1801</v>
      </c>
      <c r="E24" s="90" t="s">
        <v>19</v>
      </c>
      <c r="F24" s="90" t="s">
        <v>7</v>
      </c>
      <c r="G24" s="90" t="s">
        <v>66</v>
      </c>
      <c r="H24" s="97">
        <v>15000000</v>
      </c>
      <c r="I24" s="106">
        <f t="shared" si="2"/>
        <v>1800000</v>
      </c>
      <c r="J24" s="96">
        <v>100000</v>
      </c>
      <c r="K24" s="96">
        <f t="shared" si="0"/>
        <v>16700000</v>
      </c>
    </row>
    <row r="25" spans="2:11" ht="27.95" customHeight="1">
      <c r="B25" s="93"/>
      <c r="C25" s="89" t="s">
        <v>35</v>
      </c>
      <c r="D25" s="90">
        <v>1802</v>
      </c>
      <c r="E25" s="90" t="s">
        <v>13</v>
      </c>
      <c r="F25" s="90" t="s">
        <v>7</v>
      </c>
      <c r="G25" s="90" t="s">
        <v>66</v>
      </c>
      <c r="H25" s="97">
        <v>12000000</v>
      </c>
      <c r="I25" s="106">
        <f t="shared" si="2"/>
        <v>1440000</v>
      </c>
      <c r="J25" s="96">
        <v>100000</v>
      </c>
      <c r="K25" s="96">
        <f t="shared" si="0"/>
        <v>13340000</v>
      </c>
    </row>
    <row r="26" spans="2:11" ht="27.95" customHeight="1">
      <c r="B26" s="93"/>
      <c r="C26" s="89" t="s">
        <v>35</v>
      </c>
      <c r="D26" s="90">
        <v>1803</v>
      </c>
      <c r="E26" s="90" t="s">
        <v>13</v>
      </c>
      <c r="F26" s="90" t="s">
        <v>7</v>
      </c>
      <c r="G26" s="90" t="s">
        <v>66</v>
      </c>
      <c r="H26" s="97">
        <v>12000000</v>
      </c>
      <c r="I26" s="106">
        <f t="shared" si="2"/>
        <v>1440000</v>
      </c>
      <c r="J26" s="96">
        <v>100000</v>
      </c>
      <c r="K26" s="96">
        <f t="shared" si="0"/>
        <v>13340000</v>
      </c>
    </row>
    <row r="27" spans="2:11" ht="27.95" customHeight="1">
      <c r="B27" s="98"/>
      <c r="C27" s="89" t="s">
        <v>35</v>
      </c>
      <c r="D27" s="90">
        <v>1804</v>
      </c>
      <c r="E27" s="90" t="s">
        <v>19</v>
      </c>
      <c r="F27" s="90" t="s">
        <v>7</v>
      </c>
      <c r="G27" s="90" t="s">
        <v>66</v>
      </c>
      <c r="H27" s="97">
        <v>15000000</v>
      </c>
      <c r="I27" s="106">
        <f t="shared" si="2"/>
        <v>1800000</v>
      </c>
      <c r="J27" s="96">
        <v>100000</v>
      </c>
      <c r="K27" s="96">
        <f t="shared" si="0"/>
        <v>16700000</v>
      </c>
    </row>
    <row r="28" spans="2:11" ht="27.95" customHeight="1">
      <c r="B28" s="88" t="s">
        <v>36</v>
      </c>
      <c r="C28" s="89" t="s">
        <v>35</v>
      </c>
      <c r="D28" s="90">
        <v>1901</v>
      </c>
      <c r="E28" s="90" t="s">
        <v>19</v>
      </c>
      <c r="F28" s="90" t="s">
        <v>7</v>
      </c>
      <c r="G28" s="90" t="s">
        <v>66</v>
      </c>
      <c r="H28" s="97">
        <v>15000000</v>
      </c>
      <c r="I28" s="106">
        <f t="shared" si="2"/>
        <v>1800000</v>
      </c>
      <c r="J28" s="96">
        <v>100000</v>
      </c>
      <c r="K28" s="96">
        <f t="shared" si="0"/>
        <v>16700000</v>
      </c>
    </row>
    <row r="29" spans="2:11" ht="27.95" customHeight="1">
      <c r="B29" s="93"/>
      <c r="C29" s="89" t="s">
        <v>37</v>
      </c>
      <c r="D29" s="90">
        <v>1902</v>
      </c>
      <c r="E29" s="90" t="s">
        <v>13</v>
      </c>
      <c r="F29" s="90" t="s">
        <v>7</v>
      </c>
      <c r="G29" s="90" t="s">
        <v>66</v>
      </c>
      <c r="H29" s="97">
        <v>14498664</v>
      </c>
      <c r="I29" s="106">
        <f t="shared" si="2"/>
        <v>1739839.68</v>
      </c>
      <c r="J29" s="96">
        <f>2000000+9088579</f>
        <v>11088579</v>
      </c>
      <c r="K29" s="96">
        <f t="shared" si="0"/>
        <v>5149924.68</v>
      </c>
    </row>
    <row r="30" spans="2:11" ht="27.95" customHeight="1">
      <c r="B30" s="93"/>
      <c r="C30" s="89" t="s">
        <v>38</v>
      </c>
      <c r="D30" s="90">
        <v>1903</v>
      </c>
      <c r="E30" s="104" t="s">
        <v>13</v>
      </c>
      <c r="F30" s="104" t="s">
        <v>7</v>
      </c>
      <c r="G30" s="90" t="s">
        <v>67</v>
      </c>
      <c r="H30" s="97">
        <v>13949153</v>
      </c>
      <c r="I30" s="106">
        <f t="shared" si="2"/>
        <v>1673898.3599999999</v>
      </c>
      <c r="J30" s="96">
        <f>500000+2500000</f>
        <v>3000000</v>
      </c>
      <c r="K30" s="96">
        <f t="shared" si="0"/>
        <v>12623051.359999999</v>
      </c>
    </row>
    <row r="31" spans="2:11" ht="27.95" customHeight="1">
      <c r="B31" s="98"/>
      <c r="C31" s="89" t="s">
        <v>39</v>
      </c>
      <c r="D31" s="90">
        <v>1904</v>
      </c>
      <c r="E31" s="90" t="s">
        <v>19</v>
      </c>
      <c r="F31" s="90" t="s">
        <v>7</v>
      </c>
      <c r="G31" s="90" t="s">
        <v>66</v>
      </c>
      <c r="H31" s="97">
        <v>14256867</v>
      </c>
      <c r="I31" s="106">
        <f t="shared" si="2"/>
        <v>1710824.04</v>
      </c>
      <c r="J31" s="96">
        <f>1000000+1500000+2500000+92670+1000000+2000000+2000000+2000000+2500000</f>
        <v>14592670</v>
      </c>
      <c r="K31" s="96">
        <f t="shared" si="0"/>
        <v>1375021.0399999991</v>
      </c>
    </row>
    <row r="32" spans="2:11" ht="27.95" customHeight="1">
      <c r="B32" s="88" t="s">
        <v>40</v>
      </c>
      <c r="C32" s="89" t="s">
        <v>41</v>
      </c>
      <c r="D32" s="90">
        <v>2001</v>
      </c>
      <c r="E32" s="90" t="s">
        <v>19</v>
      </c>
      <c r="F32" s="90" t="s">
        <v>7</v>
      </c>
      <c r="G32" s="90" t="s">
        <v>66</v>
      </c>
      <c r="H32" s="97">
        <v>17300345</v>
      </c>
      <c r="I32" s="106">
        <f t="shared" si="2"/>
        <v>2076041.4</v>
      </c>
      <c r="J32" s="96">
        <f>14600345+300000+300000</f>
        <v>15200345</v>
      </c>
      <c r="K32" s="96">
        <f t="shared" si="0"/>
        <v>4176041.3999999985</v>
      </c>
    </row>
    <row r="33" spans="2:18" ht="27.95" customHeight="1">
      <c r="B33" s="93"/>
      <c r="C33" s="89"/>
      <c r="D33" s="90">
        <v>2002</v>
      </c>
      <c r="E33" s="104" t="s">
        <v>13</v>
      </c>
      <c r="F33" s="104" t="s">
        <v>8</v>
      </c>
      <c r="G33" s="90"/>
      <c r="H33" s="97"/>
      <c r="I33" s="106"/>
      <c r="J33" s="96"/>
      <c r="K33" s="96">
        <f t="shared" si="0"/>
        <v>0</v>
      </c>
    </row>
    <row r="34" spans="2:18" ht="27.95" customHeight="1">
      <c r="B34" s="93"/>
      <c r="C34" s="89" t="s">
        <v>42</v>
      </c>
      <c r="D34" s="90">
        <v>2003</v>
      </c>
      <c r="E34" s="90" t="s">
        <v>13</v>
      </c>
      <c r="F34" s="90" t="s">
        <v>7</v>
      </c>
      <c r="G34" s="90" t="s">
        <v>66</v>
      </c>
      <c r="H34" s="97">
        <v>15398630</v>
      </c>
      <c r="I34" s="106">
        <f t="shared" si="2"/>
        <v>1847835.5999999999</v>
      </c>
      <c r="J34" s="96">
        <f>100000+3000000+7326412+1196473+46966+46966</f>
        <v>11716817</v>
      </c>
      <c r="K34" s="96">
        <f t="shared" si="0"/>
        <v>5529648.6000000015</v>
      </c>
    </row>
    <row r="35" spans="2:18" ht="27.95" customHeight="1">
      <c r="B35" s="98"/>
      <c r="C35" s="89" t="s">
        <v>43</v>
      </c>
      <c r="D35" s="133">
        <v>2004</v>
      </c>
      <c r="E35" s="104" t="s">
        <v>19</v>
      </c>
      <c r="F35" s="104" t="s">
        <v>8</v>
      </c>
      <c r="G35" s="90"/>
      <c r="H35" s="94"/>
      <c r="I35" s="108"/>
      <c r="J35" s="96"/>
      <c r="K35" s="96">
        <f t="shared" si="0"/>
        <v>0</v>
      </c>
    </row>
    <row r="36" spans="2:18" ht="27.95" customHeight="1">
      <c r="B36" s="88" t="s">
        <v>44</v>
      </c>
      <c r="C36" s="89" t="s">
        <v>45</v>
      </c>
      <c r="D36" s="90">
        <v>2101</v>
      </c>
      <c r="E36" s="90" t="s">
        <v>19</v>
      </c>
      <c r="F36" s="104" t="s">
        <v>7</v>
      </c>
      <c r="G36" s="90" t="s">
        <v>66</v>
      </c>
      <c r="H36" s="94">
        <v>14240940</v>
      </c>
      <c r="I36" s="99"/>
      <c r="J36" s="96">
        <v>14098531</v>
      </c>
      <c r="K36" s="96">
        <f t="shared" si="0"/>
        <v>142409</v>
      </c>
    </row>
    <row r="37" spans="2:18" ht="27.95" customHeight="1">
      <c r="B37" s="93"/>
      <c r="C37" s="89" t="s">
        <v>46</v>
      </c>
      <c r="D37" s="90">
        <v>2102</v>
      </c>
      <c r="E37" s="90" t="s">
        <v>13</v>
      </c>
      <c r="F37" s="90" t="s">
        <v>7</v>
      </c>
      <c r="G37" s="90" t="s">
        <v>66</v>
      </c>
      <c r="H37" s="97">
        <v>14963847</v>
      </c>
      <c r="I37" s="106">
        <f>H37*12%</f>
        <v>1795661.64</v>
      </c>
      <c r="J37" s="96">
        <f>11376660</f>
        <v>11376660</v>
      </c>
      <c r="K37" s="96">
        <f t="shared" si="0"/>
        <v>5382848.6400000006</v>
      </c>
    </row>
    <row r="38" spans="2:18" ht="27.95" customHeight="1">
      <c r="B38" s="93"/>
      <c r="C38" s="89" t="s">
        <v>47</v>
      </c>
      <c r="D38" s="90">
        <v>2103</v>
      </c>
      <c r="E38" s="90" t="s">
        <v>13</v>
      </c>
      <c r="F38" s="90" t="s">
        <v>7</v>
      </c>
      <c r="G38" s="90" t="s">
        <v>66</v>
      </c>
      <c r="H38" s="97">
        <v>12268195</v>
      </c>
      <c r="I38" s="106">
        <f>H38*12%</f>
        <v>1472183.4</v>
      </c>
      <c r="J38" s="96">
        <f>4200000+4651503+408531+79743</f>
        <v>9339777</v>
      </c>
      <c r="K38" s="96">
        <f t="shared" si="0"/>
        <v>4400601.4000000004</v>
      </c>
    </row>
    <row r="39" spans="2:18" ht="27.95" customHeight="1">
      <c r="B39" s="98"/>
      <c r="C39" s="89" t="s">
        <v>48</v>
      </c>
      <c r="D39" s="90">
        <v>2104</v>
      </c>
      <c r="E39" s="104" t="s">
        <v>19</v>
      </c>
      <c r="F39" s="104" t="s">
        <v>7</v>
      </c>
      <c r="G39" s="90" t="s">
        <v>67</v>
      </c>
      <c r="H39" s="97">
        <v>20305085</v>
      </c>
      <c r="I39" s="106">
        <f>H39*12%</f>
        <v>2436610.1999999997</v>
      </c>
      <c r="J39" s="96">
        <f>5000000+11574583-1258305</f>
        <v>15316278</v>
      </c>
      <c r="K39" s="96">
        <f t="shared" si="0"/>
        <v>7425417.1999999993</v>
      </c>
    </row>
    <row r="40" spans="2:18" ht="27.95" customHeight="1">
      <c r="B40" s="88" t="s">
        <v>49</v>
      </c>
      <c r="C40" s="89"/>
      <c r="D40" s="90">
        <v>2201</v>
      </c>
      <c r="E40" s="104" t="s">
        <v>19</v>
      </c>
      <c r="F40" s="104" t="s">
        <v>8</v>
      </c>
      <c r="G40" s="90"/>
      <c r="H40" s="97"/>
      <c r="I40" s="95"/>
      <c r="J40" s="96"/>
      <c r="K40" s="96">
        <f t="shared" si="0"/>
        <v>0</v>
      </c>
    </row>
    <row r="41" spans="2:18" ht="27.95" customHeight="1">
      <c r="B41" s="93"/>
      <c r="C41" s="89"/>
      <c r="D41" s="90">
        <v>2202</v>
      </c>
      <c r="E41" s="104" t="s">
        <v>13</v>
      </c>
      <c r="F41" s="104" t="s">
        <v>8</v>
      </c>
      <c r="G41" s="90"/>
      <c r="H41" s="97"/>
      <c r="I41" s="97"/>
      <c r="J41" s="96"/>
      <c r="K41" s="96">
        <f t="shared" si="0"/>
        <v>0</v>
      </c>
    </row>
    <row r="42" spans="2:18" ht="27.95" customHeight="1">
      <c r="B42" s="93"/>
      <c r="C42" s="89" t="s">
        <v>31</v>
      </c>
      <c r="D42" s="90"/>
      <c r="E42" s="104"/>
      <c r="F42" s="104" t="s">
        <v>32</v>
      </c>
      <c r="G42" s="90"/>
      <c r="H42" s="90"/>
      <c r="I42" s="99"/>
      <c r="J42" s="96"/>
      <c r="K42" s="96">
        <f t="shared" si="0"/>
        <v>0</v>
      </c>
    </row>
    <row r="43" spans="2:18" ht="27.95" customHeight="1">
      <c r="B43" s="98"/>
      <c r="C43" s="89" t="s">
        <v>50</v>
      </c>
      <c r="D43" s="90">
        <v>2204</v>
      </c>
      <c r="E43" s="90" t="s">
        <v>19</v>
      </c>
      <c r="F43" s="90" t="s">
        <v>7</v>
      </c>
      <c r="G43" s="90" t="s">
        <v>66</v>
      </c>
      <c r="H43" s="97">
        <v>14063900</v>
      </c>
      <c r="I43" s="106">
        <f>H43*12%</f>
        <v>1687668</v>
      </c>
      <c r="J43" s="96">
        <f>2500000+5000000-883834+3530938+468328</f>
        <v>10615432</v>
      </c>
      <c r="K43" s="96">
        <f t="shared" si="0"/>
        <v>5136136</v>
      </c>
    </row>
    <row r="44" spans="2:18" ht="27.95" customHeight="1">
      <c r="B44" s="88" t="s">
        <v>51</v>
      </c>
      <c r="C44" s="89" t="s">
        <v>52</v>
      </c>
      <c r="D44" s="90">
        <v>2301</v>
      </c>
      <c r="E44" s="90" t="s">
        <v>19</v>
      </c>
      <c r="F44" s="90" t="s">
        <v>7</v>
      </c>
      <c r="G44" s="90" t="s">
        <v>66</v>
      </c>
      <c r="H44" s="97">
        <v>15995997</v>
      </c>
      <c r="I44" s="106">
        <f>H44*12%</f>
        <v>1919519.64</v>
      </c>
      <c r="J44" s="96">
        <f>1000000+5161500+4161500+507889+48788+48788+6398+76821+633402+532667+4798</f>
        <v>12182551</v>
      </c>
      <c r="K44" s="96">
        <f t="shared" si="0"/>
        <v>5732965.6400000006</v>
      </c>
    </row>
    <row r="45" spans="2:18" ht="27.95" customHeight="1">
      <c r="B45" s="93"/>
      <c r="C45" s="89"/>
      <c r="D45" s="90">
        <v>2302</v>
      </c>
      <c r="E45" s="104" t="s">
        <v>13</v>
      </c>
      <c r="F45" s="104" t="s">
        <v>8</v>
      </c>
      <c r="G45" s="90"/>
      <c r="H45" s="97"/>
      <c r="I45" s="108"/>
      <c r="J45" s="96"/>
      <c r="K45" s="96">
        <f t="shared" si="0"/>
        <v>0</v>
      </c>
      <c r="M45" s="111" t="s">
        <v>204</v>
      </c>
      <c r="N45" t="s">
        <v>205</v>
      </c>
      <c r="O45" t="s">
        <v>206</v>
      </c>
      <c r="P45" t="s">
        <v>207</v>
      </c>
      <c r="Q45" t="s">
        <v>208</v>
      </c>
      <c r="R45" t="s">
        <v>209</v>
      </c>
    </row>
    <row r="46" spans="2:18" ht="27.95" customHeight="1">
      <c r="B46" s="93"/>
      <c r="C46" s="89"/>
      <c r="D46" s="90">
        <v>2303</v>
      </c>
      <c r="E46" s="104" t="s">
        <v>13</v>
      </c>
      <c r="F46" s="104" t="s">
        <v>8</v>
      </c>
      <c r="G46" s="90"/>
      <c r="H46" s="97"/>
      <c r="I46" s="108"/>
      <c r="J46" s="96"/>
      <c r="K46" s="96">
        <f t="shared" si="0"/>
        <v>0</v>
      </c>
      <c r="M46" s="109" t="s">
        <v>32</v>
      </c>
      <c r="N46" s="116"/>
      <c r="O46" s="116"/>
      <c r="P46" s="116">
        <v>0</v>
      </c>
      <c r="Q46" s="116"/>
      <c r="R46" s="116"/>
    </row>
    <row r="47" spans="2:18" ht="27.95" customHeight="1">
      <c r="B47" s="98"/>
      <c r="C47" s="89" t="s">
        <v>53</v>
      </c>
      <c r="D47" s="90">
        <v>2304</v>
      </c>
      <c r="E47" s="104" t="s">
        <v>19</v>
      </c>
      <c r="F47" s="90" t="s">
        <v>7</v>
      </c>
      <c r="G47" s="90"/>
      <c r="H47" s="94">
        <v>20250336</v>
      </c>
      <c r="I47" s="106">
        <f>H47*12%</f>
        <v>2430040.3199999998</v>
      </c>
      <c r="J47" s="96">
        <f>14767725</f>
        <v>14767725</v>
      </c>
      <c r="K47" s="96">
        <f t="shared" si="0"/>
        <v>7912651.3200000003</v>
      </c>
      <c r="M47" s="109" t="s">
        <v>7</v>
      </c>
      <c r="N47" s="116">
        <v>32</v>
      </c>
      <c r="O47" s="116">
        <v>301573172</v>
      </c>
      <c r="P47" s="116">
        <v>221890078.24000001</v>
      </c>
      <c r="Q47" s="116">
        <v>468903717</v>
      </c>
      <c r="R47" s="116">
        <v>54559533.240000002</v>
      </c>
    </row>
    <row r="48" spans="2:18" ht="27.95" customHeight="1">
      <c r="B48" s="88" t="s">
        <v>54</v>
      </c>
      <c r="C48" s="89"/>
      <c r="D48" s="90">
        <v>2401</v>
      </c>
      <c r="E48" s="104" t="s">
        <v>19</v>
      </c>
      <c r="F48" s="104" t="s">
        <v>55</v>
      </c>
      <c r="G48" s="90"/>
      <c r="H48" s="94"/>
      <c r="I48" s="108"/>
      <c r="J48" s="96"/>
      <c r="K48" s="96">
        <f t="shared" si="0"/>
        <v>0</v>
      </c>
      <c r="M48" s="109" t="s">
        <v>8</v>
      </c>
      <c r="N48" s="116">
        <v>23</v>
      </c>
      <c r="O48" s="116"/>
      <c r="P48" s="116">
        <v>0</v>
      </c>
      <c r="Q48" s="116"/>
      <c r="R48" s="116"/>
    </row>
    <row r="49" spans="2:18" ht="27.95" customHeight="1">
      <c r="B49" s="93"/>
      <c r="C49" s="89"/>
      <c r="D49" s="90">
        <v>2402</v>
      </c>
      <c r="E49" s="104" t="s">
        <v>13</v>
      </c>
      <c r="F49" s="104" t="s">
        <v>8</v>
      </c>
      <c r="G49" s="90"/>
      <c r="H49" s="97"/>
      <c r="I49" s="108"/>
      <c r="J49" s="96"/>
      <c r="K49" s="96">
        <f t="shared" si="0"/>
        <v>0</v>
      </c>
      <c r="M49" s="109" t="s">
        <v>210</v>
      </c>
      <c r="N49" s="116">
        <v>1</v>
      </c>
      <c r="O49" s="116"/>
      <c r="P49" s="116">
        <v>0</v>
      </c>
      <c r="Q49" s="116"/>
      <c r="R49" s="116"/>
    </row>
    <row r="50" spans="2:18" ht="27.95" customHeight="1">
      <c r="B50" s="93"/>
      <c r="C50" s="89"/>
      <c r="D50" s="90">
        <v>2403</v>
      </c>
      <c r="E50" s="104" t="s">
        <v>13</v>
      </c>
      <c r="F50" s="104" t="s">
        <v>8</v>
      </c>
      <c r="G50" s="90"/>
      <c r="H50" s="97"/>
      <c r="I50" s="108"/>
      <c r="J50" s="96"/>
      <c r="K50" s="96">
        <f t="shared" si="0"/>
        <v>0</v>
      </c>
      <c r="M50" s="109" t="s">
        <v>211</v>
      </c>
      <c r="N50" s="116">
        <v>56</v>
      </c>
      <c r="O50" s="116">
        <v>301573172</v>
      </c>
      <c r="P50" s="116">
        <v>221890078.24000001</v>
      </c>
      <c r="Q50" s="116">
        <v>468903717</v>
      </c>
      <c r="R50" s="116">
        <v>54559533.240000002</v>
      </c>
    </row>
    <row r="51" spans="2:18" ht="27.95" customHeight="1">
      <c r="B51" s="98"/>
      <c r="C51" s="89" t="s">
        <v>56</v>
      </c>
      <c r="D51" s="90">
        <v>2404</v>
      </c>
      <c r="E51" s="104" t="s">
        <v>19</v>
      </c>
      <c r="F51" s="104" t="s">
        <v>7</v>
      </c>
      <c r="G51" s="90" t="s">
        <v>68</v>
      </c>
      <c r="H51" s="94">
        <f>21521523</f>
        <v>21521523</v>
      </c>
      <c r="I51" s="106">
        <f>H51*12%</f>
        <v>2582582.7599999998</v>
      </c>
      <c r="J51" s="96">
        <f>16244446</f>
        <v>16244446</v>
      </c>
      <c r="K51" s="96">
        <f t="shared" si="0"/>
        <v>7859659.7599999979</v>
      </c>
    </row>
    <row r="52" spans="2:18" ht="27.95" customHeight="1">
      <c r="B52" s="88" t="s">
        <v>57</v>
      </c>
      <c r="C52" s="89"/>
      <c r="D52" s="90">
        <v>2501</v>
      </c>
      <c r="E52" s="104" t="s">
        <v>58</v>
      </c>
      <c r="F52" s="104" t="s">
        <v>8</v>
      </c>
      <c r="G52" s="90"/>
      <c r="H52" s="97"/>
      <c r="I52" s="108"/>
      <c r="J52" s="96"/>
      <c r="K52" s="96">
        <f t="shared" si="0"/>
        <v>0</v>
      </c>
    </row>
    <row r="53" spans="2:18" ht="27.95" customHeight="1">
      <c r="B53" s="93"/>
      <c r="C53" s="89"/>
      <c r="D53" s="90">
        <v>2502</v>
      </c>
      <c r="E53" s="104" t="s">
        <v>13</v>
      </c>
      <c r="F53" s="104" t="s">
        <v>8</v>
      </c>
      <c r="G53" s="90"/>
      <c r="H53" s="97"/>
      <c r="I53" s="108"/>
      <c r="J53" s="96"/>
      <c r="K53" s="96">
        <f t="shared" si="0"/>
        <v>0</v>
      </c>
      <c r="M53" s="111" t="s">
        <v>204</v>
      </c>
      <c r="N53" t="s">
        <v>219</v>
      </c>
    </row>
    <row r="54" spans="2:18" ht="27.95" customHeight="1">
      <c r="B54" s="93"/>
      <c r="C54" s="89"/>
      <c r="D54" s="90">
        <v>2503</v>
      </c>
      <c r="E54" s="104" t="s">
        <v>13</v>
      </c>
      <c r="F54" s="104" t="s">
        <v>8</v>
      </c>
      <c r="G54" s="90"/>
      <c r="H54" s="97"/>
      <c r="I54" s="108"/>
      <c r="J54" s="96"/>
      <c r="K54" s="96">
        <f t="shared" si="0"/>
        <v>0</v>
      </c>
      <c r="M54" s="109" t="s">
        <v>32</v>
      </c>
      <c r="N54" s="116">
        <v>3</v>
      </c>
    </row>
    <row r="55" spans="2:18" ht="27.95" customHeight="1">
      <c r="B55" s="98"/>
      <c r="C55" s="110"/>
      <c r="D55" s="90">
        <v>2504</v>
      </c>
      <c r="E55" s="90" t="s">
        <v>58</v>
      </c>
      <c r="F55" s="90" t="s">
        <v>8</v>
      </c>
      <c r="G55" s="90"/>
      <c r="H55" s="97"/>
      <c r="I55" s="108"/>
      <c r="J55" s="96"/>
      <c r="K55" s="96">
        <f t="shared" si="0"/>
        <v>0</v>
      </c>
      <c r="M55" s="118" t="s">
        <v>210</v>
      </c>
      <c r="N55" s="116">
        <v>3</v>
      </c>
      <c r="P55" s="52">
        <f>SUM(O50:P50)</f>
        <v>523463250.24000001</v>
      </c>
      <c r="Q55" s="52"/>
      <c r="R55" s="52">
        <f>SUM(Q50:R50)</f>
        <v>523463250.24000001</v>
      </c>
    </row>
    <row r="56" spans="2:18" ht="27.95" customHeight="1">
      <c r="B56" s="88" t="s">
        <v>59</v>
      </c>
      <c r="C56" s="89"/>
      <c r="D56" s="90">
        <v>2601</v>
      </c>
      <c r="E56" s="104" t="s">
        <v>58</v>
      </c>
      <c r="F56" s="104" t="s">
        <v>8</v>
      </c>
      <c r="G56" s="90"/>
      <c r="H56" s="97"/>
      <c r="I56" s="108"/>
      <c r="J56" s="96"/>
      <c r="K56" s="96">
        <f t="shared" si="0"/>
        <v>0</v>
      </c>
      <c r="M56" s="123" t="s">
        <v>210</v>
      </c>
      <c r="N56" s="116">
        <v>3</v>
      </c>
    </row>
    <row r="57" spans="2:18" ht="27.95" customHeight="1">
      <c r="B57" s="93"/>
      <c r="C57" s="90"/>
      <c r="D57" s="90">
        <v>2602</v>
      </c>
      <c r="E57" s="104" t="s">
        <v>13</v>
      </c>
      <c r="F57" s="104" t="s">
        <v>8</v>
      </c>
      <c r="G57" s="90"/>
      <c r="H57" s="90"/>
      <c r="I57" s="90"/>
      <c r="J57" s="90"/>
      <c r="K57" s="96">
        <f t="shared" si="0"/>
        <v>0</v>
      </c>
      <c r="M57" s="109" t="s">
        <v>7</v>
      </c>
      <c r="N57" s="116">
        <v>32</v>
      </c>
    </row>
    <row r="58" spans="2:18" ht="27.95" customHeight="1">
      <c r="B58" s="93"/>
      <c r="C58" s="89"/>
      <c r="D58" s="90">
        <v>2603</v>
      </c>
      <c r="E58" s="104" t="s">
        <v>13</v>
      </c>
      <c r="F58" s="90" t="s">
        <v>8</v>
      </c>
      <c r="G58" s="90"/>
      <c r="H58" s="97"/>
      <c r="I58" s="106"/>
      <c r="J58" s="96"/>
      <c r="K58" s="96">
        <f t="shared" si="0"/>
        <v>0</v>
      </c>
      <c r="M58" s="118" t="s">
        <v>13</v>
      </c>
      <c r="N58" s="116">
        <v>10</v>
      </c>
    </row>
    <row r="59" spans="2:18" ht="27.95" customHeight="1">
      <c r="B59" s="98"/>
      <c r="C59" s="89"/>
      <c r="D59" s="90">
        <v>2604</v>
      </c>
      <c r="E59" s="90" t="s">
        <v>58</v>
      </c>
      <c r="F59" s="90" t="s">
        <v>8</v>
      </c>
      <c r="G59" s="90"/>
      <c r="H59" s="97"/>
      <c r="I59" s="106"/>
      <c r="J59" s="96"/>
      <c r="K59" s="96">
        <f t="shared" si="0"/>
        <v>0</v>
      </c>
      <c r="M59" s="123">
        <v>504</v>
      </c>
      <c r="N59" s="116">
        <v>1</v>
      </c>
    </row>
    <row r="60" spans="2:18" ht="27.95" customHeight="1">
      <c r="B60" s="88" t="s">
        <v>60</v>
      </c>
      <c r="C60" s="89"/>
      <c r="D60" s="90">
        <v>2701</v>
      </c>
      <c r="E60" s="104" t="s">
        <v>58</v>
      </c>
      <c r="F60" s="104" t="s">
        <v>8</v>
      </c>
      <c r="G60" s="90"/>
      <c r="H60" s="97"/>
      <c r="I60" s="108"/>
      <c r="J60" s="96"/>
      <c r="K60" s="96">
        <f t="shared" si="0"/>
        <v>0</v>
      </c>
      <c r="M60" s="123">
        <v>1603</v>
      </c>
      <c r="N60" s="116">
        <v>1</v>
      </c>
    </row>
    <row r="61" spans="2:18" ht="27.95" customHeight="1">
      <c r="B61" s="93"/>
      <c r="C61" s="89"/>
      <c r="D61" s="90">
        <v>2702</v>
      </c>
      <c r="E61" s="104" t="s">
        <v>58</v>
      </c>
      <c r="F61" s="104" t="s">
        <v>8</v>
      </c>
      <c r="G61" s="90"/>
      <c r="H61" s="97"/>
      <c r="I61" s="108"/>
      <c r="J61" s="96"/>
      <c r="K61" s="96">
        <f t="shared" si="0"/>
        <v>0</v>
      </c>
      <c r="M61" s="123">
        <v>1702</v>
      </c>
      <c r="N61" s="116">
        <v>1</v>
      </c>
    </row>
    <row r="62" spans="2:18" ht="27.95" customHeight="1">
      <c r="B62" s="93"/>
      <c r="C62" s="89" t="s">
        <v>31</v>
      </c>
      <c r="D62" s="90"/>
      <c r="E62" s="90"/>
      <c r="F62" s="104" t="s">
        <v>32</v>
      </c>
      <c r="G62" s="90"/>
      <c r="H62" s="97"/>
      <c r="I62" s="108"/>
      <c r="J62" s="96"/>
      <c r="K62" s="96">
        <f t="shared" si="0"/>
        <v>0</v>
      </c>
      <c r="M62" s="123">
        <v>1802</v>
      </c>
      <c r="N62" s="116">
        <v>1</v>
      </c>
    </row>
    <row r="63" spans="2:18" ht="27.95" customHeight="1">
      <c r="B63" s="98"/>
      <c r="C63" s="89"/>
      <c r="D63" s="90">
        <v>2704</v>
      </c>
      <c r="E63" s="104" t="s">
        <v>58</v>
      </c>
      <c r="F63" s="104" t="s">
        <v>8</v>
      </c>
      <c r="G63" s="90"/>
      <c r="H63" s="97"/>
      <c r="I63" s="108"/>
      <c r="J63" s="96"/>
      <c r="K63" s="96">
        <f t="shared" si="0"/>
        <v>0</v>
      </c>
      <c r="M63" s="123">
        <v>1803</v>
      </c>
      <c r="N63" s="116">
        <v>1</v>
      </c>
    </row>
    <row r="64" spans="2:18" ht="27.95" customHeight="1">
      <c r="H64">
        <f>SUBTOTAL(109,H4:H63)</f>
        <v>468903717</v>
      </c>
      <c r="I64">
        <f>SUBTOTAL(109,I4:I63)</f>
        <v>54559533.240000002</v>
      </c>
      <c r="J64">
        <f>SUBTOTAL(109,J4:J63)</f>
        <v>301573172</v>
      </c>
      <c r="K64">
        <f>SUBTOTAL(109,K4:K63)</f>
        <v>221890078.24000001</v>
      </c>
      <c r="M64" s="123">
        <v>1902</v>
      </c>
      <c r="N64" s="116">
        <v>1</v>
      </c>
    </row>
    <row r="65" spans="13:14" ht="27.95" customHeight="1">
      <c r="M65" s="123">
        <v>1903</v>
      </c>
      <c r="N65" s="116">
        <v>1</v>
      </c>
    </row>
    <row r="66" spans="13:14" ht="27.95" customHeight="1">
      <c r="M66" s="123">
        <v>2003</v>
      </c>
      <c r="N66" s="116">
        <v>1</v>
      </c>
    </row>
    <row r="67" spans="13:14" ht="27.95" customHeight="1">
      <c r="M67" s="123">
        <v>2102</v>
      </c>
      <c r="N67" s="116">
        <v>1</v>
      </c>
    </row>
    <row r="68" spans="13:14" ht="27.95" customHeight="1">
      <c r="M68" s="123">
        <v>2103</v>
      </c>
      <c r="N68" s="116">
        <v>1</v>
      </c>
    </row>
    <row r="69" spans="13:14" ht="27.95" customHeight="1">
      <c r="M69" s="118" t="s">
        <v>6</v>
      </c>
      <c r="N69" s="116">
        <v>4</v>
      </c>
    </row>
    <row r="70" spans="13:14" ht="27.95" customHeight="1">
      <c r="M70" s="123">
        <v>102</v>
      </c>
      <c r="N70" s="116">
        <v>1</v>
      </c>
    </row>
    <row r="71" spans="13:14" ht="27.95" customHeight="1">
      <c r="M71" s="123">
        <v>204</v>
      </c>
      <c r="N71" s="116">
        <v>1</v>
      </c>
    </row>
    <row r="72" spans="13:14" ht="27.95" customHeight="1">
      <c r="M72" s="123">
        <v>1502</v>
      </c>
      <c r="N72" s="116">
        <v>1</v>
      </c>
    </row>
    <row r="73" spans="13:14" ht="27.95" customHeight="1">
      <c r="M73" s="123">
        <v>1503</v>
      </c>
      <c r="N73" s="116">
        <v>1</v>
      </c>
    </row>
    <row r="74" spans="13:14">
      <c r="M74" s="118" t="s">
        <v>16</v>
      </c>
      <c r="N74" s="116">
        <v>1</v>
      </c>
    </row>
    <row r="75" spans="13:14">
      <c r="M75" s="123">
        <v>1104</v>
      </c>
      <c r="N75" s="116">
        <v>1</v>
      </c>
    </row>
    <row r="76" spans="13:14">
      <c r="M76" s="118" t="s">
        <v>19</v>
      </c>
      <c r="N76" s="116">
        <v>16</v>
      </c>
    </row>
    <row r="77" spans="13:14">
      <c r="M77" s="123">
        <v>1401</v>
      </c>
      <c r="N77" s="116">
        <v>1</v>
      </c>
    </row>
    <row r="78" spans="13:14">
      <c r="M78" s="123">
        <v>1604</v>
      </c>
      <c r="N78" s="116">
        <v>1</v>
      </c>
    </row>
    <row r="79" spans="13:14">
      <c r="M79" s="123">
        <v>1701</v>
      </c>
      <c r="N79" s="116">
        <v>1</v>
      </c>
    </row>
    <row r="80" spans="13:14">
      <c r="M80" s="123">
        <v>1704</v>
      </c>
      <c r="N80" s="116">
        <v>1</v>
      </c>
    </row>
    <row r="81" spans="13:14">
      <c r="M81" s="123">
        <v>1801</v>
      </c>
      <c r="N81" s="116">
        <v>1</v>
      </c>
    </row>
    <row r="82" spans="13:14">
      <c r="M82" s="123">
        <v>1804</v>
      </c>
      <c r="N82" s="116">
        <v>1</v>
      </c>
    </row>
    <row r="83" spans="13:14">
      <c r="M83" s="123">
        <v>1901</v>
      </c>
      <c r="N83" s="116">
        <v>1</v>
      </c>
    </row>
    <row r="84" spans="13:14">
      <c r="M84" s="123">
        <v>1904</v>
      </c>
      <c r="N84" s="116">
        <v>1</v>
      </c>
    </row>
    <row r="85" spans="13:14">
      <c r="M85" s="123">
        <v>2001</v>
      </c>
      <c r="N85" s="116">
        <v>1</v>
      </c>
    </row>
    <row r="86" spans="13:14">
      <c r="M86" s="123">
        <v>2101</v>
      </c>
      <c r="N86" s="116">
        <v>1</v>
      </c>
    </row>
    <row r="87" spans="13:14">
      <c r="M87" s="123">
        <v>2104</v>
      </c>
      <c r="N87" s="116">
        <v>1</v>
      </c>
    </row>
    <row r="88" spans="13:14">
      <c r="M88" s="123">
        <v>2204</v>
      </c>
      <c r="N88" s="116">
        <v>1</v>
      </c>
    </row>
    <row r="89" spans="13:14">
      <c r="M89" s="123">
        <v>2301</v>
      </c>
      <c r="N89" s="116">
        <v>1</v>
      </c>
    </row>
    <row r="90" spans="13:14">
      <c r="M90" s="123">
        <v>2304</v>
      </c>
      <c r="N90" s="116">
        <v>1</v>
      </c>
    </row>
    <row r="91" spans="13:14">
      <c r="M91" s="123">
        <v>2401</v>
      </c>
      <c r="N91" s="116">
        <v>1</v>
      </c>
    </row>
    <row r="92" spans="13:14">
      <c r="M92" s="123">
        <v>2404</v>
      </c>
      <c r="N92" s="116">
        <v>1</v>
      </c>
    </row>
    <row r="93" spans="13:14">
      <c r="M93" s="118" t="s">
        <v>24</v>
      </c>
      <c r="N93" s="116">
        <v>1</v>
      </c>
    </row>
    <row r="94" spans="13:14">
      <c r="M94" s="123">
        <v>1504</v>
      </c>
      <c r="N94" s="116">
        <v>1</v>
      </c>
    </row>
    <row r="95" spans="13:14">
      <c r="M95" s="109" t="s">
        <v>8</v>
      </c>
      <c r="N95" s="116">
        <v>23</v>
      </c>
    </row>
    <row r="96" spans="13:14">
      <c r="M96" s="118" t="s">
        <v>13</v>
      </c>
      <c r="N96" s="116">
        <v>11</v>
      </c>
    </row>
    <row r="97" spans="13:16">
      <c r="M97" s="123">
        <v>1602</v>
      </c>
      <c r="N97" s="116">
        <v>1</v>
      </c>
      <c r="P97" s="124"/>
    </row>
    <row r="98" spans="13:16">
      <c r="M98" s="123">
        <v>2002</v>
      </c>
      <c r="N98" s="116">
        <v>1</v>
      </c>
      <c r="P98" s="124"/>
    </row>
    <row r="99" spans="13:16">
      <c r="M99" s="123">
        <v>2202</v>
      </c>
      <c r="N99" s="116">
        <v>1</v>
      </c>
      <c r="P99" s="124"/>
    </row>
    <row r="100" spans="13:16">
      <c r="M100" s="123">
        <v>2302</v>
      </c>
      <c r="N100" s="116">
        <v>1</v>
      </c>
      <c r="P100" s="124"/>
    </row>
    <row r="101" spans="13:16">
      <c r="M101" s="123">
        <v>2303</v>
      </c>
      <c r="N101" s="116">
        <v>1</v>
      </c>
      <c r="P101" s="124"/>
    </row>
    <row r="102" spans="13:16">
      <c r="M102" s="138">
        <v>2402</v>
      </c>
      <c r="N102" s="139">
        <v>1</v>
      </c>
      <c r="O102" s="140"/>
      <c r="P102" s="141"/>
    </row>
    <row r="103" spans="13:16">
      <c r="M103" s="138">
        <v>2403</v>
      </c>
      <c r="N103" s="139">
        <v>1</v>
      </c>
      <c r="O103" s="140"/>
      <c r="P103" s="141"/>
    </row>
    <row r="104" spans="13:16">
      <c r="M104" s="138">
        <v>2502</v>
      </c>
      <c r="N104" s="139">
        <v>1</v>
      </c>
      <c r="O104" s="140"/>
      <c r="P104" s="141"/>
    </row>
    <row r="105" spans="13:16">
      <c r="M105" s="138">
        <v>2503</v>
      </c>
      <c r="N105" s="139">
        <v>1</v>
      </c>
      <c r="O105" s="140"/>
      <c r="P105" s="141"/>
    </row>
    <row r="106" spans="13:16">
      <c r="M106" s="138">
        <v>2602</v>
      </c>
      <c r="N106" s="139">
        <v>1</v>
      </c>
      <c r="O106" s="140"/>
      <c r="P106" s="141"/>
    </row>
    <row r="107" spans="13:16">
      <c r="M107" s="138">
        <v>2603</v>
      </c>
      <c r="N107" s="139">
        <v>1</v>
      </c>
      <c r="O107" s="140"/>
      <c r="P107" s="141"/>
    </row>
    <row r="108" spans="13:16">
      <c r="M108" s="142" t="s">
        <v>6</v>
      </c>
      <c r="N108" s="139">
        <v>2</v>
      </c>
      <c r="O108" s="140"/>
      <c r="P108" s="141"/>
    </row>
    <row r="109" spans="13:16">
      <c r="M109" s="138">
        <v>103</v>
      </c>
      <c r="N109" s="139">
        <v>1</v>
      </c>
      <c r="O109" s="140"/>
      <c r="P109" s="141"/>
    </row>
    <row r="110" spans="13:16">
      <c r="M110" s="138">
        <v>201</v>
      </c>
      <c r="N110" s="139">
        <v>1</v>
      </c>
      <c r="O110" s="140"/>
      <c r="P110" s="141"/>
    </row>
    <row r="111" spans="13:16">
      <c r="M111" s="142" t="s">
        <v>19</v>
      </c>
      <c r="N111" s="139">
        <v>10</v>
      </c>
      <c r="O111" s="140"/>
      <c r="P111" s="141"/>
    </row>
    <row r="112" spans="13:16">
      <c r="M112" s="138">
        <v>1601</v>
      </c>
      <c r="N112" s="139">
        <v>1</v>
      </c>
      <c r="O112" s="140"/>
      <c r="P112" s="141"/>
    </row>
    <row r="113" spans="13:16">
      <c r="M113" s="138">
        <v>2004</v>
      </c>
      <c r="N113" s="139">
        <v>1</v>
      </c>
      <c r="O113" s="140"/>
      <c r="P113" s="141"/>
    </row>
    <row r="114" spans="13:16">
      <c r="M114" s="123">
        <v>2201</v>
      </c>
      <c r="N114" s="116">
        <v>1</v>
      </c>
      <c r="P114" s="124"/>
    </row>
    <row r="115" spans="13:16">
      <c r="M115" s="123">
        <v>2501</v>
      </c>
      <c r="N115" s="116">
        <v>1</v>
      </c>
      <c r="P115" s="124"/>
    </row>
    <row r="116" spans="13:16">
      <c r="M116" s="123">
        <v>2504</v>
      </c>
      <c r="N116" s="116">
        <v>1</v>
      </c>
      <c r="P116" s="124"/>
    </row>
    <row r="117" spans="13:16">
      <c r="M117" s="123">
        <v>2601</v>
      </c>
      <c r="N117" s="116">
        <v>1</v>
      </c>
      <c r="P117" s="124"/>
    </row>
    <row r="118" spans="13:16">
      <c r="M118" s="123">
        <v>2604</v>
      </c>
      <c r="N118" s="116">
        <v>1</v>
      </c>
      <c r="P118" s="124"/>
    </row>
    <row r="119" spans="13:16">
      <c r="M119" s="123">
        <v>2701</v>
      </c>
      <c r="N119" s="116">
        <v>1</v>
      </c>
      <c r="P119" s="124"/>
    </row>
    <row r="120" spans="13:16">
      <c r="M120" s="123">
        <v>2702</v>
      </c>
      <c r="N120" s="116">
        <v>1</v>
      </c>
    </row>
    <row r="121" spans="13:16">
      <c r="M121" s="123">
        <v>2704</v>
      </c>
      <c r="N121" s="116">
        <v>1</v>
      </c>
    </row>
    <row r="122" spans="13:16">
      <c r="M122" s="109" t="s">
        <v>210</v>
      </c>
      <c r="N122" s="116"/>
    </row>
    <row r="123" spans="13:16">
      <c r="M123" s="118" t="s">
        <v>210</v>
      </c>
      <c r="N123" s="116"/>
    </row>
    <row r="124" spans="13:16">
      <c r="M124" s="123" t="s">
        <v>4</v>
      </c>
      <c r="N124" s="116"/>
    </row>
    <row r="125" spans="13:16">
      <c r="M125" s="123" t="s">
        <v>210</v>
      </c>
      <c r="N125" s="116"/>
    </row>
    <row r="126" spans="13:16">
      <c r="M126" s="109" t="s">
        <v>211</v>
      </c>
      <c r="N126" s="116">
        <v>58</v>
      </c>
    </row>
  </sheetData>
  <pageMargins left="0.7" right="0.7" top="0.75" bottom="0.75" header="0.3" footer="0.3"/>
  <pageSetup orientation="portrait"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D3:I9"/>
  <sheetViews>
    <sheetView workbookViewId="0">
      <selection activeCell="P3" sqref="P3"/>
    </sheetView>
  </sheetViews>
  <sheetFormatPr defaultRowHeight="15"/>
  <cols>
    <col min="2" max="2" width="11.5703125" bestFit="1" customWidth="1"/>
    <col min="3" max="3" width="3.140625" customWidth="1"/>
    <col min="4" max="4" width="29" customWidth="1"/>
    <col min="5" max="5" width="19.140625" customWidth="1"/>
    <col min="6" max="6" width="40.7109375" customWidth="1"/>
    <col min="7" max="7" width="22.28515625" hidden="1" customWidth="1"/>
    <col min="8" max="8" width="19" hidden="1" customWidth="1"/>
    <col min="9" max="9" width="20.7109375" hidden="1" customWidth="1"/>
  </cols>
  <sheetData>
    <row r="3" spans="4:9" ht="30.75" customHeight="1">
      <c r="D3" s="195" t="s">
        <v>236</v>
      </c>
      <c r="E3" s="195"/>
      <c r="F3" s="195"/>
      <c r="G3" s="195"/>
      <c r="H3" s="195"/>
      <c r="I3" s="195"/>
    </row>
    <row r="4" spans="4:9" ht="27.75">
      <c r="D4" s="130" t="s">
        <v>143</v>
      </c>
      <c r="E4" s="130" t="s">
        <v>144</v>
      </c>
      <c r="F4" s="130" t="s">
        <v>145</v>
      </c>
      <c r="G4" s="130" t="s">
        <v>146</v>
      </c>
      <c r="H4" s="130" t="s">
        <v>147</v>
      </c>
      <c r="I4" s="130" t="s">
        <v>148</v>
      </c>
    </row>
    <row r="5" spans="4:9" ht="15.75">
      <c r="D5" s="14" t="s">
        <v>149</v>
      </c>
      <c r="E5" s="15">
        <f>Inventory!$N$47</f>
        <v>32</v>
      </c>
      <c r="F5" s="14">
        <f>'[1]Inventory Details'!$G$7</f>
        <v>308700</v>
      </c>
      <c r="G5" s="16">
        <f>Inventory!$O$47</f>
        <v>301573172</v>
      </c>
      <c r="H5" s="17">
        <f>Inventory!$P$47</f>
        <v>221890078.24000001</v>
      </c>
      <c r="I5" s="16">
        <f>H5+G5</f>
        <v>523463250.24000001</v>
      </c>
    </row>
    <row r="6" spans="4:9" ht="15.75">
      <c r="D6" s="14" t="s">
        <v>150</v>
      </c>
      <c r="E6" s="15">
        <v>23</v>
      </c>
      <c r="F6" s="15">
        <f>'[1]Inventory Details'!$H$7</f>
        <v>20800</v>
      </c>
      <c r="G6" s="18">
        <v>0</v>
      </c>
      <c r="H6" s="18">
        <v>0</v>
      </c>
      <c r="I6" s="18">
        <v>0</v>
      </c>
    </row>
    <row r="7" spans="4:9" ht="15.75">
      <c r="D7" s="14" t="s">
        <v>152</v>
      </c>
      <c r="E7" s="15">
        <v>48</v>
      </c>
      <c r="F7" s="143">
        <v>0</v>
      </c>
      <c r="G7" s="18">
        <v>0</v>
      </c>
      <c r="H7" s="18">
        <v>0</v>
      </c>
      <c r="I7" s="18">
        <v>0</v>
      </c>
    </row>
    <row r="8" spans="4:9" ht="15.75">
      <c r="D8" s="14" t="s">
        <v>32</v>
      </c>
      <c r="E8" s="15">
        <v>3</v>
      </c>
      <c r="F8" s="144">
        <v>0</v>
      </c>
      <c r="G8" s="117">
        <v>0</v>
      </c>
      <c r="H8" s="117">
        <v>0</v>
      </c>
      <c r="I8" s="117">
        <v>0</v>
      </c>
    </row>
    <row r="9" spans="4:9">
      <c r="D9" s="19" t="s">
        <v>151</v>
      </c>
      <c r="E9" s="19">
        <f>SUM(E5:E8)</f>
        <v>106</v>
      </c>
      <c r="F9" s="19">
        <f>'[1]Inventory Details'!$I$7</f>
        <v>329500</v>
      </c>
      <c r="G9" s="20">
        <f>SUM(G5:G6)</f>
        <v>301573172</v>
      </c>
      <c r="H9" s="20">
        <f>SUM(H5:H6)</f>
        <v>221890078.24000001</v>
      </c>
      <c r="I9" s="20">
        <f>SUM(I5:I6)</f>
        <v>523463250.24000001</v>
      </c>
    </row>
  </sheetData>
  <mergeCells count="1">
    <mergeCell ref="D3:I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C3:AB8"/>
  <sheetViews>
    <sheetView topLeftCell="C1" workbookViewId="0">
      <selection activeCell="G28" sqref="G28"/>
    </sheetView>
  </sheetViews>
  <sheetFormatPr defaultRowHeight="15"/>
  <cols>
    <col min="3" max="3" width="23.140625" customWidth="1"/>
    <col min="4" max="4" width="14.5703125" customWidth="1"/>
    <col min="5" max="6" width="17.42578125" customWidth="1"/>
    <col min="7" max="7" width="9.7109375" customWidth="1"/>
  </cols>
  <sheetData>
    <row r="3" spans="3:28" ht="39" customHeight="1">
      <c r="C3" s="196" t="s">
        <v>237</v>
      </c>
      <c r="D3" s="197"/>
      <c r="E3" s="197"/>
      <c r="F3" s="197"/>
      <c r="G3" s="198"/>
    </row>
    <row r="4" spans="3:28">
      <c r="C4" s="199" t="s">
        <v>187</v>
      </c>
      <c r="D4" s="205" t="s">
        <v>188</v>
      </c>
      <c r="E4" s="206"/>
      <c r="F4" s="207"/>
      <c r="G4" s="202" t="s">
        <v>151</v>
      </c>
    </row>
    <row r="5" spans="3:28">
      <c r="C5" s="200"/>
      <c r="D5" s="47">
        <v>44684</v>
      </c>
      <c r="E5" s="114">
        <f>EDATE(D5,12)</f>
        <v>45049</v>
      </c>
      <c r="F5" s="132">
        <f>EDATE(E5,12)</f>
        <v>45415</v>
      </c>
      <c r="G5" s="203"/>
    </row>
    <row r="6" spans="3:28">
      <c r="C6" s="201"/>
      <c r="D6" s="47">
        <f>EDATE(D5,12)-1</f>
        <v>45048</v>
      </c>
      <c r="E6" s="114">
        <f>EDATE(E5,12)-1</f>
        <v>45414</v>
      </c>
      <c r="F6" s="132">
        <f>EDATE(F5,12)-1</f>
        <v>45779</v>
      </c>
      <c r="G6" s="204"/>
    </row>
    <row r="7" spans="3:28">
      <c r="C7" s="74" t="s">
        <v>214</v>
      </c>
      <c r="D7" s="167">
        <v>0.3</v>
      </c>
      <c r="E7" s="167">
        <v>0.4</v>
      </c>
      <c r="F7" s="167">
        <v>0.3</v>
      </c>
      <c r="G7" s="64">
        <v>1</v>
      </c>
      <c r="AB7" t="s">
        <v>189</v>
      </c>
    </row>
    <row r="8" spans="3:28">
      <c r="C8" s="74" t="s">
        <v>214</v>
      </c>
      <c r="D8" s="166">
        <v>7</v>
      </c>
      <c r="E8" s="166">
        <v>9</v>
      </c>
      <c r="F8" s="166">
        <v>7</v>
      </c>
      <c r="G8" s="75">
        <v>23</v>
      </c>
    </row>
  </sheetData>
  <mergeCells count="4">
    <mergeCell ref="C3:G3"/>
    <mergeCell ref="C4:C6"/>
    <mergeCell ref="G4:G6"/>
    <mergeCell ref="D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D2:AA14"/>
  <sheetViews>
    <sheetView workbookViewId="0">
      <selection activeCell="I11" sqref="I11"/>
    </sheetView>
  </sheetViews>
  <sheetFormatPr defaultRowHeight="15"/>
  <cols>
    <col min="4" max="4" width="5.7109375" bestFit="1" customWidth="1"/>
    <col min="5" max="5" width="21" bestFit="1" customWidth="1"/>
    <col min="6" max="6" width="16.42578125" customWidth="1"/>
    <col min="7" max="7" width="13.140625" customWidth="1"/>
    <col min="8" max="8" width="21.140625" bestFit="1" customWidth="1"/>
    <col min="9" max="9" width="20.7109375" bestFit="1" customWidth="1"/>
    <col min="10" max="10" width="15.85546875" bestFit="1" customWidth="1"/>
    <col min="11" max="11" width="17.85546875" customWidth="1"/>
    <col min="12" max="13" width="18.28515625" customWidth="1"/>
    <col min="14" max="14" width="18.140625" bestFit="1" customWidth="1"/>
    <col min="27" max="27" width="11.5703125" bestFit="1" customWidth="1"/>
  </cols>
  <sheetData>
    <row r="2" spans="4:27" ht="33.75" customHeight="1">
      <c r="D2" s="208" t="s">
        <v>238</v>
      </c>
      <c r="E2" s="208"/>
      <c r="F2" s="208"/>
      <c r="G2" s="208"/>
      <c r="H2" s="208"/>
      <c r="I2" s="208"/>
      <c r="AA2" s="134">
        <v>26700</v>
      </c>
    </row>
    <row r="3" spans="4:27" ht="30" customHeight="1">
      <c r="D3" s="131" t="s">
        <v>215</v>
      </c>
      <c r="E3" s="131" t="s">
        <v>220</v>
      </c>
      <c r="F3" s="130" t="s">
        <v>216</v>
      </c>
      <c r="G3" s="131" t="s">
        <v>247</v>
      </c>
      <c r="H3" s="131" t="s">
        <v>217</v>
      </c>
      <c r="I3" s="131" t="s">
        <v>218</v>
      </c>
      <c r="AA3" s="134">
        <v>26700</v>
      </c>
    </row>
    <row r="4" spans="4:27">
      <c r="D4" s="120">
        <v>1</v>
      </c>
      <c r="E4" s="119" t="s">
        <v>13</v>
      </c>
      <c r="F4" s="122">
        <v>7</v>
      </c>
      <c r="G4" s="120">
        <v>746</v>
      </c>
      <c r="H4" s="134">
        <v>22500</v>
      </c>
      <c r="I4" s="134">
        <f>H4*G4*F4</f>
        <v>117495000</v>
      </c>
      <c r="J4" s="52"/>
      <c r="AA4" s="134">
        <v>26300</v>
      </c>
    </row>
    <row r="5" spans="4:27">
      <c r="D5" s="120"/>
      <c r="E5" s="119" t="s">
        <v>13</v>
      </c>
      <c r="F5" s="122">
        <v>4</v>
      </c>
      <c r="G5" s="120">
        <v>822</v>
      </c>
      <c r="H5" s="134">
        <v>22300</v>
      </c>
      <c r="I5" s="134">
        <f t="shared" ref="I5:I10" si="0">H5*G5*F5</f>
        <v>73322400</v>
      </c>
      <c r="J5" s="52"/>
      <c r="AA5" s="134">
        <v>26000</v>
      </c>
    </row>
    <row r="6" spans="4:27">
      <c r="D6" s="120">
        <v>2</v>
      </c>
      <c r="E6" s="119" t="s">
        <v>19</v>
      </c>
      <c r="F6" s="122">
        <v>3</v>
      </c>
      <c r="G6" s="120">
        <v>947</v>
      </c>
      <c r="H6" s="134">
        <v>22100</v>
      </c>
      <c r="I6" s="134">
        <f t="shared" si="0"/>
        <v>62786100</v>
      </c>
      <c r="J6" s="52"/>
      <c r="AA6" s="134">
        <v>26000</v>
      </c>
    </row>
    <row r="7" spans="4:27">
      <c r="D7" s="120"/>
      <c r="E7" s="119" t="s">
        <v>19</v>
      </c>
      <c r="F7" s="122">
        <v>6</v>
      </c>
      <c r="G7" s="120">
        <v>1026</v>
      </c>
      <c r="H7" s="134">
        <v>22000</v>
      </c>
      <c r="I7" s="134">
        <f t="shared" si="0"/>
        <v>135432000</v>
      </c>
      <c r="J7" s="52"/>
      <c r="AA7" s="134">
        <v>20750</v>
      </c>
    </row>
    <row r="8" spans="4:27">
      <c r="D8" s="120"/>
      <c r="E8" s="119" t="s">
        <v>19</v>
      </c>
      <c r="F8" s="122">
        <v>1</v>
      </c>
      <c r="G8" s="120">
        <v>1300</v>
      </c>
      <c r="H8" s="134">
        <v>22450</v>
      </c>
      <c r="I8" s="134">
        <f t="shared" si="0"/>
        <v>29185000</v>
      </c>
      <c r="J8" s="52"/>
      <c r="AA8" s="134">
        <v>22900</v>
      </c>
    </row>
    <row r="9" spans="4:27">
      <c r="D9" s="120">
        <v>3</v>
      </c>
      <c r="E9" s="119" t="s">
        <v>221</v>
      </c>
      <c r="F9" s="122">
        <v>1</v>
      </c>
      <c r="G9" s="120">
        <v>1398</v>
      </c>
      <c r="H9" s="134">
        <v>21000</v>
      </c>
      <c r="I9" s="134">
        <f t="shared" si="0"/>
        <v>29358000</v>
      </c>
      <c r="J9" s="52"/>
    </row>
    <row r="10" spans="4:27">
      <c r="D10" s="120"/>
      <c r="E10" s="119" t="s">
        <v>221</v>
      </c>
      <c r="F10" s="122">
        <v>1</v>
      </c>
      <c r="G10" s="120">
        <v>1004</v>
      </c>
      <c r="H10" s="134">
        <v>22900</v>
      </c>
      <c r="I10" s="134">
        <f t="shared" si="0"/>
        <v>22991600</v>
      </c>
      <c r="J10" s="52"/>
    </row>
    <row r="11" spans="4:27" ht="15.75">
      <c r="D11" s="209" t="s">
        <v>151</v>
      </c>
      <c r="E11" s="209"/>
      <c r="F11" s="121">
        <f>SUM(F4:F10)</f>
        <v>23</v>
      </c>
      <c r="G11" s="115"/>
      <c r="H11" s="135"/>
      <c r="I11" s="136">
        <f>SUM(I4:I10)</f>
        <v>470570100</v>
      </c>
    </row>
    <row r="13" spans="4:27">
      <c r="H13" s="52">
        <f>I11/23</f>
        <v>20459569.565217391</v>
      </c>
    </row>
    <row r="14" spans="4:27">
      <c r="H14" s="52">
        <f>H13/1100</f>
        <v>18599.608695652172</v>
      </c>
    </row>
  </sheetData>
  <mergeCells count="2">
    <mergeCell ref="D2:I2"/>
    <mergeCell ref="D11:E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C2:L18"/>
  <sheetViews>
    <sheetView zoomScale="85" zoomScaleNormal="85" workbookViewId="0">
      <selection activeCell="C5" sqref="C5"/>
    </sheetView>
  </sheetViews>
  <sheetFormatPr defaultRowHeight="15"/>
  <cols>
    <col min="3" max="3" width="22.28515625" customWidth="1"/>
    <col min="4" max="5" width="17" customWidth="1"/>
    <col min="6" max="6" width="18.28515625" customWidth="1"/>
    <col min="7" max="7" width="17" customWidth="1"/>
    <col min="8" max="8" width="20.7109375" hidden="1" customWidth="1"/>
    <col min="9" max="9" width="20.7109375" customWidth="1"/>
    <col min="10" max="10" width="10.28515625" bestFit="1" customWidth="1"/>
    <col min="11" max="11" width="19.140625" bestFit="1" customWidth="1"/>
    <col min="12" max="12" width="19" customWidth="1"/>
  </cols>
  <sheetData>
    <row r="2" spans="3:12">
      <c r="I2">
        <v>696791008</v>
      </c>
      <c r="J2">
        <v>483387366</v>
      </c>
    </row>
    <row r="3" spans="3:12" ht="36" customHeight="1">
      <c r="C3" s="210" t="s">
        <v>238</v>
      </c>
      <c r="D3" s="210"/>
      <c r="E3" s="210"/>
      <c r="F3" s="210"/>
      <c r="G3" s="210"/>
      <c r="H3" s="210"/>
    </row>
    <row r="4" spans="3:12" ht="45">
      <c r="C4" s="45" t="s">
        <v>155</v>
      </c>
      <c r="D4" s="45" t="s">
        <v>156</v>
      </c>
      <c r="E4" s="45" t="s">
        <v>198</v>
      </c>
      <c r="F4" s="45" t="s">
        <v>235</v>
      </c>
      <c r="G4" s="45" t="s">
        <v>157</v>
      </c>
      <c r="H4" s="45" t="s">
        <v>157</v>
      </c>
    </row>
    <row r="5" spans="3:12" ht="15" hidden="1" customHeight="1">
      <c r="C5" s="147" t="s">
        <v>197</v>
      </c>
      <c r="D5" s="112">
        <v>92400000</v>
      </c>
      <c r="E5" s="83">
        <v>89680300</v>
      </c>
      <c r="F5" s="83">
        <v>89680300</v>
      </c>
      <c r="G5" s="83">
        <f>D5-F5</f>
        <v>2719700</v>
      </c>
      <c r="H5" s="83">
        <f>D5-E5</f>
        <v>2719700</v>
      </c>
    </row>
    <row r="6" spans="3:12">
      <c r="C6" s="46" t="s">
        <v>158</v>
      </c>
      <c r="D6" s="113">
        <v>319353300</v>
      </c>
      <c r="E6" s="83">
        <v>181303685</v>
      </c>
      <c r="F6" s="83">
        <f>D6*63%</f>
        <v>201192579</v>
      </c>
      <c r="G6" s="83">
        <f>D6-F6</f>
        <v>118160721</v>
      </c>
      <c r="H6" s="83">
        <f>D6-E6</f>
        <v>138049615</v>
      </c>
      <c r="I6" s="78">
        <f>E6/D6</f>
        <v>0.56772134498062177</v>
      </c>
      <c r="J6" s="58">
        <f>F6/D6</f>
        <v>0.63</v>
      </c>
    </row>
    <row r="7" spans="3:12">
      <c r="C7" s="46" t="s">
        <v>159</v>
      </c>
      <c r="D7" s="113">
        <v>130336500</v>
      </c>
      <c r="E7" s="83">
        <v>81319283</v>
      </c>
      <c r="F7" s="83">
        <f>D7*66%</f>
        <v>86022090</v>
      </c>
      <c r="G7" s="83">
        <f t="shared" ref="G7:G10" si="0">D7-F7</f>
        <v>44314410</v>
      </c>
      <c r="H7" s="83">
        <f t="shared" ref="H7:H10" si="1">D7-E7</f>
        <v>49017217</v>
      </c>
      <c r="I7" s="78">
        <f t="shared" ref="I7:I10" si="2">E7/D7</f>
        <v>0.62391795851507448</v>
      </c>
      <c r="J7" s="58">
        <f t="shared" ref="J7:J10" si="3">F7/D7</f>
        <v>0.66</v>
      </c>
    </row>
    <row r="8" spans="3:12">
      <c r="C8" s="46" t="s">
        <v>160</v>
      </c>
      <c r="D8" s="113">
        <v>47569419</v>
      </c>
      <c r="E8" s="83">
        <v>39409697</v>
      </c>
      <c r="F8" s="83">
        <v>39409697</v>
      </c>
      <c r="G8" s="83">
        <f t="shared" si="0"/>
        <v>8159722</v>
      </c>
      <c r="H8" s="83">
        <f t="shared" si="1"/>
        <v>8159722</v>
      </c>
      <c r="I8" s="78">
        <f t="shared" si="2"/>
        <v>0.82846706620486577</v>
      </c>
      <c r="J8" s="58">
        <f t="shared" si="3"/>
        <v>0.82846706620486577</v>
      </c>
    </row>
    <row r="9" spans="3:12">
      <c r="C9" s="46" t="s">
        <v>222</v>
      </c>
      <c r="D9" s="113">
        <v>0</v>
      </c>
      <c r="E9" s="113">
        <v>0</v>
      </c>
      <c r="F9" s="113">
        <v>0</v>
      </c>
      <c r="G9" s="83">
        <f>D11*1%</f>
        <v>6967910.0800000001</v>
      </c>
      <c r="H9" s="83"/>
      <c r="I9" s="78"/>
      <c r="J9" s="58"/>
    </row>
    <row r="10" spans="3:12" ht="30">
      <c r="C10" s="46" t="s">
        <v>161</v>
      </c>
      <c r="D10" s="83">
        <f>16355403+25776386+7100000+57900000</f>
        <v>107131789</v>
      </c>
      <c r="E10" s="83">
        <f>40848321+23836816+26989264</f>
        <v>91674401</v>
      </c>
      <c r="F10" s="83">
        <f>40848321+23836816+26989264</f>
        <v>91674401</v>
      </c>
      <c r="G10" s="83">
        <f t="shared" si="0"/>
        <v>15457388</v>
      </c>
      <c r="H10" s="83">
        <f t="shared" si="1"/>
        <v>15457388</v>
      </c>
      <c r="I10" s="78">
        <f t="shared" si="2"/>
        <v>0.8557161404258824</v>
      </c>
      <c r="J10" s="58">
        <f t="shared" si="3"/>
        <v>0.8557161404258824</v>
      </c>
    </row>
    <row r="11" spans="3:12">
      <c r="C11" s="14" t="s">
        <v>151</v>
      </c>
      <c r="D11" s="83">
        <f>SUM(D5:D10)</f>
        <v>696791008</v>
      </c>
      <c r="E11" s="83">
        <f>SUM(E6:E10)</f>
        <v>393707066</v>
      </c>
      <c r="F11" s="83">
        <f>SUM(F6:F10)</f>
        <v>418298767</v>
      </c>
      <c r="G11" s="83">
        <f>SUM(G6:G10)</f>
        <v>193060151.08000001</v>
      </c>
      <c r="H11" s="83">
        <f>SUM(H5:H10)</f>
        <v>213403642</v>
      </c>
      <c r="I11" s="52">
        <f>F11-E11</f>
        <v>24591701</v>
      </c>
    </row>
    <row r="15" spans="3:12">
      <c r="G15" s="52"/>
    </row>
    <row r="16" spans="3:12">
      <c r="K16" s="125" t="s">
        <v>248</v>
      </c>
      <c r="L16" s="125">
        <v>11654</v>
      </c>
    </row>
    <row r="17" spans="11:12">
      <c r="K17" s="125" t="s">
        <v>249</v>
      </c>
      <c r="L17" s="158">
        <f>D6/L16</f>
        <v>27402.891711000513</v>
      </c>
    </row>
    <row r="18" spans="11:12">
      <c r="K18" s="125" t="s">
        <v>250</v>
      </c>
      <c r="L18" s="158">
        <f>L17/10.7639</f>
        <v>2545.814408439368</v>
      </c>
    </row>
  </sheetData>
  <mergeCells count="1">
    <mergeCell ref="C3:H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F7:J18"/>
  <sheetViews>
    <sheetView workbookViewId="0">
      <selection activeCell="F7" sqref="F7:J7"/>
    </sheetView>
  </sheetViews>
  <sheetFormatPr defaultRowHeight="15"/>
  <cols>
    <col min="6" max="6" width="20.7109375" customWidth="1"/>
    <col min="7" max="7" width="15" customWidth="1"/>
    <col min="8" max="8" width="12.7109375" customWidth="1"/>
    <col min="9" max="9" width="13.7109375" customWidth="1"/>
    <col min="10" max="10" width="13.28515625" customWidth="1"/>
  </cols>
  <sheetData>
    <row r="7" spans="6:10" ht="38.25" customHeight="1">
      <c r="F7" s="196" t="s">
        <v>254</v>
      </c>
      <c r="G7" s="197"/>
      <c r="H7" s="197"/>
      <c r="I7" s="197"/>
      <c r="J7" s="198"/>
    </row>
    <row r="8" spans="6:10">
      <c r="F8" s="199" t="s">
        <v>187</v>
      </c>
      <c r="G8" s="205" t="s">
        <v>188</v>
      </c>
      <c r="H8" s="206"/>
      <c r="I8" s="207"/>
      <c r="J8" s="202" t="s">
        <v>151</v>
      </c>
    </row>
    <row r="9" spans="6:10">
      <c r="F9" s="200"/>
      <c r="G9" s="47">
        <v>44684</v>
      </c>
      <c r="H9" s="161">
        <f>EDATE(G9,12)</f>
        <v>45049</v>
      </c>
      <c r="I9" s="161">
        <f>EDATE(H9,12)</f>
        <v>45415</v>
      </c>
      <c r="J9" s="203"/>
    </row>
    <row r="10" spans="6:10">
      <c r="F10" s="201"/>
      <c r="G10" s="47">
        <f>EDATE(G9,12)-1</f>
        <v>45048</v>
      </c>
      <c r="H10" s="161">
        <f>EDATE(H9,12)-1</f>
        <v>45414</v>
      </c>
      <c r="I10" s="161">
        <f>EDATE(I9,12)-1</f>
        <v>45779</v>
      </c>
      <c r="J10" s="204"/>
    </row>
    <row r="11" spans="6:10">
      <c r="F11" s="74" t="s">
        <v>252</v>
      </c>
      <c r="G11" s="167">
        <v>0.3</v>
      </c>
      <c r="H11" s="167">
        <v>0.4</v>
      </c>
      <c r="I11" s="167">
        <v>0.3</v>
      </c>
      <c r="J11" s="64">
        <v>1</v>
      </c>
    </row>
    <row r="12" spans="6:10">
      <c r="F12" s="74" t="s">
        <v>253</v>
      </c>
      <c r="G12" s="166">
        <v>7</v>
      </c>
      <c r="H12" s="166">
        <v>9</v>
      </c>
      <c r="I12" s="166">
        <v>7</v>
      </c>
      <c r="J12" s="75">
        <v>23</v>
      </c>
    </row>
    <row r="13" spans="6:10">
      <c r="F13" s="170" t="s">
        <v>240</v>
      </c>
      <c r="G13" s="168">
        <v>0</v>
      </c>
      <c r="H13" s="168">
        <v>0</v>
      </c>
      <c r="I13" s="169">
        <v>2.5000000000000001E-2</v>
      </c>
      <c r="J13" s="125"/>
    </row>
    <row r="14" spans="6:10" ht="45">
      <c r="F14" s="171" t="s">
        <v>256</v>
      </c>
      <c r="G14" s="18">
        <f>('Unsold units valuation'!$I$11/10^6)*G11*(1+G13)</f>
        <v>141.17103</v>
      </c>
      <c r="H14" s="18">
        <f>('Unsold units valuation'!$I$11/10^6)*H11*(1+H13)</f>
        <v>188.22804000000002</v>
      </c>
      <c r="I14" s="18">
        <f>('Unsold units valuation'!$I$11/10^6)*I11*(1+I13)</f>
        <v>144.70030574999998</v>
      </c>
      <c r="J14" s="18">
        <f>SUM(G14:I14)</f>
        <v>474.09937575000004</v>
      </c>
    </row>
    <row r="15" spans="6:10" ht="50.25" customHeight="1">
      <c r="F15" s="211" t="s">
        <v>257</v>
      </c>
      <c r="G15" s="211"/>
      <c r="H15" s="211"/>
      <c r="I15" s="211"/>
      <c r="J15" s="211"/>
    </row>
    <row r="16" spans="6:10" ht="44.25" customHeight="1">
      <c r="F16" s="212" t="s">
        <v>258</v>
      </c>
      <c r="G16" s="212"/>
      <c r="H16" s="212"/>
      <c r="I16" s="212"/>
      <c r="J16" s="212"/>
    </row>
    <row r="17" spans="6:10" ht="52.5" customHeight="1">
      <c r="F17" s="212" t="s">
        <v>259</v>
      </c>
      <c r="G17" s="212"/>
      <c r="H17" s="212"/>
      <c r="I17" s="212"/>
      <c r="J17" s="212"/>
    </row>
    <row r="18" spans="6:10" ht="36" customHeight="1">
      <c r="F18" s="212" t="s">
        <v>255</v>
      </c>
      <c r="G18" s="212"/>
      <c r="H18" s="212"/>
      <c r="I18" s="212"/>
      <c r="J18" s="212"/>
    </row>
  </sheetData>
  <mergeCells count="8">
    <mergeCell ref="F15:J15"/>
    <mergeCell ref="F16:J16"/>
    <mergeCell ref="F17:J17"/>
    <mergeCell ref="F18:J18"/>
    <mergeCell ref="F7:J7"/>
    <mergeCell ref="F8:F10"/>
    <mergeCell ref="G8:I8"/>
    <mergeCell ref="J8:J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V78"/>
  <sheetViews>
    <sheetView tabSelected="1" topLeftCell="A40" workbookViewId="0">
      <selection activeCell="B50" sqref="B50:G50"/>
    </sheetView>
  </sheetViews>
  <sheetFormatPr defaultRowHeight="15"/>
  <cols>
    <col min="2" max="2" width="21.140625" customWidth="1"/>
    <col min="3" max="3" width="36" customWidth="1"/>
    <col min="4" max="4" width="16.85546875" bestFit="1" customWidth="1"/>
    <col min="5" max="6" width="11.28515625" bestFit="1" customWidth="1"/>
    <col min="7" max="7" width="19.140625" customWidth="1"/>
    <col min="9" max="9" width="16.42578125" bestFit="1" customWidth="1"/>
  </cols>
  <sheetData>
    <row r="2" spans="2:16" ht="15.75">
      <c r="B2" s="238" t="s">
        <v>234</v>
      </c>
      <c r="C2" s="238"/>
      <c r="D2" s="238"/>
      <c r="E2" s="238"/>
      <c r="F2" s="238"/>
      <c r="G2" s="238"/>
    </row>
    <row r="3" spans="2:16">
      <c r="B3" s="232"/>
      <c r="C3" s="232"/>
      <c r="D3" s="232"/>
      <c r="E3" s="232"/>
      <c r="F3" s="232"/>
      <c r="G3" s="232"/>
    </row>
    <row r="4" spans="2:16">
      <c r="B4" s="239" t="s">
        <v>162</v>
      </c>
      <c r="C4" s="239" t="s">
        <v>163</v>
      </c>
      <c r="D4" s="47">
        <v>44684</v>
      </c>
      <c r="E4" s="47">
        <f>EDATE(D4,12)</f>
        <v>45049</v>
      </c>
      <c r="F4" s="47">
        <v>45049</v>
      </c>
      <c r="G4" s="240" t="s">
        <v>164</v>
      </c>
    </row>
    <row r="5" spans="2:16">
      <c r="B5" s="239"/>
      <c r="C5" s="239"/>
      <c r="D5" s="47">
        <f>EDATE(D4,12)-1</f>
        <v>45048</v>
      </c>
      <c r="E5" s="47">
        <f>EDATE(E4,12)-1</f>
        <v>45414</v>
      </c>
      <c r="F5" s="47">
        <f t="shared" ref="F5" si="0">EDATE(F4,12)-1</f>
        <v>45414</v>
      </c>
      <c r="G5" s="240"/>
      <c r="N5" s="125" t="s">
        <v>172</v>
      </c>
      <c r="O5" s="126">
        <v>0.125</v>
      </c>
      <c r="P5" s="127">
        <v>0.25</v>
      </c>
    </row>
    <row r="6" spans="2:16">
      <c r="B6" s="233" t="s">
        <v>165</v>
      </c>
      <c r="C6" s="233"/>
      <c r="D6" s="233"/>
      <c r="E6" s="233"/>
      <c r="F6" s="48"/>
      <c r="G6" s="49"/>
      <c r="N6" s="125" t="s">
        <v>174</v>
      </c>
      <c r="O6" s="128">
        <f>O12</f>
        <v>0.16724</v>
      </c>
      <c r="P6" s="127">
        <v>0.75</v>
      </c>
    </row>
    <row r="7" spans="2:16">
      <c r="B7" s="234" t="s">
        <v>239</v>
      </c>
      <c r="C7" s="235"/>
      <c r="D7" s="146">
        <v>0.3</v>
      </c>
      <c r="E7" s="146">
        <v>0.4</v>
      </c>
      <c r="F7" s="146">
        <v>0.3</v>
      </c>
      <c r="G7" s="145"/>
      <c r="N7" s="125"/>
      <c r="O7" s="125"/>
      <c r="P7" s="125"/>
    </row>
    <row r="8" spans="2:16">
      <c r="B8" s="234" t="s">
        <v>240</v>
      </c>
      <c r="C8" s="235"/>
      <c r="D8" s="165">
        <v>0</v>
      </c>
      <c r="E8" s="165">
        <v>0</v>
      </c>
      <c r="F8" s="148">
        <v>2.5000000000000001E-2</v>
      </c>
      <c r="G8" s="145"/>
      <c r="N8" s="125"/>
      <c r="O8" s="125" t="s">
        <v>176</v>
      </c>
      <c r="P8" s="129">
        <f>SUMPRODUCT(O5:O6,P5:P6)</f>
        <v>0.15667999999999999</v>
      </c>
    </row>
    <row r="9" spans="2:16">
      <c r="B9" s="227" t="s">
        <v>212</v>
      </c>
      <c r="C9" s="227"/>
      <c r="D9" s="50">
        <f>('Unsold units valuation'!$I$11/10^6)*D7*(1+D8)</f>
        <v>141.17103</v>
      </c>
      <c r="E9" s="50">
        <f>('Unsold units valuation'!$I$11/10^6)*E7*(1+E8)</f>
        <v>188.22804000000002</v>
      </c>
      <c r="F9" s="50">
        <f>('Unsold units valuation'!$I$11/10^6)*F7*(1+F8)</f>
        <v>144.70030574999998</v>
      </c>
      <c r="G9" s="51">
        <f>SUM(D9:F9)</f>
        <v>474.09937575000004</v>
      </c>
      <c r="I9" s="52"/>
      <c r="N9" s="125"/>
      <c r="O9" s="125"/>
      <c r="P9" s="125"/>
    </row>
    <row r="10" spans="2:16" ht="15" customHeight="1">
      <c r="B10" s="236" t="s">
        <v>241</v>
      </c>
      <c r="C10" s="237"/>
      <c r="D10" s="150">
        <v>0.35</v>
      </c>
      <c r="E10" s="151">
        <v>0.35</v>
      </c>
      <c r="F10" s="151">
        <v>0.3</v>
      </c>
      <c r="G10" s="51"/>
      <c r="I10" s="52"/>
      <c r="N10" s="125"/>
      <c r="O10" s="125"/>
      <c r="P10" s="125"/>
    </row>
    <row r="11" spans="2:16">
      <c r="B11" s="227" t="s">
        <v>213</v>
      </c>
      <c r="C11" s="227"/>
      <c r="D11" s="51">
        <f>(recievable!$H$9*D10)/10^6</f>
        <v>77.66152738400001</v>
      </c>
      <c r="E11" s="51">
        <f>(recievable!$H$9*E10)/10^6</f>
        <v>77.66152738400001</v>
      </c>
      <c r="F11" s="51">
        <f>(recievable!$H$9*F10)/10^6</f>
        <v>66.567023472000002</v>
      </c>
      <c r="G11" s="51">
        <f>SUM(D11:F11)</f>
        <v>221.89007824000004</v>
      </c>
      <c r="N11" s="125"/>
      <c r="O11" s="125" t="s">
        <v>193</v>
      </c>
      <c r="P11" s="129">
        <v>6.3500000000000001E-2</v>
      </c>
    </row>
    <row r="12" spans="2:16">
      <c r="B12" s="231"/>
      <c r="C12" s="231"/>
      <c r="D12" s="231"/>
      <c r="E12" s="231"/>
      <c r="F12" s="231"/>
      <c r="G12" s="231"/>
      <c r="I12" s="54"/>
      <c r="N12" s="125" t="s">
        <v>194</v>
      </c>
      <c r="O12" s="128">
        <f>P11+(O13*(O14-P11))</f>
        <v>0.16724</v>
      </c>
      <c r="P12" s="125"/>
    </row>
    <row r="13" spans="2:16">
      <c r="B13" s="227" t="s">
        <v>166</v>
      </c>
      <c r="C13" s="227"/>
      <c r="D13" s="51">
        <f>SUM(D9:D11)</f>
        <v>219.18255738400001</v>
      </c>
      <c r="E13" s="51">
        <f>SUM(E9:E11)</f>
        <v>266.239567384</v>
      </c>
      <c r="F13" s="51">
        <f>SUM(F9:F11)</f>
        <v>211.56732922200001</v>
      </c>
      <c r="G13" s="51">
        <f>SUM(D13:F13)</f>
        <v>696.98945399000002</v>
      </c>
      <c r="N13" s="125" t="s">
        <v>195</v>
      </c>
      <c r="O13" s="125">
        <v>1.56</v>
      </c>
      <c r="P13" s="125"/>
    </row>
    <row r="14" spans="2:16">
      <c r="B14" s="232"/>
      <c r="C14" s="232"/>
      <c r="D14" s="232"/>
      <c r="E14" s="232"/>
      <c r="F14" s="232"/>
      <c r="G14" s="232"/>
      <c r="N14" s="125" t="s">
        <v>196</v>
      </c>
      <c r="O14" s="128">
        <v>0.13</v>
      </c>
      <c r="P14" s="125"/>
    </row>
    <row r="15" spans="2:16">
      <c r="B15" s="233" t="s">
        <v>167</v>
      </c>
      <c r="C15" s="233"/>
      <c r="D15" s="233"/>
      <c r="E15" s="233"/>
      <c r="F15" s="233"/>
      <c r="G15" s="233"/>
      <c r="N15" s="125"/>
      <c r="O15" s="53"/>
    </row>
    <row r="16" spans="2:16">
      <c r="B16" s="219"/>
      <c r="C16" s="219"/>
      <c r="D16" s="219"/>
      <c r="E16" s="219"/>
      <c r="F16" s="219"/>
      <c r="G16" s="219"/>
    </row>
    <row r="17" spans="2:7">
      <c r="B17" s="228" t="s">
        <v>168</v>
      </c>
      <c r="C17" s="228"/>
      <c r="D17" s="228"/>
      <c r="E17" s="228"/>
      <c r="F17" s="228"/>
      <c r="G17" s="228"/>
    </row>
    <row r="18" spans="2:7">
      <c r="B18" s="225" t="s">
        <v>243</v>
      </c>
      <c r="C18" s="226"/>
      <c r="D18" s="151">
        <v>0.8</v>
      </c>
      <c r="E18" s="153">
        <v>0.2</v>
      </c>
      <c r="F18" s="149"/>
      <c r="G18" s="149"/>
    </row>
    <row r="19" spans="2:7">
      <c r="B19" s="234" t="s">
        <v>240</v>
      </c>
      <c r="C19" s="235"/>
      <c r="D19" s="162">
        <v>0</v>
      </c>
      <c r="E19" s="164">
        <v>0.02</v>
      </c>
      <c r="F19" s="149"/>
      <c r="G19" s="149"/>
    </row>
    <row r="20" spans="2:7">
      <c r="B20" s="227" t="s">
        <v>199</v>
      </c>
      <c r="C20" s="227"/>
      <c r="D20" s="84">
        <f>((outflow!G6)/10^6)*D18</f>
        <v>94.528576799999996</v>
      </c>
      <c r="E20" s="51">
        <f>((outflow!G6)/10^6)*E18*(1+E19)</f>
        <v>24.104787083999998</v>
      </c>
      <c r="F20" s="51">
        <v>0</v>
      </c>
      <c r="G20" s="51">
        <f>SUM(D20:F20)</f>
        <v>118.63336388399999</v>
      </c>
    </row>
    <row r="21" spans="2:7">
      <c r="B21" s="229"/>
      <c r="C21" s="230"/>
      <c r="D21" s="84"/>
      <c r="E21" s="51"/>
      <c r="F21" s="51"/>
      <c r="G21" s="51"/>
    </row>
    <row r="22" spans="2:7" s="156" customFormat="1">
      <c r="B22" s="225" t="s">
        <v>244</v>
      </c>
      <c r="C22" s="226"/>
      <c r="D22" s="151">
        <v>0.5</v>
      </c>
      <c r="E22" s="153">
        <v>0.5</v>
      </c>
      <c r="F22" s="51"/>
      <c r="G22" s="51"/>
    </row>
    <row r="23" spans="2:7">
      <c r="B23" s="225" t="s">
        <v>242</v>
      </c>
      <c r="C23" s="226"/>
      <c r="D23" s="162">
        <v>0</v>
      </c>
      <c r="E23" s="163">
        <v>0</v>
      </c>
      <c r="F23" s="51"/>
      <c r="G23" s="51"/>
    </row>
    <row r="24" spans="2:7" ht="16.149999999999999" customHeight="1">
      <c r="B24" s="227" t="s">
        <v>200</v>
      </c>
      <c r="C24" s="227"/>
      <c r="D24" s="51">
        <f>(outflow!G8/10^6)*D22</f>
        <v>4.0798610000000002</v>
      </c>
      <c r="E24" s="51">
        <f>(outflow!G8/10^6)*E22</f>
        <v>4.0798610000000002</v>
      </c>
      <c r="F24" s="51">
        <v>0</v>
      </c>
      <c r="G24" s="51">
        <f>SUM(D24:F24)</f>
        <v>8.1597220000000004</v>
      </c>
    </row>
    <row r="25" spans="2:7" ht="16.149999999999999" customHeight="1">
      <c r="B25" s="154"/>
      <c r="C25" s="155"/>
      <c r="D25" s="51"/>
      <c r="E25" s="51"/>
      <c r="F25" s="51"/>
      <c r="G25" s="51"/>
    </row>
    <row r="26" spans="2:7" ht="16.149999999999999" customHeight="1">
      <c r="B26" s="225" t="s">
        <v>245</v>
      </c>
      <c r="C26" s="226"/>
      <c r="D26" s="151">
        <v>0.5</v>
      </c>
      <c r="E26" s="153">
        <v>0.5</v>
      </c>
      <c r="F26" s="51"/>
      <c r="G26" s="51"/>
    </row>
    <row r="27" spans="2:7" ht="16.149999999999999" customHeight="1">
      <c r="B27" s="225" t="s">
        <v>242</v>
      </c>
      <c r="C27" s="226"/>
      <c r="D27" s="162">
        <v>0</v>
      </c>
      <c r="E27" s="163">
        <v>0</v>
      </c>
      <c r="F27" s="51"/>
      <c r="G27" s="51"/>
    </row>
    <row r="28" spans="2:7">
      <c r="B28" s="227" t="s">
        <v>161</v>
      </c>
      <c r="C28" s="227"/>
      <c r="D28" s="51">
        <f>(outflow!$G$10/10^6)*50%</f>
        <v>7.728694</v>
      </c>
      <c r="E28" s="51">
        <f>(outflow!$G$10/10^6)*50%</f>
        <v>7.728694</v>
      </c>
      <c r="F28" s="51"/>
      <c r="G28" s="51">
        <f>E28+D28</f>
        <v>15.457388</v>
      </c>
    </row>
    <row r="29" spans="2:7">
      <c r="B29" s="219"/>
      <c r="C29" s="219"/>
      <c r="D29" s="55"/>
      <c r="E29" s="55"/>
      <c r="F29" s="55"/>
      <c r="G29" s="51"/>
    </row>
    <row r="30" spans="2:7">
      <c r="B30" s="228" t="s">
        <v>169</v>
      </c>
      <c r="C30" s="228"/>
      <c r="D30" s="228"/>
      <c r="E30" s="228"/>
      <c r="F30" s="228"/>
      <c r="G30" s="228"/>
    </row>
    <row r="31" spans="2:7">
      <c r="B31" s="225" t="s">
        <v>246</v>
      </c>
      <c r="C31" s="226"/>
      <c r="D31" s="151">
        <v>0.7</v>
      </c>
      <c r="E31" s="151">
        <v>0.3</v>
      </c>
      <c r="F31" s="149"/>
      <c r="G31" s="149"/>
    </row>
    <row r="32" spans="2:7">
      <c r="B32" s="225" t="s">
        <v>242</v>
      </c>
      <c r="C32" s="226"/>
      <c r="D32" s="157">
        <v>0</v>
      </c>
      <c r="E32" s="157">
        <v>0</v>
      </c>
      <c r="F32" s="149"/>
      <c r="G32" s="149"/>
    </row>
    <row r="33" spans="2:22">
      <c r="B33" s="227" t="s">
        <v>223</v>
      </c>
      <c r="C33" s="221"/>
      <c r="D33" s="51">
        <f>(outflow!G7/10^6)*D31</f>
        <v>31.020087</v>
      </c>
      <c r="E33" s="51">
        <f>(outflow!G7/10^6)*E31</f>
        <v>13.294323</v>
      </c>
      <c r="F33" s="51">
        <v>0</v>
      </c>
      <c r="G33" s="51">
        <f>SUM(D33:F33)</f>
        <v>44.314410000000002</v>
      </c>
    </row>
    <row r="34" spans="2:22">
      <c r="B34" s="229"/>
      <c r="C34" s="230"/>
      <c r="D34" s="51"/>
      <c r="E34" s="51"/>
      <c r="F34" s="51"/>
      <c r="G34" s="51"/>
    </row>
    <row r="35" spans="2:22">
      <c r="B35" s="225" t="s">
        <v>246</v>
      </c>
      <c r="C35" s="226"/>
      <c r="D35" s="152">
        <v>0.3</v>
      </c>
      <c r="E35" s="152">
        <v>0.35</v>
      </c>
      <c r="F35" s="152">
        <v>0.35</v>
      </c>
      <c r="G35" s="51"/>
    </row>
    <row r="36" spans="2:22">
      <c r="B36" s="225" t="s">
        <v>242</v>
      </c>
      <c r="C36" s="226"/>
      <c r="D36" s="51">
        <v>0</v>
      </c>
      <c r="E36" s="51">
        <v>0</v>
      </c>
      <c r="F36" s="51">
        <v>0</v>
      </c>
      <c r="G36" s="51">
        <v>0</v>
      </c>
    </row>
    <row r="37" spans="2:22">
      <c r="B37" s="227" t="s">
        <v>224</v>
      </c>
      <c r="C37" s="221"/>
      <c r="D37" s="51">
        <f>(outflow!$G$9/10^6)*D35</f>
        <v>2.0903730239999998</v>
      </c>
      <c r="E37" s="51">
        <f>(outflow!$G$9/10^6)*E35</f>
        <v>2.4387685279999998</v>
      </c>
      <c r="F37" s="51">
        <f>(outflow!$G$9/10^6)*35%</f>
        <v>2.4387685279999998</v>
      </c>
      <c r="G37" s="51">
        <f>SUM(D37:F37)</f>
        <v>6.9679100799999993</v>
      </c>
      <c r="M37" s="56"/>
      <c r="N37" s="56"/>
    </row>
    <row r="38" spans="2:22">
      <c r="B38" s="55"/>
      <c r="C38" s="55"/>
      <c r="D38" s="55"/>
      <c r="E38" s="55"/>
      <c r="F38" s="55"/>
      <c r="G38" s="57"/>
      <c r="M38" s="56"/>
      <c r="N38" s="58"/>
    </row>
    <row r="39" spans="2:22">
      <c r="B39" s="218" t="s">
        <v>170</v>
      </c>
      <c r="C39" s="218"/>
      <c r="D39" s="51">
        <f>D37+D33+D28+D24+D20</f>
        <v>139.447591824</v>
      </c>
      <c r="E39" s="51">
        <f>E37+E33+E28+E24+E20</f>
        <v>51.646433611999996</v>
      </c>
      <c r="F39" s="51">
        <f>F37+F33+F28+F24+F20</f>
        <v>2.4387685279999998</v>
      </c>
      <c r="G39" s="51">
        <f>SUM(D39:F39)</f>
        <v>193.53279396399998</v>
      </c>
    </row>
    <row r="40" spans="2:22">
      <c r="B40" s="219"/>
      <c r="C40" s="219"/>
      <c r="D40" s="219"/>
      <c r="E40" s="219"/>
      <c r="F40" s="219"/>
      <c r="G40" s="57"/>
      <c r="I40" s="59"/>
      <c r="M40" s="60"/>
    </row>
    <row r="41" spans="2:22">
      <c r="B41" s="220" t="s">
        <v>171</v>
      </c>
      <c r="C41" s="220"/>
      <c r="D41" s="61">
        <f>D13-D39</f>
        <v>79.734965560000006</v>
      </c>
      <c r="E41" s="61">
        <f>E13-E39</f>
        <v>214.59313377199999</v>
      </c>
      <c r="F41" s="61">
        <f>F13-F39</f>
        <v>209.12856069400002</v>
      </c>
      <c r="G41" s="172">
        <f>SUM(D41:F41)</f>
        <v>503.45666002600001</v>
      </c>
      <c r="H41" s="174"/>
      <c r="I41" s="174"/>
      <c r="J41" s="174"/>
      <c r="K41" s="174"/>
      <c r="L41" s="174"/>
      <c r="M41" s="174"/>
      <c r="N41" s="174"/>
      <c r="O41" s="174"/>
      <c r="P41" s="174"/>
      <c r="Q41" s="174"/>
      <c r="R41" s="174"/>
      <c r="S41" s="174"/>
      <c r="T41" s="174"/>
      <c r="U41" s="174"/>
      <c r="V41" s="174"/>
    </row>
    <row r="42" spans="2:22">
      <c r="B42" s="221"/>
      <c r="C42" s="221"/>
      <c r="D42" s="221"/>
      <c r="E42" s="221"/>
      <c r="F42" s="55"/>
      <c r="G42" s="173"/>
      <c r="H42" s="174"/>
      <c r="I42" s="174"/>
      <c r="J42" s="174"/>
      <c r="K42" s="174"/>
      <c r="L42" s="174"/>
      <c r="M42" s="174"/>
      <c r="N42" s="175"/>
      <c r="O42" s="176"/>
      <c r="P42" s="174"/>
      <c r="Q42" s="174"/>
      <c r="R42" s="174"/>
      <c r="S42" s="174"/>
      <c r="T42" s="174"/>
      <c r="U42" s="174"/>
      <c r="V42" s="174"/>
    </row>
    <row r="43" spans="2:22">
      <c r="B43" s="220" t="s">
        <v>173</v>
      </c>
      <c r="C43" s="220"/>
      <c r="D43" s="62">
        <f>XNPV(D45,D41:F41,D5:F5)</f>
        <v>445.9146846024513</v>
      </c>
      <c r="E43" s="222"/>
      <c r="F43" s="222"/>
      <c r="G43" s="222"/>
      <c r="H43" s="177"/>
      <c r="I43" s="178"/>
      <c r="J43" s="174"/>
      <c r="K43" s="174"/>
      <c r="L43" s="174"/>
      <c r="M43" s="174"/>
      <c r="N43" s="179"/>
      <c r="O43" s="176"/>
      <c r="P43" s="174"/>
      <c r="Q43" s="174"/>
      <c r="R43" s="174"/>
      <c r="S43" s="174"/>
      <c r="T43" s="174"/>
      <c r="U43" s="174"/>
      <c r="V43" s="174"/>
    </row>
    <row r="44" spans="2:22">
      <c r="B44" s="223"/>
      <c r="C44" s="223"/>
      <c r="D44" s="223"/>
      <c r="E44" s="222"/>
      <c r="F44" s="222"/>
      <c r="G44" s="222"/>
      <c r="H44" s="174"/>
      <c r="I44" s="178"/>
      <c r="J44" s="174"/>
      <c r="K44" s="174"/>
      <c r="L44" s="174"/>
      <c r="M44" s="174"/>
      <c r="N44" s="174"/>
      <c r="O44" s="174"/>
      <c r="P44" s="174"/>
      <c r="Q44" s="174"/>
      <c r="R44" s="174"/>
      <c r="S44" s="174"/>
      <c r="T44" s="174"/>
      <c r="U44" s="174"/>
      <c r="V44" s="174"/>
    </row>
    <row r="45" spans="2:22">
      <c r="B45" s="224" t="s">
        <v>175</v>
      </c>
      <c r="C45" s="224"/>
      <c r="D45" s="63">
        <f>P8</f>
        <v>0.15667999999999999</v>
      </c>
      <c r="E45" s="222"/>
      <c r="F45" s="222"/>
      <c r="G45" s="222"/>
      <c r="H45" s="177"/>
      <c r="I45" s="174"/>
      <c r="J45" s="174"/>
      <c r="K45" s="174"/>
      <c r="L45" s="174"/>
      <c r="M45" s="174"/>
      <c r="N45" s="174"/>
      <c r="O45" s="180"/>
      <c r="P45" s="174"/>
      <c r="Q45" s="174"/>
      <c r="R45" s="174"/>
      <c r="S45" s="174"/>
      <c r="T45" s="174"/>
      <c r="U45" s="174"/>
      <c r="V45" s="174"/>
    </row>
    <row r="46" spans="2:22">
      <c r="B46" s="215"/>
      <c r="C46" s="215"/>
      <c r="D46" s="215"/>
      <c r="E46" s="215"/>
      <c r="F46" s="215"/>
      <c r="G46" s="216"/>
      <c r="H46" s="174"/>
      <c r="I46" s="174"/>
      <c r="J46" s="174"/>
      <c r="K46" s="174"/>
      <c r="L46" s="174"/>
      <c r="M46" s="174"/>
      <c r="N46" s="174"/>
      <c r="O46" s="174"/>
      <c r="P46" s="174"/>
      <c r="Q46" s="174"/>
      <c r="R46" s="174"/>
      <c r="S46" s="174"/>
      <c r="T46" s="174"/>
      <c r="U46" s="174"/>
      <c r="V46" s="174"/>
    </row>
    <row r="47" spans="2:22">
      <c r="B47" s="214" t="s">
        <v>177</v>
      </c>
      <c r="C47" s="214"/>
      <c r="D47" s="214"/>
      <c r="E47" s="214"/>
      <c r="F47" s="214"/>
      <c r="G47" s="214"/>
      <c r="H47" s="174"/>
      <c r="I47" s="174"/>
      <c r="J47" s="174"/>
      <c r="K47" s="174"/>
      <c r="L47" s="174"/>
      <c r="M47" s="174"/>
      <c r="N47" s="174"/>
      <c r="O47" s="174"/>
      <c r="P47" s="174"/>
      <c r="Q47" s="174"/>
      <c r="R47" s="174"/>
      <c r="S47" s="174"/>
      <c r="T47" s="174"/>
      <c r="U47" s="174"/>
      <c r="V47" s="174"/>
    </row>
    <row r="48" spans="2:22" ht="47.25" customHeight="1">
      <c r="B48" s="217" t="s">
        <v>260</v>
      </c>
      <c r="C48" s="217"/>
      <c r="D48" s="217"/>
      <c r="E48" s="217"/>
      <c r="F48" s="217"/>
      <c r="G48" s="217"/>
      <c r="H48" s="174"/>
      <c r="I48" s="174"/>
      <c r="J48" s="174"/>
      <c r="K48" s="174"/>
      <c r="L48" s="174"/>
      <c r="M48" s="174"/>
      <c r="N48" s="174"/>
      <c r="O48" s="180"/>
      <c r="P48" s="174"/>
      <c r="Q48" s="174"/>
      <c r="R48" s="174"/>
      <c r="S48" s="174"/>
      <c r="T48" s="174"/>
      <c r="U48" s="174"/>
      <c r="V48" s="174"/>
    </row>
    <row r="49" spans="2:22" ht="30" customHeight="1">
      <c r="B49" s="217" t="s">
        <v>261</v>
      </c>
      <c r="C49" s="217"/>
      <c r="D49" s="217"/>
      <c r="E49" s="217"/>
      <c r="F49" s="217"/>
      <c r="G49" s="217"/>
      <c r="H49" s="174"/>
      <c r="I49" s="174"/>
      <c r="J49" s="174"/>
      <c r="K49" s="174"/>
      <c r="L49" s="174"/>
      <c r="M49" s="174"/>
      <c r="N49" s="179"/>
      <c r="O49" s="174"/>
      <c r="P49" s="174"/>
      <c r="Q49" s="174"/>
      <c r="R49" s="174"/>
      <c r="S49" s="174"/>
      <c r="T49" s="174"/>
      <c r="U49" s="174"/>
      <c r="V49" s="174"/>
    </row>
    <row r="50" spans="2:22" ht="169.5" customHeight="1">
      <c r="B50" s="213" t="s">
        <v>264</v>
      </c>
      <c r="C50" s="213"/>
      <c r="D50" s="213"/>
      <c r="E50" s="213"/>
      <c r="F50" s="213"/>
      <c r="G50" s="213"/>
      <c r="H50" s="174"/>
      <c r="I50" s="174">
        <v>103</v>
      </c>
      <c r="J50" s="174">
        <v>48</v>
      </c>
      <c r="K50" s="174">
        <f>J50/I50</f>
        <v>0.46601941747572817</v>
      </c>
      <c r="L50" s="174"/>
      <c r="M50" s="174"/>
      <c r="N50" s="181"/>
      <c r="O50" s="174"/>
      <c r="P50" s="174"/>
      <c r="Q50" s="174"/>
      <c r="R50" s="174"/>
      <c r="S50" s="174"/>
      <c r="T50" s="174"/>
      <c r="U50" s="174"/>
      <c r="V50" s="174"/>
    </row>
    <row r="51" spans="2:22">
      <c r="B51" s="214" t="s">
        <v>262</v>
      </c>
      <c r="C51" s="214"/>
      <c r="D51" s="214"/>
      <c r="E51" s="214"/>
      <c r="F51" s="214"/>
      <c r="G51" s="214"/>
      <c r="H51" s="174"/>
      <c r="I51" s="174"/>
      <c r="J51" s="174"/>
      <c r="K51" s="174"/>
      <c r="L51" s="174"/>
      <c r="M51" s="174"/>
      <c r="N51" s="174"/>
      <c r="O51" s="174"/>
      <c r="P51" s="174"/>
      <c r="Q51" s="174"/>
      <c r="R51" s="174"/>
      <c r="S51" s="174"/>
      <c r="T51" s="174"/>
      <c r="U51" s="174"/>
      <c r="V51" s="174"/>
    </row>
    <row r="52" spans="2:22">
      <c r="H52" s="174"/>
      <c r="I52" s="174"/>
      <c r="J52" s="174"/>
      <c r="K52" s="174"/>
      <c r="L52" s="174"/>
      <c r="M52" s="174"/>
      <c r="N52" s="174"/>
      <c r="O52" s="174"/>
      <c r="P52" s="174"/>
      <c r="Q52" s="174"/>
      <c r="R52" s="174"/>
      <c r="S52" s="174"/>
      <c r="T52" s="174"/>
      <c r="U52" s="174"/>
      <c r="V52" s="174"/>
    </row>
    <row r="53" spans="2:22">
      <c r="H53" s="174"/>
      <c r="I53" s="174"/>
      <c r="J53" s="174"/>
      <c r="K53" s="174"/>
      <c r="L53" s="174"/>
      <c r="M53" s="174"/>
      <c r="N53" s="174"/>
      <c r="O53" s="174"/>
      <c r="P53" s="174"/>
      <c r="Q53" s="174"/>
      <c r="R53" s="174"/>
      <c r="S53" s="174"/>
      <c r="T53" s="174"/>
      <c r="U53" s="174"/>
      <c r="V53" s="174"/>
    </row>
    <row r="54" spans="2:22">
      <c r="H54" s="174"/>
      <c r="I54" s="174"/>
      <c r="J54" s="182"/>
      <c r="K54" s="182"/>
      <c r="L54" s="182"/>
      <c r="M54" s="182"/>
      <c r="N54" s="174"/>
      <c r="O54" s="174"/>
      <c r="P54" s="174"/>
      <c r="Q54" s="174"/>
      <c r="R54" s="174"/>
      <c r="S54" s="174"/>
      <c r="T54" s="174"/>
      <c r="U54" s="174"/>
      <c r="V54" s="174"/>
    </row>
    <row r="55" spans="2:22">
      <c r="H55" s="174"/>
      <c r="I55" s="174"/>
      <c r="J55" s="182"/>
      <c r="K55" s="183"/>
      <c r="L55" s="183"/>
      <c r="M55" s="183"/>
      <c r="N55" s="174"/>
      <c r="O55" s="174"/>
      <c r="P55" s="174"/>
      <c r="Q55" s="174"/>
      <c r="R55" s="174"/>
      <c r="S55" s="174"/>
      <c r="T55" s="174"/>
      <c r="U55" s="174"/>
      <c r="V55" s="174"/>
    </row>
    <row r="56" spans="2:22">
      <c r="H56" s="174"/>
      <c r="I56" s="174"/>
      <c r="J56" s="182"/>
      <c r="K56" s="183"/>
      <c r="L56" s="183"/>
      <c r="M56" s="183"/>
      <c r="N56" s="174"/>
      <c r="O56" s="174"/>
      <c r="P56" s="174"/>
      <c r="Q56" s="174"/>
      <c r="R56" s="174"/>
      <c r="S56" s="174"/>
      <c r="T56" s="174"/>
      <c r="U56" s="174"/>
      <c r="V56" s="174"/>
    </row>
    <row r="57" spans="2:22">
      <c r="H57" s="174"/>
      <c r="I57" s="174"/>
      <c r="J57" s="182"/>
      <c r="K57" s="182"/>
      <c r="L57" s="182"/>
      <c r="M57" s="182"/>
      <c r="N57" s="174"/>
      <c r="O57" s="174"/>
      <c r="P57" s="174"/>
      <c r="Q57" s="174"/>
      <c r="R57" s="174"/>
      <c r="S57" s="174"/>
      <c r="T57" s="174"/>
      <c r="U57" s="174"/>
      <c r="V57" s="174"/>
    </row>
    <row r="58" spans="2:22">
      <c r="H58" s="174"/>
      <c r="I58" s="174"/>
      <c r="J58" s="182"/>
      <c r="K58" s="184"/>
      <c r="L58" s="182"/>
      <c r="M58" s="182"/>
      <c r="N58" s="174"/>
      <c r="O58" s="174"/>
      <c r="P58" s="174"/>
      <c r="Q58" s="174"/>
      <c r="R58" s="174"/>
      <c r="S58" s="174"/>
      <c r="T58" s="174"/>
      <c r="U58" s="174"/>
      <c r="V58" s="174"/>
    </row>
    <row r="59" spans="2:22">
      <c r="H59" s="174"/>
      <c r="I59" s="174"/>
      <c r="J59" s="174"/>
      <c r="K59" s="174"/>
      <c r="L59" s="174"/>
      <c r="M59" s="174"/>
      <c r="N59" s="174"/>
      <c r="O59" s="174"/>
      <c r="P59" s="174"/>
      <c r="Q59" s="174"/>
      <c r="R59" s="174"/>
      <c r="S59" s="174"/>
      <c r="T59" s="174"/>
      <c r="U59" s="174"/>
      <c r="V59" s="174"/>
    </row>
    <row r="60" spans="2:22">
      <c r="H60" s="174"/>
      <c r="I60" s="174"/>
      <c r="J60" s="174"/>
      <c r="K60" s="174"/>
      <c r="L60" s="174"/>
      <c r="M60" s="174"/>
      <c r="N60" s="174"/>
      <c r="O60" s="174"/>
      <c r="P60" s="174"/>
      <c r="Q60" s="174"/>
      <c r="R60" s="174"/>
      <c r="S60" s="174"/>
      <c r="T60" s="174"/>
      <c r="U60" s="174"/>
      <c r="V60" s="174"/>
    </row>
    <row r="61" spans="2:22">
      <c r="H61" s="174"/>
      <c r="I61" s="174"/>
      <c r="J61" s="174"/>
      <c r="K61" s="174"/>
      <c r="L61" s="174"/>
      <c r="M61" s="174"/>
      <c r="N61" s="174"/>
      <c r="O61" s="174"/>
      <c r="P61" s="174"/>
      <c r="Q61" s="174"/>
      <c r="R61" s="174"/>
      <c r="S61" s="174"/>
      <c r="T61" s="174"/>
      <c r="U61" s="174"/>
      <c r="V61" s="174"/>
    </row>
    <row r="62" spans="2:22">
      <c r="H62" s="174"/>
      <c r="I62" s="174"/>
      <c r="J62" s="174"/>
      <c r="K62" s="174"/>
      <c r="L62" s="174"/>
      <c r="M62" s="174"/>
      <c r="N62" s="174"/>
      <c r="O62" s="174"/>
      <c r="P62" s="174"/>
      <c r="Q62" s="174"/>
      <c r="R62" s="174"/>
      <c r="S62" s="174"/>
      <c r="T62" s="174"/>
      <c r="U62" s="174"/>
      <c r="V62" s="174"/>
    </row>
    <row r="63" spans="2:22">
      <c r="H63" s="174"/>
      <c r="I63" s="174"/>
      <c r="J63" s="174"/>
      <c r="K63" s="174"/>
      <c r="L63" s="174"/>
      <c r="M63" s="174"/>
      <c r="N63" s="174"/>
      <c r="O63" s="174"/>
      <c r="P63" s="174"/>
      <c r="Q63" s="174"/>
      <c r="R63" s="174"/>
      <c r="S63" s="174"/>
      <c r="T63" s="174"/>
      <c r="U63" s="174"/>
      <c r="V63" s="174"/>
    </row>
    <row r="64" spans="2:22">
      <c r="H64" s="174"/>
      <c r="I64" s="174"/>
      <c r="J64" s="174"/>
      <c r="K64" s="174"/>
      <c r="L64" s="174"/>
      <c r="M64" s="174"/>
      <c r="N64" s="174"/>
      <c r="O64" s="174"/>
      <c r="P64" s="174"/>
      <c r="Q64" s="174"/>
      <c r="R64" s="174"/>
      <c r="S64" s="174"/>
      <c r="T64" s="174"/>
      <c r="U64" s="174"/>
      <c r="V64" s="174"/>
    </row>
    <row r="65" spans="8:22">
      <c r="H65" s="174"/>
      <c r="I65" s="174"/>
      <c r="J65" s="174"/>
      <c r="K65" s="174"/>
      <c r="L65" s="174"/>
      <c r="M65" s="174"/>
      <c r="N65" s="174"/>
      <c r="O65" s="174"/>
      <c r="P65" s="174"/>
      <c r="Q65" s="174"/>
      <c r="R65" s="174"/>
      <c r="S65" s="176"/>
      <c r="T65" s="176"/>
      <c r="U65" s="174"/>
      <c r="V65" s="174"/>
    </row>
    <row r="66" spans="8:22">
      <c r="H66" s="174"/>
      <c r="I66" s="174"/>
      <c r="J66" s="174"/>
      <c r="K66" s="174"/>
      <c r="L66" s="174"/>
      <c r="M66" s="174"/>
      <c r="N66" s="174"/>
      <c r="O66" s="174"/>
      <c r="P66" s="174"/>
      <c r="Q66" s="174"/>
      <c r="R66" s="174"/>
      <c r="S66" s="176"/>
      <c r="T66" s="175"/>
      <c r="U66" s="174"/>
      <c r="V66" s="174"/>
    </row>
    <row r="68" spans="8:22">
      <c r="O68" s="59"/>
      <c r="S68" s="60"/>
    </row>
    <row r="71" spans="8:22">
      <c r="O71" s="52">
        <f>J71/55</f>
        <v>0</v>
      </c>
    </row>
    <row r="72" spans="8:22">
      <c r="O72" s="52"/>
    </row>
    <row r="78" spans="8:22">
      <c r="Q78">
        <f>J71*(1-17.5%)</f>
        <v>0</v>
      </c>
      <c r="R78">
        <f>Q78*60%</f>
        <v>0</v>
      </c>
    </row>
  </sheetData>
  <mergeCells count="50">
    <mergeCell ref="B9:C9"/>
    <mergeCell ref="B10:C10"/>
    <mergeCell ref="B11:C11"/>
    <mergeCell ref="B2:G2"/>
    <mergeCell ref="B3:G3"/>
    <mergeCell ref="B4:B5"/>
    <mergeCell ref="C4:C5"/>
    <mergeCell ref="G4:G5"/>
    <mergeCell ref="B6:E6"/>
    <mergeCell ref="B7:C7"/>
    <mergeCell ref="B8:C8"/>
    <mergeCell ref="B16:G16"/>
    <mergeCell ref="B17:G17"/>
    <mergeCell ref="B20:C20"/>
    <mergeCell ref="B23:C23"/>
    <mergeCell ref="B12:G12"/>
    <mergeCell ref="B13:C13"/>
    <mergeCell ref="B14:G14"/>
    <mergeCell ref="B15:G15"/>
    <mergeCell ref="B18:C18"/>
    <mergeCell ref="B19:C19"/>
    <mergeCell ref="B21:C21"/>
    <mergeCell ref="B22:C22"/>
    <mergeCell ref="B36:C36"/>
    <mergeCell ref="B37:C37"/>
    <mergeCell ref="B24:C24"/>
    <mergeCell ref="B29:C29"/>
    <mergeCell ref="B30:G30"/>
    <mergeCell ref="B33:C33"/>
    <mergeCell ref="B28:C28"/>
    <mergeCell ref="B27:C27"/>
    <mergeCell ref="B26:C26"/>
    <mergeCell ref="B31:C31"/>
    <mergeCell ref="B32:C32"/>
    <mergeCell ref="B34:C34"/>
    <mergeCell ref="B35:C35"/>
    <mergeCell ref="B39:C39"/>
    <mergeCell ref="B40:F40"/>
    <mergeCell ref="B41:C41"/>
    <mergeCell ref="B42:E42"/>
    <mergeCell ref="B43:C43"/>
    <mergeCell ref="E43:G45"/>
    <mergeCell ref="B44:D44"/>
    <mergeCell ref="B45:C45"/>
    <mergeCell ref="B50:G50"/>
    <mergeCell ref="B51:G51"/>
    <mergeCell ref="B46:G46"/>
    <mergeCell ref="B47:G47"/>
    <mergeCell ref="B48:G48"/>
    <mergeCell ref="B49:G4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Over all </vt:lpstr>
      <vt:lpstr>Rehab</vt:lpstr>
      <vt:lpstr>Inventory</vt:lpstr>
      <vt:lpstr>recievable</vt:lpstr>
      <vt:lpstr>absorption rate</vt:lpstr>
      <vt:lpstr>Unsold units valuation</vt:lpstr>
      <vt:lpstr>outflow</vt:lpstr>
      <vt:lpstr>Inflow</vt:lpstr>
      <vt:lpstr>DCF</vt:lpstr>
      <vt:lpstr>Consolidated summary</vt:lpstr>
      <vt:lpstr>Rough</vt:lpstr>
      <vt:lpstr>Godrej Properties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2022-05-25T10:05:25Z</dcterms:modified>
</cp:coreProperties>
</file>