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In Progress Files\Zaid Ebne Mairaj\DELHI\CAPITAL COST INVESTMENT SAMSUNG\RK WORKING\"/>
    </mc:Choice>
  </mc:AlternateContent>
  <bookViews>
    <workbookView xWindow="0" yWindow="0" windowWidth="8235" windowHeight="7335" firstSheet="6" activeTab="11"/>
  </bookViews>
  <sheets>
    <sheet name="REQUIREMENT DETAILS MAILED BY U" sheetId="6" r:id="rId1"/>
    <sheet name="questionaire sent" sheetId="10" r:id="rId2"/>
    <sheet name="physical verificaion of machine" sheetId="11" r:id="rId3"/>
    <sheet name="CA certificates" sheetId="1" r:id="rId4"/>
    <sheet name="QUARTERWISE WORKING" sheetId="14" r:id="rId5"/>
    <sheet name="As per FAR" sheetId="7" r:id="rId6"/>
    <sheet name="YEARWISE COST INCURRED" sheetId="8" r:id="rId7"/>
    <sheet name="Capacity" sheetId="2" r:id="rId8"/>
    <sheet name="constractual work" sheetId="9" r:id="rId9"/>
    <sheet name="rate bifucation" sheetId="21" r:id="rId10"/>
    <sheet name="Sheet2" sheetId="15" r:id="rId11"/>
    <sheet name="Building Constrcution Sheet" sheetId="5" r:id="rId12"/>
    <sheet name="Sheet3" sheetId="22" r:id="rId13"/>
    <sheet name="Construcrion amount" sheetId="4" r:id="rId14"/>
    <sheet name="DPR INVESTMENT" sheetId="12" r:id="rId15"/>
    <sheet name="Sheet1" sheetId="13" r:id="rId16"/>
    <sheet name="hhp zone A" sheetId="16" r:id="rId17"/>
    <sheet name="hhp zone B" sheetId="17" r:id="rId18"/>
    <sheet name="office unit" sheetId="18" r:id="rId19"/>
    <sheet name="utility" sheetId="19" r:id="rId20"/>
    <sheet name="ro plant basement" sheetId="20" r:id="rId2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0" i="1" l="1"/>
  <c r="Q18" i="14"/>
  <c r="L36" i="5"/>
  <c r="K17" i="8"/>
  <c r="K36" i="5"/>
  <c r="K40" i="8" l="1"/>
  <c r="A10" i="8"/>
  <c r="K38" i="8"/>
  <c r="K30" i="8"/>
  <c r="L26" i="8"/>
  <c r="D71" i="14"/>
  <c r="D43" i="14"/>
  <c r="D22" i="14"/>
  <c r="D15" i="14"/>
  <c r="D8" i="14"/>
  <c r="L25" i="8"/>
  <c r="K20" i="8"/>
  <c r="K21" i="8" s="1"/>
  <c r="E43" i="14"/>
  <c r="E15" i="14"/>
  <c r="R9" i="14"/>
  <c r="R10" i="14"/>
  <c r="E22" i="14" s="1"/>
  <c r="R11" i="14"/>
  <c r="E29" i="14" s="1"/>
  <c r="R12" i="14"/>
  <c r="E36" i="14" s="1"/>
  <c r="R13" i="14"/>
  <c r="R14" i="14"/>
  <c r="R15" i="14"/>
  <c r="E57" i="14" s="1"/>
  <c r="R16" i="14"/>
  <c r="R17" i="14"/>
  <c r="E71" i="14" s="1"/>
  <c r="R8" i="14"/>
  <c r="E8" i="14" s="1"/>
  <c r="S11" i="1"/>
  <c r="S12" i="1"/>
  <c r="S13" i="1"/>
  <c r="S14" i="1"/>
  <c r="S15" i="1"/>
  <c r="S16" i="1"/>
  <c r="S17" i="1"/>
  <c r="S18" i="1"/>
  <c r="S19" i="1"/>
  <c r="S10" i="1"/>
  <c r="S9" i="1"/>
  <c r="K9" i="5"/>
  <c r="C51" i="21"/>
  <c r="C48" i="21"/>
  <c r="C49" i="21"/>
  <c r="C50" i="21"/>
  <c r="C87" i="21"/>
  <c r="C89" i="21" s="1"/>
  <c r="C78" i="21" l="1"/>
  <c r="C79" i="21" s="1"/>
  <c r="C80" i="21" s="1"/>
  <c r="C82" i="21" s="1"/>
  <c r="C52" i="21" s="1"/>
  <c r="C77" i="21"/>
  <c r="K15" i="5"/>
  <c r="K21" i="5"/>
  <c r="K28" i="5"/>
  <c r="C72" i="21"/>
  <c r="C70" i="21"/>
  <c r="C44" i="21"/>
  <c r="C45" i="21"/>
  <c r="C46" i="21"/>
  <c r="C43" i="21"/>
  <c r="C66" i="21"/>
  <c r="C67" i="21" s="1"/>
  <c r="J9" i="5" l="1"/>
  <c r="K4" i="5"/>
  <c r="I33" i="5"/>
  <c r="K33" i="5" s="1"/>
  <c r="K32" i="5"/>
  <c r="I32" i="5"/>
  <c r="I31" i="5"/>
  <c r="K31" i="5" s="1"/>
  <c r="K30" i="5"/>
  <c r="I30" i="5"/>
  <c r="I29" i="5"/>
  <c r="K29" i="5" s="1"/>
  <c r="H28" i="5"/>
  <c r="I28" i="5" s="1"/>
  <c r="J21" i="5"/>
  <c r="H21" i="5"/>
  <c r="I21" i="5" s="1"/>
  <c r="H15" i="5"/>
  <c r="I15" i="5" s="1"/>
  <c r="H9" i="5"/>
  <c r="I9" i="5" s="1"/>
  <c r="H4" i="5"/>
  <c r="H34" i="5" s="1"/>
  <c r="H51" i="21"/>
  <c r="H52" i="21" s="1"/>
  <c r="C54" i="21"/>
  <c r="H40" i="21"/>
  <c r="C40" i="21"/>
  <c r="C23" i="21"/>
  <c r="C25" i="21" s="1"/>
  <c r="M22" i="21"/>
  <c r="M27" i="21" s="1"/>
  <c r="H22" i="21"/>
  <c r="H27" i="21" s="1"/>
  <c r="M11" i="21"/>
  <c r="H11" i="21"/>
  <c r="C11" i="21"/>
  <c r="H56" i="21" l="1"/>
  <c r="C56" i="21"/>
  <c r="H54" i="21"/>
  <c r="M23" i="21"/>
  <c r="C28" i="21"/>
  <c r="C24" i="21"/>
  <c r="J15" i="5"/>
  <c r="J28" i="5"/>
  <c r="K34" i="5"/>
  <c r="I4" i="5"/>
  <c r="I34" i="5" s="1"/>
  <c r="H26" i="21"/>
  <c r="H25" i="21"/>
  <c r="M26" i="21"/>
  <c r="H24" i="21"/>
  <c r="M25" i="21"/>
  <c r="C27" i="21"/>
  <c r="C53" i="21"/>
  <c r="C55" i="21"/>
  <c r="H23" i="21"/>
  <c r="M24" i="21"/>
  <c r="C26" i="21"/>
  <c r="H53" i="21"/>
  <c r="H55" i="21"/>
  <c r="L34" i="5" l="1"/>
  <c r="K35" i="5"/>
  <c r="C58" i="21"/>
  <c r="H58" i="21"/>
  <c r="M29" i="21"/>
  <c r="H29" i="21"/>
  <c r="C30" i="21"/>
  <c r="J4" i="5"/>
  <c r="K165" i="20" l="1"/>
  <c r="K166" i="20" s="1"/>
  <c r="K167" i="20" s="1"/>
  <c r="J165" i="20"/>
  <c r="J166" i="20" s="1"/>
  <c r="I163" i="20"/>
  <c r="I162" i="20"/>
  <c r="I161" i="20"/>
  <c r="I160" i="20"/>
  <c r="I159" i="20"/>
  <c r="I158" i="20"/>
  <c r="I157" i="20"/>
  <c r="I156" i="20"/>
  <c r="I155" i="20"/>
  <c r="I154" i="20"/>
  <c r="I153" i="20"/>
  <c r="I152" i="20"/>
  <c r="I151" i="20"/>
  <c r="I150" i="20"/>
  <c r="I149" i="20"/>
  <c r="I148" i="20"/>
  <c r="I147" i="20"/>
  <c r="I146" i="20"/>
  <c r="I145" i="20"/>
  <c r="I144" i="20"/>
  <c r="I143" i="20"/>
  <c r="I142" i="20"/>
  <c r="I141" i="20"/>
  <c r="I140" i="20"/>
  <c r="I139" i="20"/>
  <c r="I138" i="20"/>
  <c r="I137" i="20"/>
  <c r="I136" i="20"/>
  <c r="I135" i="20"/>
  <c r="I134" i="20"/>
  <c r="I133" i="20"/>
  <c r="I132" i="20"/>
  <c r="I131" i="20"/>
  <c r="I130" i="20"/>
  <c r="I129" i="20"/>
  <c r="I128" i="20"/>
  <c r="I127" i="20"/>
  <c r="I126" i="20"/>
  <c r="I125" i="20"/>
  <c r="I124" i="20"/>
  <c r="I123" i="20"/>
  <c r="I122" i="20"/>
  <c r="I121" i="20"/>
  <c r="I120" i="20"/>
  <c r="I119" i="20"/>
  <c r="I118" i="20"/>
  <c r="I117" i="20"/>
  <c r="I116" i="20"/>
  <c r="I115" i="20"/>
  <c r="I114" i="20"/>
  <c r="I113" i="20"/>
  <c r="I112" i="20"/>
  <c r="I111" i="20"/>
  <c r="I110" i="20"/>
  <c r="I109" i="20"/>
  <c r="I108" i="20"/>
  <c r="I53" i="20"/>
  <c r="J52" i="20"/>
  <c r="G52" i="20"/>
  <c r="I52" i="20" s="1"/>
  <c r="E52" i="20"/>
  <c r="H52" i="20" s="1"/>
  <c r="J51" i="20"/>
  <c r="I51" i="20" s="1"/>
  <c r="H51" i="20"/>
  <c r="G51" i="20"/>
  <c r="E51" i="20"/>
  <c r="K51" i="20" s="1"/>
  <c r="J50" i="20"/>
  <c r="G50" i="20"/>
  <c r="I50" i="20" s="1"/>
  <c r="E50" i="20"/>
  <c r="H50" i="20" s="1"/>
  <c r="J49" i="20"/>
  <c r="I49" i="20" s="1"/>
  <c r="H49" i="20"/>
  <c r="G49" i="20"/>
  <c r="E49" i="20"/>
  <c r="K49" i="20" s="1"/>
  <c r="J48" i="20"/>
  <c r="G48" i="20"/>
  <c r="I48" i="20" s="1"/>
  <c r="E48" i="20"/>
  <c r="H48" i="20" s="1"/>
  <c r="J47" i="20"/>
  <c r="I47" i="20" s="1"/>
  <c r="H47" i="20"/>
  <c r="G47" i="20"/>
  <c r="E47" i="20"/>
  <c r="K47" i="20" s="1"/>
  <c r="J46" i="20"/>
  <c r="G46" i="20"/>
  <c r="I46" i="20" s="1"/>
  <c r="E46" i="20"/>
  <c r="H46" i="20" s="1"/>
  <c r="I44" i="20"/>
  <c r="K43" i="20"/>
  <c r="J43" i="20"/>
  <c r="I43" i="20"/>
  <c r="G43" i="20"/>
  <c r="E43" i="20"/>
  <c r="H43" i="20" s="1"/>
  <c r="J42" i="20"/>
  <c r="H42" i="20"/>
  <c r="G42" i="20"/>
  <c r="I42" i="20" s="1"/>
  <c r="E42" i="20"/>
  <c r="J41" i="20"/>
  <c r="I41" i="20"/>
  <c r="G41" i="20"/>
  <c r="E41" i="20"/>
  <c r="H41" i="20" s="1"/>
  <c r="J40" i="20"/>
  <c r="H40" i="20"/>
  <c r="G40" i="20"/>
  <c r="I40" i="20" s="1"/>
  <c r="E40" i="20"/>
  <c r="J39" i="20"/>
  <c r="I39" i="20"/>
  <c r="G39" i="20"/>
  <c r="E39" i="20"/>
  <c r="H39" i="20" s="1"/>
  <c r="J38" i="20"/>
  <c r="H38" i="20"/>
  <c r="G38" i="20"/>
  <c r="I38" i="20" s="1"/>
  <c r="E38" i="20"/>
  <c r="J37" i="20"/>
  <c r="I37" i="20"/>
  <c r="G37" i="20"/>
  <c r="E37" i="20"/>
  <c r="H37" i="20" s="1"/>
  <c r="I36" i="20"/>
  <c r="J34" i="20"/>
  <c r="I34" i="20"/>
  <c r="H34" i="20"/>
  <c r="G34" i="20"/>
  <c r="E34" i="20"/>
  <c r="K34" i="20" s="1"/>
  <c r="J31" i="20"/>
  <c r="G31" i="20"/>
  <c r="I31" i="20" s="1"/>
  <c r="J28" i="20"/>
  <c r="I28" i="20"/>
  <c r="G28" i="20"/>
  <c r="J27" i="20"/>
  <c r="G27" i="20"/>
  <c r="I27" i="20" s="1"/>
  <c r="E27" i="20"/>
  <c r="H27" i="20" s="1"/>
  <c r="J26" i="20"/>
  <c r="I26" i="20"/>
  <c r="H26" i="20"/>
  <c r="G26" i="20"/>
  <c r="E26" i="20"/>
  <c r="K26" i="20" s="1"/>
  <c r="J25" i="20"/>
  <c r="G25" i="20"/>
  <c r="I25" i="20" s="1"/>
  <c r="E25" i="20"/>
  <c r="H25" i="20" s="1"/>
  <c r="J24" i="20"/>
  <c r="I24" i="20"/>
  <c r="G24" i="20"/>
  <c r="P15" i="20"/>
  <c r="P14" i="20"/>
  <c r="I14" i="20"/>
  <c r="P13" i="20"/>
  <c r="J13" i="20"/>
  <c r="G13" i="20"/>
  <c r="I13" i="20" s="1"/>
  <c r="E13" i="20"/>
  <c r="H13" i="20" s="1"/>
  <c r="P12" i="20"/>
  <c r="J12" i="20"/>
  <c r="I12" i="20"/>
  <c r="G12" i="20"/>
  <c r="E12" i="20"/>
  <c r="H12" i="20" s="1"/>
  <c r="P11" i="20"/>
  <c r="J11" i="20"/>
  <c r="I11" i="20"/>
  <c r="G11" i="20"/>
  <c r="P10" i="20"/>
  <c r="E31" i="20" s="1"/>
  <c r="J10" i="20"/>
  <c r="H10" i="20"/>
  <c r="G10" i="20"/>
  <c r="I10" i="20" s="1"/>
  <c r="E10" i="20"/>
  <c r="P9" i="20"/>
  <c r="E28" i="20" s="1"/>
  <c r="J9" i="20"/>
  <c r="G9" i="20"/>
  <c r="I9" i="20" s="1"/>
  <c r="E9" i="20"/>
  <c r="H9" i="20" s="1"/>
  <c r="P8" i="20"/>
  <c r="J8" i="20"/>
  <c r="I8" i="20"/>
  <c r="G8" i="20"/>
  <c r="E8" i="20"/>
  <c r="H8" i="20" s="1"/>
  <c r="P7" i="20"/>
  <c r="E7" i="20" s="1"/>
  <c r="J7" i="20"/>
  <c r="I7" i="20"/>
  <c r="G7" i="20"/>
  <c r="I6" i="20"/>
  <c r="K153" i="19"/>
  <c r="J153" i="19"/>
  <c r="J154" i="19" s="1"/>
  <c r="I151" i="19"/>
  <c r="I150" i="19"/>
  <c r="I149" i="19"/>
  <c r="I148" i="19"/>
  <c r="I147" i="19"/>
  <c r="I146" i="19"/>
  <c r="I145" i="19"/>
  <c r="I144" i="19"/>
  <c r="I143" i="19"/>
  <c r="I142" i="19"/>
  <c r="I141" i="19"/>
  <c r="I140" i="19"/>
  <c r="I139" i="19"/>
  <c r="I138" i="19"/>
  <c r="I137" i="19"/>
  <c r="I136" i="19"/>
  <c r="I135" i="19"/>
  <c r="I134" i="19"/>
  <c r="I133" i="19"/>
  <c r="I132" i="19"/>
  <c r="I131" i="19"/>
  <c r="I130" i="19"/>
  <c r="I129" i="19"/>
  <c r="I128" i="19"/>
  <c r="I127" i="19"/>
  <c r="I126" i="19"/>
  <c r="I125" i="19"/>
  <c r="I124" i="19"/>
  <c r="I123" i="19"/>
  <c r="I122" i="19"/>
  <c r="I121" i="19"/>
  <c r="I120" i="19"/>
  <c r="I119" i="19"/>
  <c r="I118" i="19"/>
  <c r="I117" i="19"/>
  <c r="I116" i="19"/>
  <c r="I115" i="19"/>
  <c r="I114" i="19"/>
  <c r="I113" i="19"/>
  <c r="I112" i="19"/>
  <c r="I111" i="19"/>
  <c r="I110" i="19"/>
  <c r="I109" i="19"/>
  <c r="I108" i="19"/>
  <c r="I107" i="19"/>
  <c r="I106" i="19"/>
  <c r="I105" i="19"/>
  <c r="I104" i="19"/>
  <c r="I103" i="19"/>
  <c r="I102" i="19"/>
  <c r="I101" i="19"/>
  <c r="I100" i="19"/>
  <c r="I99" i="19"/>
  <c r="I98" i="19"/>
  <c r="I97" i="19"/>
  <c r="I96" i="19"/>
  <c r="G91" i="19"/>
  <c r="G90" i="19"/>
  <c r="G89" i="19"/>
  <c r="G88" i="19"/>
  <c r="G87" i="19"/>
  <c r="G86" i="19"/>
  <c r="G85" i="19"/>
  <c r="G84" i="19"/>
  <c r="G83" i="19"/>
  <c r="G82" i="19"/>
  <c r="G81" i="19"/>
  <c r="G80" i="19"/>
  <c r="G79" i="19"/>
  <c r="G78" i="19"/>
  <c r="G77" i="19"/>
  <c r="G76" i="19"/>
  <c r="G75" i="19"/>
  <c r="G74" i="19"/>
  <c r="G73" i="19"/>
  <c r="G72" i="19"/>
  <c r="G71" i="19"/>
  <c r="G70" i="19"/>
  <c r="K69" i="19"/>
  <c r="G69" i="19"/>
  <c r="G68" i="19"/>
  <c r="G67" i="19"/>
  <c r="G66" i="19"/>
  <c r="G65" i="19"/>
  <c r="G64" i="19"/>
  <c r="G63" i="19"/>
  <c r="G62" i="19"/>
  <c r="G61" i="19"/>
  <c r="G58" i="19"/>
  <c r="G57" i="19"/>
  <c r="G56" i="19"/>
  <c r="G55" i="19"/>
  <c r="G54" i="19"/>
  <c r="G53" i="19"/>
  <c r="G52" i="19"/>
  <c r="I50" i="19"/>
  <c r="G49" i="19"/>
  <c r="G48" i="19"/>
  <c r="G47" i="19"/>
  <c r="G46" i="19"/>
  <c r="G45" i="19"/>
  <c r="G44" i="19"/>
  <c r="G43" i="19"/>
  <c r="I41" i="19"/>
  <c r="G40" i="19"/>
  <c r="G39" i="19"/>
  <c r="G38" i="19"/>
  <c r="G37" i="19"/>
  <c r="G36" i="19"/>
  <c r="G35" i="19"/>
  <c r="G34" i="19"/>
  <c r="I32" i="19"/>
  <c r="G31" i="19"/>
  <c r="G30" i="19"/>
  <c r="G29" i="19"/>
  <c r="G28" i="19"/>
  <c r="G27" i="19"/>
  <c r="G26" i="19"/>
  <c r="G25" i="19"/>
  <c r="I24" i="19"/>
  <c r="G22" i="19"/>
  <c r="G21" i="19"/>
  <c r="G20" i="19"/>
  <c r="G19" i="19"/>
  <c r="G18" i="19"/>
  <c r="G17" i="19"/>
  <c r="G16" i="19"/>
  <c r="P15" i="19"/>
  <c r="P14" i="19"/>
  <c r="I14" i="19"/>
  <c r="P13" i="19"/>
  <c r="G13" i="19"/>
  <c r="E13" i="19"/>
  <c r="H13" i="19" s="1"/>
  <c r="J13" i="19" s="1"/>
  <c r="P12" i="19"/>
  <c r="E69" i="19" s="1"/>
  <c r="H69" i="19" s="1"/>
  <c r="G12" i="19"/>
  <c r="P11" i="19"/>
  <c r="E27" i="19" s="1"/>
  <c r="G11" i="19"/>
  <c r="P10" i="19"/>
  <c r="E22" i="19" s="1"/>
  <c r="G10" i="19"/>
  <c r="P9" i="19"/>
  <c r="G9" i="19"/>
  <c r="P8" i="19"/>
  <c r="G8" i="19"/>
  <c r="E8" i="19"/>
  <c r="H8" i="19" s="1"/>
  <c r="J8" i="19" s="1"/>
  <c r="I8" i="19" s="1"/>
  <c r="P7" i="19"/>
  <c r="E16" i="19" s="1"/>
  <c r="H7" i="19"/>
  <c r="J7" i="19" s="1"/>
  <c r="G7" i="19"/>
  <c r="E7" i="19"/>
  <c r="K7" i="19" s="1"/>
  <c r="I6" i="19"/>
  <c r="K133" i="18"/>
  <c r="J133" i="18"/>
  <c r="J134" i="18" s="1"/>
  <c r="I131" i="18"/>
  <c r="I130" i="18"/>
  <c r="I129" i="18"/>
  <c r="I128" i="18"/>
  <c r="I127" i="18"/>
  <c r="I126" i="18"/>
  <c r="I125" i="18"/>
  <c r="I124" i="18"/>
  <c r="I123" i="18"/>
  <c r="I122" i="18"/>
  <c r="I121" i="18"/>
  <c r="I120" i="18"/>
  <c r="I119" i="18"/>
  <c r="I118" i="18"/>
  <c r="I117" i="18"/>
  <c r="I116" i="18"/>
  <c r="I115" i="18"/>
  <c r="I114" i="18"/>
  <c r="I113" i="18"/>
  <c r="I112" i="18"/>
  <c r="I111" i="18"/>
  <c r="I110" i="18"/>
  <c r="I109" i="18"/>
  <c r="I108" i="18"/>
  <c r="I107" i="18"/>
  <c r="I106" i="18"/>
  <c r="I105" i="18"/>
  <c r="I104" i="18"/>
  <c r="I103" i="18"/>
  <c r="I102" i="18"/>
  <c r="I101" i="18"/>
  <c r="I100" i="18"/>
  <c r="I99" i="18"/>
  <c r="I98" i="18"/>
  <c r="I97" i="18"/>
  <c r="I96" i="18"/>
  <c r="I95" i="18"/>
  <c r="I94" i="18"/>
  <c r="I93" i="18"/>
  <c r="I92" i="18"/>
  <c r="I91" i="18"/>
  <c r="I90" i="18"/>
  <c r="I89" i="18"/>
  <c r="I88" i="18"/>
  <c r="I87" i="18"/>
  <c r="I86" i="18"/>
  <c r="I85" i="18"/>
  <c r="I84" i="18"/>
  <c r="I83" i="18"/>
  <c r="I82" i="18"/>
  <c r="I81" i="18"/>
  <c r="I80" i="18"/>
  <c r="I79" i="18"/>
  <c r="I77" i="18"/>
  <c r="G71" i="18"/>
  <c r="E71" i="18"/>
  <c r="H71" i="18" s="1"/>
  <c r="L70" i="18"/>
  <c r="I70" i="18"/>
  <c r="L68" i="18"/>
  <c r="J68" i="18"/>
  <c r="I68" i="18"/>
  <c r="G68" i="18"/>
  <c r="J67" i="18"/>
  <c r="G67" i="18"/>
  <c r="I67" i="18" s="1"/>
  <c r="E67" i="18"/>
  <c r="H67" i="18" s="1"/>
  <c r="J66" i="18"/>
  <c r="I66" i="18" s="1"/>
  <c r="G66" i="18"/>
  <c r="J65" i="18"/>
  <c r="G65" i="18"/>
  <c r="I65" i="18" s="1"/>
  <c r="E65" i="18"/>
  <c r="H65" i="18" s="1"/>
  <c r="J64" i="18"/>
  <c r="I64" i="18" s="1"/>
  <c r="G64" i="18"/>
  <c r="J63" i="18"/>
  <c r="G63" i="18"/>
  <c r="I63" i="18" s="1"/>
  <c r="E63" i="18"/>
  <c r="H63" i="18" s="1"/>
  <c r="J62" i="18"/>
  <c r="I62" i="18" s="1"/>
  <c r="G62" i="18"/>
  <c r="J61" i="18"/>
  <c r="G61" i="18"/>
  <c r="I61" i="18" s="1"/>
  <c r="E61" i="18"/>
  <c r="H61" i="18" s="1"/>
  <c r="J59" i="18"/>
  <c r="I59" i="18" s="1"/>
  <c r="G59" i="18"/>
  <c r="J58" i="18"/>
  <c r="G58" i="18"/>
  <c r="I58" i="18" s="1"/>
  <c r="E58" i="18"/>
  <c r="H58" i="18" s="1"/>
  <c r="J57" i="18"/>
  <c r="I57" i="18" s="1"/>
  <c r="G57" i="18"/>
  <c r="J56" i="18"/>
  <c r="G56" i="18"/>
  <c r="I56" i="18" s="1"/>
  <c r="J55" i="18"/>
  <c r="I55" i="18" s="1"/>
  <c r="G55" i="18"/>
  <c r="J54" i="18"/>
  <c r="G54" i="18"/>
  <c r="I54" i="18" s="1"/>
  <c r="E54" i="18"/>
  <c r="H54" i="18" s="1"/>
  <c r="J53" i="18"/>
  <c r="I53" i="18" s="1"/>
  <c r="G53" i="18"/>
  <c r="J52" i="18"/>
  <c r="G52" i="18"/>
  <c r="I52" i="18" s="1"/>
  <c r="E52" i="18"/>
  <c r="H52" i="18" s="1"/>
  <c r="J50" i="18"/>
  <c r="I50" i="18"/>
  <c r="J49" i="18"/>
  <c r="G49" i="18"/>
  <c r="I49" i="18" s="1"/>
  <c r="E49" i="18"/>
  <c r="H49" i="18" s="1"/>
  <c r="J48" i="18"/>
  <c r="G48" i="18"/>
  <c r="I48" i="18" s="1"/>
  <c r="J47" i="18"/>
  <c r="G47" i="18"/>
  <c r="I47" i="18" s="1"/>
  <c r="J46" i="18"/>
  <c r="G46" i="18"/>
  <c r="I46" i="18" s="1"/>
  <c r="J45" i="18"/>
  <c r="G45" i="18"/>
  <c r="I45" i="18" s="1"/>
  <c r="E45" i="18"/>
  <c r="H45" i="18" s="1"/>
  <c r="J44" i="18"/>
  <c r="G44" i="18"/>
  <c r="I44" i="18" s="1"/>
  <c r="J43" i="18"/>
  <c r="G43" i="18"/>
  <c r="I43" i="18" s="1"/>
  <c r="E43" i="18"/>
  <c r="H43" i="18" s="1"/>
  <c r="J41" i="18"/>
  <c r="I41" i="18"/>
  <c r="J40" i="18"/>
  <c r="G40" i="18"/>
  <c r="I40" i="18" s="1"/>
  <c r="E40" i="18"/>
  <c r="H40" i="18" s="1"/>
  <c r="J39" i="18"/>
  <c r="G39" i="18"/>
  <c r="I39" i="18" s="1"/>
  <c r="J38" i="18"/>
  <c r="G38" i="18"/>
  <c r="I38" i="18" s="1"/>
  <c r="J37" i="18"/>
  <c r="G37" i="18"/>
  <c r="I37" i="18" s="1"/>
  <c r="J36" i="18"/>
  <c r="G36" i="18"/>
  <c r="I36" i="18" s="1"/>
  <c r="E36" i="18"/>
  <c r="H36" i="18" s="1"/>
  <c r="J35" i="18"/>
  <c r="G35" i="18"/>
  <c r="I35" i="18" s="1"/>
  <c r="J34" i="18"/>
  <c r="G34" i="18"/>
  <c r="I34" i="18" s="1"/>
  <c r="E34" i="18"/>
  <c r="H34" i="18" s="1"/>
  <c r="J32" i="18"/>
  <c r="I32" i="18" s="1"/>
  <c r="J31" i="18"/>
  <c r="G31" i="18"/>
  <c r="I31" i="18" s="1"/>
  <c r="E31" i="18"/>
  <c r="H31" i="18" s="1"/>
  <c r="J30" i="18"/>
  <c r="G30" i="18"/>
  <c r="I30" i="18" s="1"/>
  <c r="J29" i="18"/>
  <c r="G29" i="18"/>
  <c r="I29" i="18" s="1"/>
  <c r="J28" i="18"/>
  <c r="G28" i="18"/>
  <c r="I28" i="18" s="1"/>
  <c r="J27" i="18"/>
  <c r="G27" i="18"/>
  <c r="I27" i="18" s="1"/>
  <c r="E27" i="18"/>
  <c r="H27" i="18" s="1"/>
  <c r="J26" i="18"/>
  <c r="G26" i="18"/>
  <c r="I26" i="18" s="1"/>
  <c r="J25" i="18"/>
  <c r="G25" i="18"/>
  <c r="I25" i="18" s="1"/>
  <c r="E25" i="18"/>
  <c r="H25" i="18" s="1"/>
  <c r="J23" i="18"/>
  <c r="J22" i="18"/>
  <c r="I22" i="18"/>
  <c r="G22" i="18"/>
  <c r="J21" i="18"/>
  <c r="G21" i="18"/>
  <c r="I21" i="18" s="1"/>
  <c r="J20" i="18"/>
  <c r="I20" i="18"/>
  <c r="G20" i="18"/>
  <c r="J19" i="18"/>
  <c r="G19" i="18"/>
  <c r="I19" i="18" s="1"/>
  <c r="J18" i="18"/>
  <c r="I18" i="18"/>
  <c r="G18" i="18"/>
  <c r="J17" i="18"/>
  <c r="G17" i="18"/>
  <c r="I17" i="18" s="1"/>
  <c r="J16" i="18"/>
  <c r="I16" i="18"/>
  <c r="G16" i="18"/>
  <c r="J14" i="18"/>
  <c r="G14" i="18"/>
  <c r="I14" i="18" s="1"/>
  <c r="J13" i="18"/>
  <c r="I13" i="18"/>
  <c r="G13" i="18"/>
  <c r="J12" i="18"/>
  <c r="G12" i="18"/>
  <c r="I12" i="18" s="1"/>
  <c r="P11" i="18"/>
  <c r="J11" i="18"/>
  <c r="G11" i="18"/>
  <c r="I11" i="18" s="1"/>
  <c r="E11" i="18"/>
  <c r="H11" i="18" s="1"/>
  <c r="P10" i="18"/>
  <c r="E14" i="18" s="1"/>
  <c r="J10" i="18"/>
  <c r="I10" i="18"/>
  <c r="G10" i="18"/>
  <c r="P9" i="18"/>
  <c r="E56" i="18" s="1"/>
  <c r="J9" i="18"/>
  <c r="I9" i="18"/>
  <c r="G9" i="18"/>
  <c r="P8" i="18"/>
  <c r="E21" i="18" s="1"/>
  <c r="K8" i="18"/>
  <c r="J8" i="18"/>
  <c r="G8" i="18"/>
  <c r="I8" i="18" s="1"/>
  <c r="E8" i="18"/>
  <c r="H8" i="18" s="1"/>
  <c r="P7" i="18"/>
  <c r="E19" i="18" s="1"/>
  <c r="J7" i="18"/>
  <c r="J69" i="18" s="1"/>
  <c r="G7" i="18"/>
  <c r="I7" i="18" s="1"/>
  <c r="E7" i="18"/>
  <c r="H7" i="18" s="1"/>
  <c r="I6" i="18"/>
  <c r="G126" i="17"/>
  <c r="G125" i="17"/>
  <c r="G124" i="17"/>
  <c r="G123" i="17"/>
  <c r="G122" i="17"/>
  <c r="G121" i="17"/>
  <c r="G120" i="17"/>
  <c r="G119" i="17"/>
  <c r="G118" i="17"/>
  <c r="G117" i="17"/>
  <c r="G116" i="17"/>
  <c r="G115" i="17"/>
  <c r="G114" i="17"/>
  <c r="G113" i="17"/>
  <c r="G112" i="17"/>
  <c r="G111" i="17"/>
  <c r="G110" i="17"/>
  <c r="G109" i="17"/>
  <c r="G108" i="17"/>
  <c r="G107" i="17"/>
  <c r="G106" i="17"/>
  <c r="G105" i="17"/>
  <c r="G104" i="17"/>
  <c r="G103" i="17"/>
  <c r="G102" i="17"/>
  <c r="G101" i="17"/>
  <c r="G100" i="17"/>
  <c r="G99" i="17"/>
  <c r="G98" i="17"/>
  <c r="G97" i="17"/>
  <c r="G96" i="17"/>
  <c r="G95" i="17"/>
  <c r="G94" i="17"/>
  <c r="G93" i="17"/>
  <c r="G92" i="17"/>
  <c r="G91" i="17"/>
  <c r="G90" i="17"/>
  <c r="G89" i="17"/>
  <c r="G88" i="17"/>
  <c r="G87" i="17"/>
  <c r="G86" i="17"/>
  <c r="G85" i="17"/>
  <c r="G84" i="17"/>
  <c r="K83" i="17"/>
  <c r="G83" i="17"/>
  <c r="E83" i="17"/>
  <c r="H83" i="17" s="1"/>
  <c r="J83" i="17" s="1"/>
  <c r="I83" i="17" s="1"/>
  <c r="G82" i="17"/>
  <c r="G81" i="17"/>
  <c r="G80" i="17"/>
  <c r="G79" i="17"/>
  <c r="G78" i="17"/>
  <c r="G77" i="17"/>
  <c r="G76" i="17"/>
  <c r="G75" i="17"/>
  <c r="G74" i="17"/>
  <c r="G73" i="17"/>
  <c r="G72" i="17"/>
  <c r="G71" i="17"/>
  <c r="E71" i="17"/>
  <c r="G70" i="17"/>
  <c r="G69" i="17"/>
  <c r="G68" i="17"/>
  <c r="G67" i="17"/>
  <c r="G66" i="17"/>
  <c r="G65" i="17"/>
  <c r="G64" i="17"/>
  <c r="G63" i="17"/>
  <c r="G62" i="17"/>
  <c r="G61" i="17"/>
  <c r="G60" i="17"/>
  <c r="G59" i="17"/>
  <c r="G58" i="17"/>
  <c r="G57" i="17"/>
  <c r="G56" i="17"/>
  <c r="G55" i="17"/>
  <c r="K54" i="17"/>
  <c r="H54" i="17"/>
  <c r="J54" i="17" s="1"/>
  <c r="I54" i="17" s="1"/>
  <c r="G53" i="17"/>
  <c r="G52" i="17"/>
  <c r="G51" i="17"/>
  <c r="G50" i="17"/>
  <c r="G49" i="17"/>
  <c r="G48" i="17"/>
  <c r="G47" i="17"/>
  <c r="E47" i="17"/>
  <c r="K47" i="17" s="1"/>
  <c r="K46" i="17"/>
  <c r="H46" i="17"/>
  <c r="J46" i="17" s="1"/>
  <c r="I46" i="17" s="1"/>
  <c r="G45" i="17"/>
  <c r="E45" i="17"/>
  <c r="K45" i="17" s="1"/>
  <c r="G44" i="17"/>
  <c r="G43" i="17"/>
  <c r="G42" i="17"/>
  <c r="G41" i="17"/>
  <c r="E41" i="17"/>
  <c r="K41" i="17" s="1"/>
  <c r="K40" i="17"/>
  <c r="G40" i="17"/>
  <c r="E40" i="17"/>
  <c r="H40" i="17" s="1"/>
  <c r="J40" i="17" s="1"/>
  <c r="G39" i="17"/>
  <c r="E39" i="17"/>
  <c r="K39" i="17" s="1"/>
  <c r="G38" i="17"/>
  <c r="G37" i="17"/>
  <c r="E37" i="17"/>
  <c r="K37" i="17" s="1"/>
  <c r="G36" i="17"/>
  <c r="G35" i="17"/>
  <c r="G34" i="17"/>
  <c r="G33" i="17"/>
  <c r="E33" i="17"/>
  <c r="K33" i="17" s="1"/>
  <c r="K32" i="17"/>
  <c r="G32" i="17"/>
  <c r="E32" i="17"/>
  <c r="H32" i="17" s="1"/>
  <c r="J32" i="17" s="1"/>
  <c r="G31" i="17"/>
  <c r="E31" i="17"/>
  <c r="K31" i="17" s="1"/>
  <c r="G30" i="17"/>
  <c r="G29" i="17"/>
  <c r="E29" i="17"/>
  <c r="H29" i="17" s="1"/>
  <c r="J29" i="17" s="1"/>
  <c r="I29" i="17" s="1"/>
  <c r="G28" i="17"/>
  <c r="G27" i="17"/>
  <c r="G26" i="17"/>
  <c r="G25" i="17"/>
  <c r="E25" i="17"/>
  <c r="H25" i="17" s="1"/>
  <c r="J25" i="17" s="1"/>
  <c r="G24" i="17"/>
  <c r="G23" i="17"/>
  <c r="E23" i="17"/>
  <c r="H23" i="17" s="1"/>
  <c r="G22" i="17"/>
  <c r="G21" i="17"/>
  <c r="G20" i="17"/>
  <c r="G19" i="17"/>
  <c r="G18" i="17"/>
  <c r="P17" i="17"/>
  <c r="G17" i="17"/>
  <c r="J16" i="17"/>
  <c r="I16" i="17"/>
  <c r="G16" i="17"/>
  <c r="E16" i="17"/>
  <c r="H16" i="17" s="1"/>
  <c r="G15" i="17"/>
  <c r="G14" i="17"/>
  <c r="G13" i="17"/>
  <c r="G12" i="17"/>
  <c r="I12" i="17" s="1"/>
  <c r="E12" i="17"/>
  <c r="H12" i="17" s="1"/>
  <c r="J12" i="17" s="1"/>
  <c r="P11" i="17"/>
  <c r="H11" i="17"/>
  <c r="J11" i="17" s="1"/>
  <c r="I11" i="17" s="1"/>
  <c r="G11" i="17"/>
  <c r="E11" i="17"/>
  <c r="K11" i="17" s="1"/>
  <c r="P10" i="17"/>
  <c r="E14" i="17" s="1"/>
  <c r="G10" i="17"/>
  <c r="P9" i="17"/>
  <c r="H9" i="17"/>
  <c r="J9" i="17" s="1"/>
  <c r="G9" i="17"/>
  <c r="E9" i="17"/>
  <c r="K9" i="17" s="1"/>
  <c r="P8" i="17"/>
  <c r="J8" i="17"/>
  <c r="G8" i="17"/>
  <c r="I8" i="17" s="1"/>
  <c r="E8" i="17"/>
  <c r="H8" i="17" s="1"/>
  <c r="P7" i="17"/>
  <c r="E38" i="17" s="1"/>
  <c r="K38" i="17" s="1"/>
  <c r="H7" i="17"/>
  <c r="J7" i="17" s="1"/>
  <c r="I7" i="17" s="1"/>
  <c r="G7" i="17"/>
  <c r="E7" i="17"/>
  <c r="K7" i="17" s="1"/>
  <c r="G6" i="17"/>
  <c r="K252" i="16"/>
  <c r="K253" i="16" s="1"/>
  <c r="J252" i="16"/>
  <c r="I252" i="16"/>
  <c r="H252" i="16"/>
  <c r="J251" i="16"/>
  <c r="H251" i="16"/>
  <c r="I251" i="16" s="1"/>
  <c r="G250" i="16"/>
  <c r="E250" i="16"/>
  <c r="J249" i="16"/>
  <c r="H249" i="16"/>
  <c r="I249" i="16" s="1"/>
  <c r="J248" i="16"/>
  <c r="I248" i="16"/>
  <c r="H248" i="16"/>
  <c r="J247" i="16"/>
  <c r="I247" i="16"/>
  <c r="H247" i="16"/>
  <c r="J246" i="16"/>
  <c r="I246" i="16"/>
  <c r="H246" i="16"/>
  <c r="J245" i="16"/>
  <c r="H245" i="16"/>
  <c r="I245" i="16" s="1"/>
  <c r="J244" i="16"/>
  <c r="I244" i="16"/>
  <c r="H244" i="16"/>
  <c r="J243" i="16"/>
  <c r="I243" i="16"/>
  <c r="H243" i="16"/>
  <c r="J242" i="16"/>
  <c r="I242" i="16"/>
  <c r="H242" i="16"/>
  <c r="J241" i="16"/>
  <c r="H241" i="16"/>
  <c r="I241" i="16" s="1"/>
  <c r="J240" i="16"/>
  <c r="I240" i="16"/>
  <c r="H240" i="16"/>
  <c r="J239" i="16"/>
  <c r="I239" i="16"/>
  <c r="H239" i="16"/>
  <c r="J238" i="16"/>
  <c r="I238" i="16"/>
  <c r="H238" i="16"/>
  <c r="J237" i="16"/>
  <c r="H237" i="16"/>
  <c r="I237" i="16" s="1"/>
  <c r="J236" i="16"/>
  <c r="I236" i="16"/>
  <c r="H236" i="16"/>
  <c r="J235" i="16"/>
  <c r="I235" i="16"/>
  <c r="H235" i="16"/>
  <c r="J234" i="16"/>
  <c r="I234" i="16"/>
  <c r="H234" i="16"/>
  <c r="J233" i="16"/>
  <c r="H233" i="16"/>
  <c r="I233" i="16" s="1"/>
  <c r="J232" i="16"/>
  <c r="I232" i="16"/>
  <c r="H232" i="16"/>
  <c r="J231" i="16"/>
  <c r="I231" i="16"/>
  <c r="H231" i="16"/>
  <c r="J230" i="16"/>
  <c r="I230" i="16"/>
  <c r="H230" i="16"/>
  <c r="J229" i="16"/>
  <c r="H229" i="16"/>
  <c r="I229" i="16" s="1"/>
  <c r="J228" i="16"/>
  <c r="I228" i="16"/>
  <c r="H228" i="16"/>
  <c r="J227" i="16"/>
  <c r="I227" i="16"/>
  <c r="H227" i="16"/>
  <c r="J226" i="16"/>
  <c r="I226" i="16"/>
  <c r="H226" i="16"/>
  <c r="J225" i="16"/>
  <c r="H225" i="16"/>
  <c r="I225" i="16" s="1"/>
  <c r="J224" i="16"/>
  <c r="I224" i="16"/>
  <c r="H224" i="16"/>
  <c r="J223" i="16"/>
  <c r="I223" i="16"/>
  <c r="H223" i="16"/>
  <c r="J222" i="16"/>
  <c r="I222" i="16"/>
  <c r="H222" i="16"/>
  <c r="J221" i="16"/>
  <c r="H221" i="16"/>
  <c r="I221" i="16" s="1"/>
  <c r="J220" i="16"/>
  <c r="I220" i="16"/>
  <c r="H220" i="16"/>
  <c r="J219" i="16"/>
  <c r="I219" i="16"/>
  <c r="H219" i="16"/>
  <c r="J218" i="16"/>
  <c r="I218" i="16"/>
  <c r="H218" i="16"/>
  <c r="J217" i="16"/>
  <c r="H217" i="16"/>
  <c r="I217" i="16" s="1"/>
  <c r="J216" i="16"/>
  <c r="I216" i="16"/>
  <c r="H216" i="16"/>
  <c r="J215" i="16"/>
  <c r="I215" i="16"/>
  <c r="H215" i="16"/>
  <c r="J214" i="16"/>
  <c r="I214" i="16"/>
  <c r="H214" i="16"/>
  <c r="J213" i="16"/>
  <c r="H213" i="16"/>
  <c r="I213" i="16" s="1"/>
  <c r="J212" i="16"/>
  <c r="I212" i="16"/>
  <c r="H212" i="16"/>
  <c r="J211" i="16"/>
  <c r="I211" i="16"/>
  <c r="H211" i="16"/>
  <c r="J210" i="16"/>
  <c r="I210" i="16"/>
  <c r="H210" i="16"/>
  <c r="J209" i="16"/>
  <c r="H209" i="16"/>
  <c r="I209" i="16" s="1"/>
  <c r="J208" i="16"/>
  <c r="I208" i="16"/>
  <c r="H208" i="16"/>
  <c r="J207" i="16"/>
  <c r="I207" i="16"/>
  <c r="H207" i="16"/>
  <c r="J206" i="16"/>
  <c r="I206" i="16"/>
  <c r="H206" i="16"/>
  <c r="J205" i="16"/>
  <c r="H205" i="16"/>
  <c r="I205" i="16" s="1"/>
  <c r="J204" i="16"/>
  <c r="I204" i="16"/>
  <c r="H204" i="16"/>
  <c r="J203" i="16"/>
  <c r="I203" i="16"/>
  <c r="H203" i="16"/>
  <c r="J202" i="16"/>
  <c r="I202" i="16"/>
  <c r="H202" i="16"/>
  <c r="J201" i="16"/>
  <c r="H201" i="16"/>
  <c r="I201" i="16" s="1"/>
  <c r="J200" i="16"/>
  <c r="I200" i="16"/>
  <c r="H200" i="16"/>
  <c r="J199" i="16"/>
  <c r="G199" i="16"/>
  <c r="E199" i="16"/>
  <c r="H199" i="16" s="1"/>
  <c r="I199" i="16" s="1"/>
  <c r="G198" i="16"/>
  <c r="E198" i="16"/>
  <c r="H197" i="16"/>
  <c r="I197" i="16" s="1"/>
  <c r="G197" i="16"/>
  <c r="E197" i="16"/>
  <c r="J197" i="16" s="1"/>
  <c r="I196" i="16"/>
  <c r="H196" i="16"/>
  <c r="G196" i="16"/>
  <c r="E196" i="16"/>
  <c r="J196" i="16" s="1"/>
  <c r="J195" i="16"/>
  <c r="G195" i="16"/>
  <c r="E195" i="16"/>
  <c r="H195" i="16" s="1"/>
  <c r="I195" i="16" s="1"/>
  <c r="G194" i="16"/>
  <c r="E194" i="16"/>
  <c r="H193" i="16"/>
  <c r="I193" i="16" s="1"/>
  <c r="G193" i="16"/>
  <c r="E193" i="16"/>
  <c r="J193" i="16" s="1"/>
  <c r="I192" i="16"/>
  <c r="H192" i="16"/>
  <c r="G192" i="16"/>
  <c r="E192" i="16"/>
  <c r="J192" i="16" s="1"/>
  <c r="J191" i="16"/>
  <c r="G191" i="16"/>
  <c r="E191" i="16"/>
  <c r="H191" i="16" s="1"/>
  <c r="I191" i="16" s="1"/>
  <c r="G190" i="16"/>
  <c r="E190" i="16"/>
  <c r="H189" i="16"/>
  <c r="I189" i="16" s="1"/>
  <c r="G189" i="16"/>
  <c r="E189" i="16"/>
  <c r="J189" i="16" s="1"/>
  <c r="I188" i="16"/>
  <c r="H188" i="16"/>
  <c r="G188" i="16"/>
  <c r="E188" i="16"/>
  <c r="J188" i="16" s="1"/>
  <c r="J187" i="16"/>
  <c r="G187" i="16"/>
  <c r="E187" i="16"/>
  <c r="H187" i="16" s="1"/>
  <c r="I187" i="16" s="1"/>
  <c r="G186" i="16"/>
  <c r="E186" i="16"/>
  <c r="H185" i="16"/>
  <c r="I185" i="16" s="1"/>
  <c r="G185" i="16"/>
  <c r="E185" i="16"/>
  <c r="J185" i="16" s="1"/>
  <c r="I184" i="16"/>
  <c r="H184" i="16"/>
  <c r="G184" i="16"/>
  <c r="E184" i="16"/>
  <c r="J184" i="16" s="1"/>
  <c r="J183" i="16"/>
  <c r="G183" i="16"/>
  <c r="E183" i="16"/>
  <c r="H183" i="16" s="1"/>
  <c r="I183" i="16" s="1"/>
  <c r="G182" i="16"/>
  <c r="E182" i="16"/>
  <c r="H181" i="16"/>
  <c r="I181" i="16" s="1"/>
  <c r="G181" i="16"/>
  <c r="E181" i="16"/>
  <c r="J181" i="16" s="1"/>
  <c r="I180" i="16"/>
  <c r="H180" i="16"/>
  <c r="G180" i="16"/>
  <c r="E180" i="16"/>
  <c r="J180" i="16" s="1"/>
  <c r="J179" i="16"/>
  <c r="G179" i="16"/>
  <c r="E179" i="16"/>
  <c r="H179" i="16" s="1"/>
  <c r="I179" i="16" s="1"/>
  <c r="G178" i="16"/>
  <c r="E178" i="16"/>
  <c r="H177" i="16"/>
  <c r="I177" i="16" s="1"/>
  <c r="G177" i="16"/>
  <c r="E177" i="16"/>
  <c r="J177" i="16" s="1"/>
  <c r="I176" i="16"/>
  <c r="H176" i="16"/>
  <c r="G176" i="16"/>
  <c r="E176" i="16"/>
  <c r="J176" i="16" s="1"/>
  <c r="G175" i="16"/>
  <c r="E175" i="16"/>
  <c r="H175" i="16" s="1"/>
  <c r="I175" i="16" s="1"/>
  <c r="J174" i="16"/>
  <c r="G174" i="16"/>
  <c r="E174" i="16"/>
  <c r="H174" i="16" s="1"/>
  <c r="H173" i="16"/>
  <c r="I173" i="16" s="1"/>
  <c r="G173" i="16"/>
  <c r="E173" i="16"/>
  <c r="H172" i="16"/>
  <c r="I172" i="16" s="1"/>
  <c r="G172" i="16"/>
  <c r="E172" i="16"/>
  <c r="J172" i="16" s="1"/>
  <c r="I171" i="16"/>
  <c r="G171" i="16"/>
  <c r="E171" i="16"/>
  <c r="H171" i="16" s="1"/>
  <c r="G170" i="16"/>
  <c r="E170" i="16"/>
  <c r="H170" i="16" s="1"/>
  <c r="H169" i="16"/>
  <c r="I169" i="16" s="1"/>
  <c r="G169" i="16"/>
  <c r="E169" i="16"/>
  <c r="J169" i="16" s="1"/>
  <c r="I168" i="16"/>
  <c r="H168" i="16"/>
  <c r="G168" i="16"/>
  <c r="E168" i="16"/>
  <c r="J168" i="16" s="1"/>
  <c r="G167" i="16"/>
  <c r="E167" i="16"/>
  <c r="H167" i="16" s="1"/>
  <c r="I167" i="16" s="1"/>
  <c r="J166" i="16"/>
  <c r="G166" i="16"/>
  <c r="E166" i="16"/>
  <c r="H166" i="16" s="1"/>
  <c r="H165" i="16"/>
  <c r="I165" i="16" s="1"/>
  <c r="G165" i="16"/>
  <c r="E165" i="16"/>
  <c r="H164" i="16"/>
  <c r="I164" i="16" s="1"/>
  <c r="G164" i="16"/>
  <c r="E164" i="16"/>
  <c r="J164" i="16" s="1"/>
  <c r="J163" i="16"/>
  <c r="I163" i="16"/>
  <c r="H163" i="16"/>
  <c r="I162" i="16"/>
  <c r="H162" i="16"/>
  <c r="G162" i="16"/>
  <c r="E162" i="16"/>
  <c r="J162" i="16" s="1"/>
  <c r="G161" i="16"/>
  <c r="E161" i="16"/>
  <c r="H161" i="16" s="1"/>
  <c r="I161" i="16" s="1"/>
  <c r="G160" i="16"/>
  <c r="E160" i="16"/>
  <c r="H160" i="16" s="1"/>
  <c r="I160" i="16" s="1"/>
  <c r="H159" i="16"/>
  <c r="I159" i="16" s="1"/>
  <c r="G159" i="16"/>
  <c r="E159" i="16"/>
  <c r="I158" i="16"/>
  <c r="H158" i="16"/>
  <c r="G158" i="16"/>
  <c r="E158" i="16"/>
  <c r="J158" i="16" s="1"/>
  <c r="J157" i="16"/>
  <c r="I157" i="16"/>
  <c r="G157" i="16"/>
  <c r="E157" i="16"/>
  <c r="H157" i="16" s="1"/>
  <c r="J156" i="16"/>
  <c r="G156" i="16"/>
  <c r="E156" i="16"/>
  <c r="H156" i="16" s="1"/>
  <c r="H155" i="16"/>
  <c r="G155" i="16"/>
  <c r="E155" i="16"/>
  <c r="I154" i="16"/>
  <c r="H154" i="16"/>
  <c r="G154" i="16"/>
  <c r="E154" i="16"/>
  <c r="J154" i="16" s="1"/>
  <c r="G153" i="16"/>
  <c r="E153" i="16"/>
  <c r="H153" i="16" s="1"/>
  <c r="I153" i="16" s="1"/>
  <c r="G152" i="16"/>
  <c r="E152" i="16"/>
  <c r="H152" i="16" s="1"/>
  <c r="I152" i="16" s="1"/>
  <c r="H151" i="16"/>
  <c r="I151" i="16" s="1"/>
  <c r="G151" i="16"/>
  <c r="E151" i="16"/>
  <c r="I150" i="16"/>
  <c r="H150" i="16"/>
  <c r="G150" i="16"/>
  <c r="E150" i="16"/>
  <c r="J150" i="16" s="1"/>
  <c r="J149" i="16"/>
  <c r="I149" i="16"/>
  <c r="G149" i="16"/>
  <c r="E149" i="16"/>
  <c r="H149" i="16" s="1"/>
  <c r="J148" i="16"/>
  <c r="G148" i="16"/>
  <c r="E148" i="16"/>
  <c r="H148" i="16" s="1"/>
  <c r="J147" i="16"/>
  <c r="H147" i="16"/>
  <c r="I147" i="16" s="1"/>
  <c r="J146" i="16"/>
  <c r="I146" i="16"/>
  <c r="H146" i="16"/>
  <c r="J145" i="16"/>
  <c r="I145" i="16"/>
  <c r="H145" i="16"/>
  <c r="J144" i="16"/>
  <c r="I144" i="16"/>
  <c r="H144" i="16"/>
  <c r="J143" i="16"/>
  <c r="H143" i="16"/>
  <c r="I143" i="16" s="1"/>
  <c r="J142" i="16"/>
  <c r="I142" i="16"/>
  <c r="H142" i="16"/>
  <c r="I141" i="16"/>
  <c r="G141" i="16"/>
  <c r="E141" i="16"/>
  <c r="H141" i="16" s="1"/>
  <c r="G140" i="16"/>
  <c r="E140" i="16"/>
  <c r="H140" i="16" s="1"/>
  <c r="H139" i="16"/>
  <c r="I139" i="16" s="1"/>
  <c r="G139" i="16"/>
  <c r="E139" i="16"/>
  <c r="J139" i="16" s="1"/>
  <c r="I138" i="16"/>
  <c r="H138" i="16"/>
  <c r="G138" i="16"/>
  <c r="E138" i="16"/>
  <c r="J138" i="16" s="1"/>
  <c r="G137" i="16"/>
  <c r="E137" i="16"/>
  <c r="H137" i="16" s="1"/>
  <c r="I137" i="16" s="1"/>
  <c r="J136" i="16"/>
  <c r="H136" i="16"/>
  <c r="I136" i="16" s="1"/>
  <c r="J135" i="16"/>
  <c r="I135" i="16"/>
  <c r="H135" i="16"/>
  <c r="J134" i="16"/>
  <c r="H134" i="16"/>
  <c r="I134" i="16" s="1"/>
  <c r="J133" i="16"/>
  <c r="H133" i="16"/>
  <c r="I133" i="16" s="1"/>
  <c r="J132" i="16"/>
  <c r="H132" i="16"/>
  <c r="I132" i="16" s="1"/>
  <c r="J131" i="16"/>
  <c r="I131" i="16"/>
  <c r="H131" i="16"/>
  <c r="J130" i="16"/>
  <c r="I130" i="16"/>
  <c r="H130" i="16"/>
  <c r="J129" i="16"/>
  <c r="H129" i="16"/>
  <c r="I129" i="16" s="1"/>
  <c r="J128" i="16"/>
  <c r="H128" i="16"/>
  <c r="I128" i="16" s="1"/>
  <c r="J127" i="16"/>
  <c r="I127" i="16"/>
  <c r="H127" i="16"/>
  <c r="J126" i="16"/>
  <c r="H126" i="16"/>
  <c r="I126" i="16" s="1"/>
  <c r="J125" i="16"/>
  <c r="H125" i="16"/>
  <c r="I125" i="16" s="1"/>
  <c r="J124" i="16"/>
  <c r="H124" i="16"/>
  <c r="I124" i="16" s="1"/>
  <c r="J123" i="16"/>
  <c r="I123" i="16"/>
  <c r="H123" i="16"/>
  <c r="I122" i="16"/>
  <c r="H122" i="16"/>
  <c r="G122" i="16"/>
  <c r="J122" i="16" s="1"/>
  <c r="H121" i="16"/>
  <c r="I121" i="16" s="1"/>
  <c r="G121" i="16"/>
  <c r="E121" i="16"/>
  <c r="J121" i="16" s="1"/>
  <c r="I120" i="16"/>
  <c r="G120" i="16"/>
  <c r="E120" i="16"/>
  <c r="H120" i="16" s="1"/>
  <c r="G119" i="16"/>
  <c r="E119" i="16"/>
  <c r="H119" i="16" s="1"/>
  <c r="H118" i="16"/>
  <c r="I118" i="16" s="1"/>
  <c r="G118" i="16"/>
  <c r="E118" i="16"/>
  <c r="J118" i="16" s="1"/>
  <c r="I117" i="16"/>
  <c r="H117" i="16"/>
  <c r="G117" i="16"/>
  <c r="E117" i="16"/>
  <c r="J117" i="16" s="1"/>
  <c r="J116" i="16"/>
  <c r="I116" i="16"/>
  <c r="H116" i="16"/>
  <c r="J115" i="16"/>
  <c r="I115" i="16"/>
  <c r="H115" i="16"/>
  <c r="J114" i="16"/>
  <c r="H114" i="16"/>
  <c r="I114" i="16" s="1"/>
  <c r="J113" i="16"/>
  <c r="H113" i="16"/>
  <c r="I113" i="16" s="1"/>
  <c r="J112" i="16"/>
  <c r="I112" i="16"/>
  <c r="H112" i="16"/>
  <c r="J111" i="16"/>
  <c r="H111" i="16"/>
  <c r="I111" i="16" s="1"/>
  <c r="J110" i="16"/>
  <c r="H110" i="16"/>
  <c r="I110" i="16" s="1"/>
  <c r="J109" i="16"/>
  <c r="H109" i="16"/>
  <c r="I109" i="16" s="1"/>
  <c r="J108" i="16"/>
  <c r="I108" i="16"/>
  <c r="H108" i="16"/>
  <c r="J107" i="16"/>
  <c r="I107" i="16"/>
  <c r="H107" i="16"/>
  <c r="J106" i="16"/>
  <c r="H106" i="16"/>
  <c r="I106" i="16" s="1"/>
  <c r="J105" i="16"/>
  <c r="H105" i="16"/>
  <c r="I105" i="16" s="1"/>
  <c r="J104" i="16"/>
  <c r="I104" i="16"/>
  <c r="H104" i="16"/>
  <c r="J103" i="16"/>
  <c r="H103" i="16"/>
  <c r="I103" i="16" s="1"/>
  <c r="J102" i="16"/>
  <c r="H102" i="16"/>
  <c r="I102" i="16" s="1"/>
  <c r="H101" i="16"/>
  <c r="I101" i="16" s="1"/>
  <c r="G101" i="16"/>
  <c r="J101" i="16" s="1"/>
  <c r="G100" i="16"/>
  <c r="E100" i="16"/>
  <c r="H100" i="16" s="1"/>
  <c r="I100" i="16" s="1"/>
  <c r="H99" i="16"/>
  <c r="I99" i="16" s="1"/>
  <c r="G99" i="16"/>
  <c r="E99" i="16"/>
  <c r="I98" i="16"/>
  <c r="H98" i="16"/>
  <c r="G98" i="16"/>
  <c r="E98" i="16"/>
  <c r="J98" i="16" s="1"/>
  <c r="J97" i="16"/>
  <c r="I97" i="16"/>
  <c r="G97" i="16"/>
  <c r="E97" i="16"/>
  <c r="H97" i="16" s="1"/>
  <c r="J96" i="16"/>
  <c r="G96" i="16"/>
  <c r="E96" i="16"/>
  <c r="H96" i="16" s="1"/>
  <c r="H95" i="16"/>
  <c r="G95" i="16"/>
  <c r="E95" i="16"/>
  <c r="I94" i="16"/>
  <c r="H94" i="16"/>
  <c r="G94" i="16"/>
  <c r="E94" i="16"/>
  <c r="J94" i="16" s="1"/>
  <c r="G93" i="16"/>
  <c r="E93" i="16"/>
  <c r="H93" i="16" s="1"/>
  <c r="I93" i="16" s="1"/>
  <c r="G92" i="16"/>
  <c r="E92" i="16"/>
  <c r="H92" i="16" s="1"/>
  <c r="I92" i="16" s="1"/>
  <c r="H91" i="16"/>
  <c r="I91" i="16" s="1"/>
  <c r="G91" i="16"/>
  <c r="E91" i="16"/>
  <c r="I90" i="16"/>
  <c r="H90" i="16"/>
  <c r="G90" i="16"/>
  <c r="E90" i="16"/>
  <c r="J90" i="16" s="1"/>
  <c r="J89" i="16"/>
  <c r="I89" i="16"/>
  <c r="G89" i="16"/>
  <c r="E89" i="16"/>
  <c r="H89" i="16" s="1"/>
  <c r="J88" i="16"/>
  <c r="G88" i="16"/>
  <c r="E88" i="16"/>
  <c r="H88" i="16" s="1"/>
  <c r="H87" i="16"/>
  <c r="G87" i="16"/>
  <c r="E87" i="16"/>
  <c r="I86" i="16"/>
  <c r="H86" i="16"/>
  <c r="G86" i="16"/>
  <c r="E86" i="16"/>
  <c r="J86" i="16" s="1"/>
  <c r="J85" i="16"/>
  <c r="I85" i="16"/>
  <c r="H85" i="16"/>
  <c r="J84" i="16"/>
  <c r="I84" i="16"/>
  <c r="H84" i="16"/>
  <c r="J83" i="16"/>
  <c r="H83" i="16"/>
  <c r="I83" i="16" s="1"/>
  <c r="J82" i="16"/>
  <c r="H82" i="16"/>
  <c r="I82" i="16" s="1"/>
  <c r="J81" i="16"/>
  <c r="I81" i="16"/>
  <c r="H81" i="16"/>
  <c r="J80" i="16"/>
  <c r="I80" i="16"/>
  <c r="H80" i="16"/>
  <c r="I79" i="16"/>
  <c r="H79" i="16"/>
  <c r="G79" i="16"/>
  <c r="J79" i="16" s="1"/>
  <c r="I78" i="16"/>
  <c r="H78" i="16"/>
  <c r="G78" i="16"/>
  <c r="E78" i="16"/>
  <c r="J78" i="16" s="1"/>
  <c r="G77" i="16"/>
  <c r="E77" i="16"/>
  <c r="H77" i="16" s="1"/>
  <c r="I77" i="16" s="1"/>
  <c r="G76" i="16"/>
  <c r="E76" i="16"/>
  <c r="J76" i="16" s="1"/>
  <c r="H75" i="16"/>
  <c r="I75" i="16" s="1"/>
  <c r="G75" i="16"/>
  <c r="E75" i="16"/>
  <c r="J75" i="16" s="1"/>
  <c r="I74" i="16"/>
  <c r="H74" i="16"/>
  <c r="G74" i="16"/>
  <c r="E74" i="16"/>
  <c r="J74" i="16" s="1"/>
  <c r="G73" i="16"/>
  <c r="E73" i="16"/>
  <c r="H73" i="16" s="1"/>
  <c r="I73" i="16" s="1"/>
  <c r="G72" i="16"/>
  <c r="E72" i="16"/>
  <c r="J72" i="16" s="1"/>
  <c r="H71" i="16"/>
  <c r="I71" i="16" s="1"/>
  <c r="G71" i="16"/>
  <c r="E71" i="16"/>
  <c r="J71" i="16" s="1"/>
  <c r="I70" i="16"/>
  <c r="H70" i="16"/>
  <c r="G70" i="16"/>
  <c r="E70" i="16"/>
  <c r="J70" i="16" s="1"/>
  <c r="G69" i="16"/>
  <c r="E69" i="16"/>
  <c r="H69" i="16" s="1"/>
  <c r="I69" i="16" s="1"/>
  <c r="G68" i="16"/>
  <c r="E68" i="16"/>
  <c r="J68" i="16" s="1"/>
  <c r="H67" i="16"/>
  <c r="I67" i="16" s="1"/>
  <c r="G67" i="16"/>
  <c r="E67" i="16"/>
  <c r="J67" i="16" s="1"/>
  <c r="I66" i="16"/>
  <c r="H66" i="16"/>
  <c r="G66" i="16"/>
  <c r="E66" i="16"/>
  <c r="J66" i="16" s="1"/>
  <c r="G65" i="16"/>
  <c r="E65" i="16"/>
  <c r="H65" i="16" s="1"/>
  <c r="I65" i="16" s="1"/>
  <c r="G64" i="16"/>
  <c r="E64" i="16"/>
  <c r="J64" i="16" s="1"/>
  <c r="H63" i="16"/>
  <c r="I63" i="16" s="1"/>
  <c r="G63" i="16"/>
  <c r="E63" i="16"/>
  <c r="J63" i="16" s="1"/>
  <c r="I62" i="16"/>
  <c r="H62" i="16"/>
  <c r="G62" i="16"/>
  <c r="E62" i="16"/>
  <c r="J62" i="16" s="1"/>
  <c r="G61" i="16"/>
  <c r="E61" i="16"/>
  <c r="H61" i="16" s="1"/>
  <c r="I61" i="16" s="1"/>
  <c r="G60" i="16"/>
  <c r="E60" i="16"/>
  <c r="J60" i="16" s="1"/>
  <c r="H59" i="16"/>
  <c r="I59" i="16" s="1"/>
  <c r="G59" i="16"/>
  <c r="E59" i="16"/>
  <c r="J59" i="16" s="1"/>
  <c r="I58" i="16"/>
  <c r="H58" i="16"/>
  <c r="G58" i="16"/>
  <c r="E58" i="16"/>
  <c r="J58" i="16" s="1"/>
  <c r="G57" i="16"/>
  <c r="E57" i="16"/>
  <c r="H57" i="16" s="1"/>
  <c r="I57" i="16" s="1"/>
  <c r="G56" i="16"/>
  <c r="E56" i="16"/>
  <c r="J56" i="16" s="1"/>
  <c r="H55" i="16"/>
  <c r="I55" i="16" s="1"/>
  <c r="G55" i="16"/>
  <c r="E55" i="16"/>
  <c r="J55" i="16" s="1"/>
  <c r="I54" i="16"/>
  <c r="H54" i="16"/>
  <c r="G54" i="16"/>
  <c r="E54" i="16"/>
  <c r="J54" i="16" s="1"/>
  <c r="G53" i="16"/>
  <c r="E53" i="16"/>
  <c r="H53" i="16" s="1"/>
  <c r="I53" i="16" s="1"/>
  <c r="G52" i="16"/>
  <c r="E52" i="16"/>
  <c r="J52" i="16" s="1"/>
  <c r="H51" i="16"/>
  <c r="I51" i="16" s="1"/>
  <c r="G51" i="16"/>
  <c r="E51" i="16"/>
  <c r="J51" i="16" s="1"/>
  <c r="I50" i="16"/>
  <c r="H50" i="16"/>
  <c r="G50" i="16"/>
  <c r="E50" i="16"/>
  <c r="J50" i="16" s="1"/>
  <c r="G49" i="16"/>
  <c r="E49" i="16"/>
  <c r="H49" i="16" s="1"/>
  <c r="I49" i="16" s="1"/>
  <c r="G48" i="16"/>
  <c r="E48" i="16"/>
  <c r="J48" i="16" s="1"/>
  <c r="H47" i="16"/>
  <c r="I47" i="16" s="1"/>
  <c r="G47" i="16"/>
  <c r="E47" i="16"/>
  <c r="J47" i="16" s="1"/>
  <c r="I46" i="16"/>
  <c r="H46" i="16"/>
  <c r="G46" i="16"/>
  <c r="E46" i="16"/>
  <c r="J46" i="16" s="1"/>
  <c r="G45" i="16"/>
  <c r="E45" i="16"/>
  <c r="H45" i="16" s="1"/>
  <c r="I45" i="16" s="1"/>
  <c r="G44" i="16"/>
  <c r="E44" i="16"/>
  <c r="J44" i="16" s="1"/>
  <c r="J43" i="16"/>
  <c r="H43" i="16"/>
  <c r="I43" i="16" s="1"/>
  <c r="H42" i="16"/>
  <c r="G42" i="16"/>
  <c r="J42" i="16" s="1"/>
  <c r="J41" i="16"/>
  <c r="I41" i="16"/>
  <c r="H41" i="16"/>
  <c r="J40" i="16"/>
  <c r="I40" i="16"/>
  <c r="H40" i="16"/>
  <c r="J39" i="16"/>
  <c r="I39" i="16"/>
  <c r="H39" i="16"/>
  <c r="J38" i="16"/>
  <c r="H38" i="16"/>
  <c r="I38" i="16" s="1"/>
  <c r="J37" i="16"/>
  <c r="I37" i="16"/>
  <c r="H37" i="16"/>
  <c r="J36" i="16"/>
  <c r="I36" i="16"/>
  <c r="H36" i="16"/>
  <c r="J35" i="16"/>
  <c r="I35" i="16"/>
  <c r="H35" i="16"/>
  <c r="J34" i="16"/>
  <c r="H34" i="16"/>
  <c r="I34" i="16" s="1"/>
  <c r="J33" i="16"/>
  <c r="I33" i="16"/>
  <c r="H33" i="16"/>
  <c r="J32" i="16"/>
  <c r="I32" i="16"/>
  <c r="H32" i="16"/>
  <c r="J31" i="16"/>
  <c r="I31" i="16"/>
  <c r="H31" i="16"/>
  <c r="J30" i="16"/>
  <c r="H30" i="16"/>
  <c r="I30" i="16" s="1"/>
  <c r="J29" i="16"/>
  <c r="I29" i="16"/>
  <c r="H29" i="16"/>
  <c r="J28" i="16"/>
  <c r="I28" i="16"/>
  <c r="H28" i="16"/>
  <c r="J27" i="16"/>
  <c r="I27" i="16"/>
  <c r="H27" i="16"/>
  <c r="J26" i="16"/>
  <c r="H26" i="16"/>
  <c r="I26" i="16" s="1"/>
  <c r="J25" i="16"/>
  <c r="I25" i="16"/>
  <c r="H25" i="16"/>
  <c r="J24" i="16"/>
  <c r="I24" i="16"/>
  <c r="H24" i="16"/>
  <c r="J23" i="16"/>
  <c r="I23" i="16"/>
  <c r="H23" i="16"/>
  <c r="J22" i="16"/>
  <c r="H22" i="16"/>
  <c r="I22" i="16" s="1"/>
  <c r="J21" i="16"/>
  <c r="I21" i="16"/>
  <c r="H21" i="16"/>
  <c r="J20" i="16"/>
  <c r="I20" i="16"/>
  <c r="H20" i="16"/>
  <c r="J19" i="16"/>
  <c r="I19" i="16"/>
  <c r="H19" i="16"/>
  <c r="J18" i="16"/>
  <c r="H18" i="16"/>
  <c r="I18" i="16" s="1"/>
  <c r="J17" i="16"/>
  <c r="I17" i="16"/>
  <c r="H17" i="16"/>
  <c r="J16" i="16"/>
  <c r="H16" i="16"/>
  <c r="I16" i="16" s="1"/>
  <c r="J15" i="16"/>
  <c r="I15" i="16"/>
  <c r="H15" i="16"/>
  <c r="J14" i="16"/>
  <c r="H14" i="16"/>
  <c r="I14" i="16" s="1"/>
  <c r="J13" i="16"/>
  <c r="I13" i="16"/>
  <c r="H13" i="16"/>
  <c r="J12" i="16"/>
  <c r="H12" i="16"/>
  <c r="I12" i="16" s="1"/>
  <c r="J11" i="16"/>
  <c r="I11" i="16"/>
  <c r="H11" i="16"/>
  <c r="J10" i="16"/>
  <c r="H10" i="16"/>
  <c r="I10" i="16" s="1"/>
  <c r="J9" i="16"/>
  <c r="I9" i="16"/>
  <c r="H9" i="16"/>
  <c r="J8" i="16"/>
  <c r="H8" i="16"/>
  <c r="I8" i="16" s="1"/>
  <c r="J7" i="16"/>
  <c r="I7" i="16"/>
  <c r="H7" i="16"/>
  <c r="J6" i="16"/>
  <c r="H6" i="16"/>
  <c r="I6" i="16" s="1"/>
  <c r="J5" i="16"/>
  <c r="I5" i="16"/>
  <c r="H5" i="16"/>
  <c r="H31" i="20" l="1"/>
  <c r="K31" i="20"/>
  <c r="K28" i="20"/>
  <c r="H28" i="20"/>
  <c r="K7" i="20"/>
  <c r="H7" i="20"/>
  <c r="K10" i="20"/>
  <c r="K38" i="20"/>
  <c r="K40" i="20"/>
  <c r="K42" i="20"/>
  <c r="K46" i="20"/>
  <c r="K48" i="20"/>
  <c r="K50" i="20"/>
  <c r="K52" i="20"/>
  <c r="K9" i="20"/>
  <c r="K13" i="20"/>
  <c r="K25" i="20"/>
  <c r="K27" i="20"/>
  <c r="K8" i="20"/>
  <c r="E11" i="20"/>
  <c r="K12" i="20"/>
  <c r="E24" i="20"/>
  <c r="K37" i="20"/>
  <c r="K39" i="20"/>
  <c r="K41" i="20"/>
  <c r="I7" i="19"/>
  <c r="H22" i="19"/>
  <c r="J22" i="19" s="1"/>
  <c r="I22" i="19" s="1"/>
  <c r="K22" i="19"/>
  <c r="H16" i="19"/>
  <c r="J16" i="19" s="1"/>
  <c r="I16" i="19" s="1"/>
  <c r="K16" i="19"/>
  <c r="H27" i="19"/>
  <c r="J27" i="19" s="1"/>
  <c r="I27" i="19" s="1"/>
  <c r="K27" i="19"/>
  <c r="I13" i="19"/>
  <c r="E12" i="19"/>
  <c r="E91" i="19"/>
  <c r="E63" i="19"/>
  <c r="E61" i="19"/>
  <c r="E88" i="19"/>
  <c r="E86" i="19"/>
  <c r="E82" i="19"/>
  <c r="E80" i="19"/>
  <c r="E76" i="19"/>
  <c r="E74" i="19"/>
  <c r="E70" i="19"/>
  <c r="E68" i="19"/>
  <c r="K8" i="19"/>
  <c r="E38" i="19"/>
  <c r="E36" i="19"/>
  <c r="E47" i="19"/>
  <c r="E45" i="19"/>
  <c r="E39" i="19"/>
  <c r="E37" i="19"/>
  <c r="E35" i="19"/>
  <c r="E11" i="19"/>
  <c r="E89" i="19"/>
  <c r="E85" i="19"/>
  <c r="E83" i="19"/>
  <c r="E79" i="19"/>
  <c r="E77" i="19"/>
  <c r="E73" i="19"/>
  <c r="E71" i="19"/>
  <c r="E66" i="19"/>
  <c r="E64" i="19"/>
  <c r="E18" i="19"/>
  <c r="E20" i="19"/>
  <c r="E44" i="19"/>
  <c r="E40" i="19"/>
  <c r="E49" i="19"/>
  <c r="K13" i="19"/>
  <c r="E62" i="19"/>
  <c r="E58" i="19"/>
  <c r="E52" i="19"/>
  <c r="E10" i="19"/>
  <c r="J69" i="19"/>
  <c r="I69" i="19" s="1"/>
  <c r="E46" i="19"/>
  <c r="E31" i="19"/>
  <c r="E57" i="19"/>
  <c r="E55" i="19"/>
  <c r="E53" i="19"/>
  <c r="E34" i="19"/>
  <c r="E43" i="19"/>
  <c r="E56" i="19"/>
  <c r="E54" i="19"/>
  <c r="E9" i="19"/>
  <c r="E30" i="19"/>
  <c r="E28" i="19"/>
  <c r="E26" i="19"/>
  <c r="E87" i="19"/>
  <c r="E81" i="19"/>
  <c r="E75" i="19"/>
  <c r="E67" i="19"/>
  <c r="E65" i="19"/>
  <c r="E90" i="19"/>
  <c r="E84" i="19"/>
  <c r="E78" i="19"/>
  <c r="E72" i="19"/>
  <c r="E17" i="19"/>
  <c r="E19" i="19"/>
  <c r="E21" i="19"/>
  <c r="E25" i="19"/>
  <c r="E29" i="19"/>
  <c r="E48" i="19"/>
  <c r="K154" i="19"/>
  <c r="K155" i="19" s="1"/>
  <c r="H56" i="18"/>
  <c r="K56" i="18"/>
  <c r="K21" i="18"/>
  <c r="H21" i="18"/>
  <c r="O69" i="18"/>
  <c r="I69" i="18"/>
  <c r="L69" i="18"/>
  <c r="H14" i="18"/>
  <c r="K14" i="18"/>
  <c r="K19" i="18"/>
  <c r="H19" i="18"/>
  <c r="K134" i="18"/>
  <c r="K135" i="18" s="1"/>
  <c r="K7" i="18"/>
  <c r="E10" i="18"/>
  <c r="K11" i="18"/>
  <c r="E13" i="18"/>
  <c r="E16" i="18"/>
  <c r="E18" i="18"/>
  <c r="E20" i="18"/>
  <c r="E22" i="18"/>
  <c r="K25" i="18"/>
  <c r="K27" i="18"/>
  <c r="K31" i="18"/>
  <c r="K34" i="18"/>
  <c r="K36" i="18"/>
  <c r="K40" i="18"/>
  <c r="K43" i="18"/>
  <c r="K45" i="18"/>
  <c r="K49" i="18"/>
  <c r="K52" i="18"/>
  <c r="K54" i="18"/>
  <c r="K58" i="18"/>
  <c r="K61" i="18"/>
  <c r="K63" i="18"/>
  <c r="K65" i="18"/>
  <c r="K67" i="18"/>
  <c r="K71" i="18"/>
  <c r="E29" i="18"/>
  <c r="E38" i="18"/>
  <c r="E47" i="18"/>
  <c r="E9" i="18"/>
  <c r="E26" i="18"/>
  <c r="E28" i="18"/>
  <c r="E30" i="18"/>
  <c r="E35" i="18"/>
  <c r="E37" i="18"/>
  <c r="E39" i="18"/>
  <c r="E44" i="18"/>
  <c r="E46" i="18"/>
  <c r="E48" i="18"/>
  <c r="E53" i="18"/>
  <c r="E55" i="18"/>
  <c r="E57" i="18"/>
  <c r="E59" i="18"/>
  <c r="E62" i="18"/>
  <c r="E64" i="18"/>
  <c r="E66" i="18"/>
  <c r="E68" i="18"/>
  <c r="E12" i="18"/>
  <c r="E17" i="18"/>
  <c r="H14" i="17"/>
  <c r="J14" i="17" s="1"/>
  <c r="K14" i="17"/>
  <c r="I14" i="17"/>
  <c r="I25" i="17"/>
  <c r="E120" i="17"/>
  <c r="E118" i="17"/>
  <c r="E116" i="17"/>
  <c r="E114" i="17"/>
  <c r="E112" i="17"/>
  <c r="E110" i="17"/>
  <c r="E108" i="17"/>
  <c r="E106" i="17"/>
  <c r="E104" i="17"/>
  <c r="E102" i="17"/>
  <c r="E100" i="17"/>
  <c r="E119" i="17"/>
  <c r="E117" i="17"/>
  <c r="E115" i="17"/>
  <c r="E113" i="17"/>
  <c r="E111" i="17"/>
  <c r="E109" i="17"/>
  <c r="E101" i="17"/>
  <c r="E68" i="17"/>
  <c r="E66" i="17"/>
  <c r="E64" i="17"/>
  <c r="E62" i="17"/>
  <c r="E60" i="17"/>
  <c r="E58" i="17"/>
  <c r="E56" i="17"/>
  <c r="E103" i="17"/>
  <c r="E28" i="17"/>
  <c r="E105" i="17"/>
  <c r="E107" i="17"/>
  <c r="E65" i="17"/>
  <c r="E57" i="17"/>
  <c r="E52" i="17"/>
  <c r="E51" i="17"/>
  <c r="E50" i="17"/>
  <c r="E69" i="17"/>
  <c r="E61" i="17"/>
  <c r="E34" i="17"/>
  <c r="E26" i="17"/>
  <c r="E20" i="17"/>
  <c r="E18" i="17"/>
  <c r="E67" i="17"/>
  <c r="E59" i="17"/>
  <c r="K12" i="17"/>
  <c r="K8" i="17"/>
  <c r="E27" i="17"/>
  <c r="E43" i="17"/>
  <c r="E6" i="17"/>
  <c r="K16" i="17"/>
  <c r="E21" i="17"/>
  <c r="J23" i="17"/>
  <c r="I23" i="17" s="1"/>
  <c r="I32" i="17"/>
  <c r="I40" i="17"/>
  <c r="E55" i="17"/>
  <c r="E63" i="17"/>
  <c r="E30" i="17"/>
  <c r="E22" i="17"/>
  <c r="E19" i="17"/>
  <c r="E35" i="17"/>
  <c r="E36" i="17"/>
  <c r="E42" i="17"/>
  <c r="E44" i="17"/>
  <c r="H71" i="17"/>
  <c r="J71" i="17" s="1"/>
  <c r="I71" i="17" s="1"/>
  <c r="K71" i="17"/>
  <c r="G127" i="17"/>
  <c r="E49" i="17"/>
  <c r="E48" i="17"/>
  <c r="E24" i="17"/>
  <c r="E17" i="17"/>
  <c r="K23" i="17"/>
  <c r="H31" i="17"/>
  <c r="J31" i="17" s="1"/>
  <c r="I31" i="17" s="1"/>
  <c r="H33" i="17"/>
  <c r="J33" i="17" s="1"/>
  <c r="I33" i="17" s="1"/>
  <c r="H37" i="17"/>
  <c r="J37" i="17" s="1"/>
  <c r="I37" i="17" s="1"/>
  <c r="H38" i="17"/>
  <c r="J38" i="17" s="1"/>
  <c r="I38" i="17" s="1"/>
  <c r="H39" i="17"/>
  <c r="J39" i="17" s="1"/>
  <c r="I39" i="17" s="1"/>
  <c r="H41" i="17"/>
  <c r="J41" i="17" s="1"/>
  <c r="I41" i="17" s="1"/>
  <c r="H45" i="17"/>
  <c r="J45" i="17" s="1"/>
  <c r="I9" i="17"/>
  <c r="K25" i="17"/>
  <c r="K29" i="17"/>
  <c r="E126" i="17"/>
  <c r="E124" i="17"/>
  <c r="E122" i="17"/>
  <c r="E98" i="17"/>
  <c r="E96" i="17"/>
  <c r="E94" i="17"/>
  <c r="E92" i="17"/>
  <c r="E90" i="17"/>
  <c r="E88" i="17"/>
  <c r="E86" i="17"/>
  <c r="E84" i="17"/>
  <c r="E82" i="17"/>
  <c r="E80" i="17"/>
  <c r="E78" i="17"/>
  <c r="E76" i="17"/>
  <c r="E74" i="17"/>
  <c r="E125" i="17"/>
  <c r="E123" i="17"/>
  <c r="E121" i="17"/>
  <c r="E93" i="17"/>
  <c r="E87" i="17"/>
  <c r="E79" i="17"/>
  <c r="E72" i="17"/>
  <c r="E70" i="17"/>
  <c r="E53" i="17"/>
  <c r="E95" i="17"/>
  <c r="E85" i="17"/>
  <c r="E77" i="17"/>
  <c r="E99" i="17"/>
  <c r="E91" i="17"/>
  <c r="E89" i="17"/>
  <c r="E81" i="17"/>
  <c r="E73" i="17"/>
  <c r="E10" i="17"/>
  <c r="E13" i="17"/>
  <c r="E15" i="17"/>
  <c r="I45" i="17"/>
  <c r="H47" i="17"/>
  <c r="J47" i="17" s="1"/>
  <c r="I47" i="17" s="1"/>
  <c r="E75" i="17"/>
  <c r="E97" i="17"/>
  <c r="J45" i="16"/>
  <c r="J253" i="16" s="1"/>
  <c r="G261" i="16" s="1"/>
  <c r="G264" i="16" s="1"/>
  <c r="J49" i="16"/>
  <c r="J53" i="16"/>
  <c r="J57" i="16"/>
  <c r="J61" i="16"/>
  <c r="J65" i="16"/>
  <c r="J69" i="16"/>
  <c r="J73" i="16"/>
  <c r="J77" i="16"/>
  <c r="H44" i="16"/>
  <c r="I44" i="16" s="1"/>
  <c r="H48" i="16"/>
  <c r="I48" i="16" s="1"/>
  <c r="H52" i="16"/>
  <c r="I52" i="16" s="1"/>
  <c r="I253" i="16" s="1"/>
  <c r="G256" i="16" s="1"/>
  <c r="G257" i="16" s="1"/>
  <c r="G259" i="16" s="1"/>
  <c r="H56" i="16"/>
  <c r="I56" i="16" s="1"/>
  <c r="H60" i="16"/>
  <c r="I60" i="16" s="1"/>
  <c r="H64" i="16"/>
  <c r="I64" i="16" s="1"/>
  <c r="H68" i="16"/>
  <c r="I68" i="16" s="1"/>
  <c r="H72" i="16"/>
  <c r="I72" i="16" s="1"/>
  <c r="H76" i="16"/>
  <c r="I76" i="16" s="1"/>
  <c r="I87" i="16"/>
  <c r="J91" i="16"/>
  <c r="I95" i="16"/>
  <c r="J99" i="16"/>
  <c r="J119" i="16"/>
  <c r="J120" i="16"/>
  <c r="J140" i="16"/>
  <c r="J141" i="16"/>
  <c r="J151" i="16"/>
  <c r="I155" i="16"/>
  <c r="J159" i="16"/>
  <c r="I166" i="16"/>
  <c r="J170" i="16"/>
  <c r="J171" i="16"/>
  <c r="I174" i="16"/>
  <c r="J250" i="16"/>
  <c r="I42" i="16"/>
  <c r="I88" i="16"/>
  <c r="J92" i="16"/>
  <c r="J93" i="16"/>
  <c r="I96" i="16"/>
  <c r="J100" i="16"/>
  <c r="I148" i="16"/>
  <c r="J152" i="16"/>
  <c r="J153" i="16"/>
  <c r="I156" i="16"/>
  <c r="J160" i="16"/>
  <c r="J161" i="16"/>
  <c r="J165" i="16"/>
  <c r="J173" i="16"/>
  <c r="J87" i="16"/>
  <c r="J95" i="16"/>
  <c r="I119" i="16"/>
  <c r="J137" i="16"/>
  <c r="I140" i="16"/>
  <c r="J155" i="16"/>
  <c r="J167" i="16"/>
  <c r="I170" i="16"/>
  <c r="J175" i="16"/>
  <c r="J178" i="16"/>
  <c r="J182" i="16"/>
  <c r="J186" i="16"/>
  <c r="J190" i="16"/>
  <c r="J194" i="16"/>
  <c r="J198" i="16"/>
  <c r="H178" i="16"/>
  <c r="I178" i="16" s="1"/>
  <c r="H182" i="16"/>
  <c r="I182" i="16" s="1"/>
  <c r="H186" i="16"/>
  <c r="I186" i="16" s="1"/>
  <c r="H190" i="16"/>
  <c r="I190" i="16" s="1"/>
  <c r="H194" i="16"/>
  <c r="I194" i="16" s="1"/>
  <c r="H198" i="16"/>
  <c r="I198" i="16" s="1"/>
  <c r="H250" i="16"/>
  <c r="I250" i="16" s="1"/>
  <c r="K24" i="20" l="1"/>
  <c r="H24" i="20"/>
  <c r="K11" i="20"/>
  <c r="H11" i="20"/>
  <c r="K92" i="19"/>
  <c r="K93" i="19" s="1"/>
  <c r="H78" i="19"/>
  <c r="J78" i="19" s="1"/>
  <c r="I78" i="19" s="1"/>
  <c r="K78" i="19"/>
  <c r="K26" i="19"/>
  <c r="H26" i="19"/>
  <c r="J26" i="19" s="1"/>
  <c r="I26" i="19" s="1"/>
  <c r="H54" i="19"/>
  <c r="J54" i="19" s="1"/>
  <c r="I54" i="19" s="1"/>
  <c r="K54" i="19"/>
  <c r="H31" i="19"/>
  <c r="J31" i="19" s="1"/>
  <c r="I31" i="19" s="1"/>
  <c r="K31" i="19"/>
  <c r="H62" i="19"/>
  <c r="J62" i="19" s="1"/>
  <c r="I62" i="19" s="1"/>
  <c r="K62" i="19"/>
  <c r="H44" i="19"/>
  <c r="J44" i="19" s="1"/>
  <c r="I44" i="19" s="1"/>
  <c r="K44" i="19"/>
  <c r="H77" i="19"/>
  <c r="J77" i="19" s="1"/>
  <c r="I77" i="19" s="1"/>
  <c r="K77" i="19"/>
  <c r="H39" i="19"/>
  <c r="J39" i="19" s="1"/>
  <c r="I39" i="19" s="1"/>
  <c r="K39" i="19"/>
  <c r="H88" i="19"/>
  <c r="J88" i="19" s="1"/>
  <c r="I88" i="19" s="1"/>
  <c r="K88" i="19"/>
  <c r="H19" i="19"/>
  <c r="J19" i="19" s="1"/>
  <c r="I19" i="19" s="1"/>
  <c r="K19" i="19"/>
  <c r="H84" i="19"/>
  <c r="J84" i="19" s="1"/>
  <c r="I84" i="19" s="1"/>
  <c r="K84" i="19"/>
  <c r="H75" i="19"/>
  <c r="J75" i="19" s="1"/>
  <c r="I75" i="19" s="1"/>
  <c r="K75" i="19"/>
  <c r="K28" i="19"/>
  <c r="H28" i="19"/>
  <c r="J28" i="19" s="1"/>
  <c r="I28" i="19" s="1"/>
  <c r="H56" i="19"/>
  <c r="J56" i="19" s="1"/>
  <c r="I56" i="19" s="1"/>
  <c r="K56" i="19"/>
  <c r="H55" i="19"/>
  <c r="J55" i="19" s="1"/>
  <c r="I55" i="19" s="1"/>
  <c r="K55" i="19"/>
  <c r="K10" i="19"/>
  <c r="H10" i="19"/>
  <c r="J10" i="19" s="1"/>
  <c r="I10" i="19" s="1"/>
  <c r="K49" i="19"/>
  <c r="H49" i="19"/>
  <c r="J49" i="19" s="1"/>
  <c r="I49" i="19" s="1"/>
  <c r="H66" i="19"/>
  <c r="J66" i="19" s="1"/>
  <c r="I66" i="19" s="1"/>
  <c r="K66" i="19"/>
  <c r="H79" i="19"/>
  <c r="J79" i="19" s="1"/>
  <c r="I79" i="19" s="1"/>
  <c r="K79" i="19"/>
  <c r="H11" i="19"/>
  <c r="J11" i="19" s="1"/>
  <c r="I11" i="19" s="1"/>
  <c r="K11" i="19"/>
  <c r="K45" i="19"/>
  <c r="H45" i="19"/>
  <c r="J45" i="19" s="1"/>
  <c r="I45" i="19" s="1"/>
  <c r="H68" i="19"/>
  <c r="J68" i="19" s="1"/>
  <c r="I68" i="19" s="1"/>
  <c r="K68" i="19"/>
  <c r="H80" i="19"/>
  <c r="J80" i="19" s="1"/>
  <c r="I80" i="19" s="1"/>
  <c r="K80" i="19"/>
  <c r="H61" i="19"/>
  <c r="J61" i="19" s="1"/>
  <c r="I61" i="19" s="1"/>
  <c r="K61" i="19"/>
  <c r="K21" i="19"/>
  <c r="H21" i="19"/>
  <c r="J21" i="19" s="1"/>
  <c r="I21" i="19" s="1"/>
  <c r="H67" i="19"/>
  <c r="J67" i="19" s="1"/>
  <c r="I67" i="19" s="1"/>
  <c r="K67" i="19"/>
  <c r="H53" i="19"/>
  <c r="J53" i="19" s="1"/>
  <c r="I53" i="19" s="1"/>
  <c r="K53" i="19"/>
  <c r="H64" i="19"/>
  <c r="J64" i="19" s="1"/>
  <c r="I64" i="19" s="1"/>
  <c r="K64" i="19"/>
  <c r="H89" i="19"/>
  <c r="J89" i="19" s="1"/>
  <c r="I89" i="19" s="1"/>
  <c r="K89" i="19"/>
  <c r="H38" i="19"/>
  <c r="J38" i="19" s="1"/>
  <c r="I38" i="19" s="1"/>
  <c r="K38" i="19"/>
  <c r="H76" i="19"/>
  <c r="J76" i="19" s="1"/>
  <c r="I76" i="19" s="1"/>
  <c r="K76" i="19"/>
  <c r="H12" i="19"/>
  <c r="J12" i="19" s="1"/>
  <c r="I12" i="19" s="1"/>
  <c r="K12" i="19"/>
  <c r="H29" i="19"/>
  <c r="J29" i="19" s="1"/>
  <c r="I29" i="19" s="1"/>
  <c r="K29" i="19"/>
  <c r="H17" i="19"/>
  <c r="J17" i="19" s="1"/>
  <c r="I17" i="19" s="1"/>
  <c r="K17" i="19"/>
  <c r="H90" i="19"/>
  <c r="J90" i="19" s="1"/>
  <c r="I90" i="19" s="1"/>
  <c r="K90" i="19"/>
  <c r="H81" i="19"/>
  <c r="J81" i="19" s="1"/>
  <c r="I81" i="19" s="1"/>
  <c r="K81" i="19"/>
  <c r="K30" i="19"/>
  <c r="H30" i="19"/>
  <c r="J30" i="19" s="1"/>
  <c r="I30" i="19" s="1"/>
  <c r="K43" i="19"/>
  <c r="H43" i="19"/>
  <c r="J43" i="19" s="1"/>
  <c r="I43" i="19" s="1"/>
  <c r="H57" i="19"/>
  <c r="J57" i="19" s="1"/>
  <c r="I57" i="19" s="1"/>
  <c r="K57" i="19"/>
  <c r="H46" i="19"/>
  <c r="J46" i="19" s="1"/>
  <c r="I46" i="19" s="1"/>
  <c r="K46" i="19"/>
  <c r="H52" i="19"/>
  <c r="J52" i="19" s="1"/>
  <c r="I52" i="19" s="1"/>
  <c r="K52" i="19"/>
  <c r="H40" i="19"/>
  <c r="J40" i="19" s="1"/>
  <c r="I40" i="19" s="1"/>
  <c r="K40" i="19"/>
  <c r="H20" i="19"/>
  <c r="J20" i="19" s="1"/>
  <c r="I20" i="19" s="1"/>
  <c r="K20" i="19"/>
  <c r="H71" i="19"/>
  <c r="J71" i="19" s="1"/>
  <c r="I71" i="19" s="1"/>
  <c r="K71" i="19"/>
  <c r="H83" i="19"/>
  <c r="J83" i="19" s="1"/>
  <c r="I83" i="19" s="1"/>
  <c r="K83" i="19"/>
  <c r="H35" i="19"/>
  <c r="J35" i="19" s="1"/>
  <c r="I35" i="19" s="1"/>
  <c r="K35" i="19"/>
  <c r="K47" i="19"/>
  <c r="H47" i="19"/>
  <c r="J47" i="19" s="1"/>
  <c r="I47" i="19" s="1"/>
  <c r="H70" i="19"/>
  <c r="J70" i="19" s="1"/>
  <c r="I70" i="19" s="1"/>
  <c r="K70" i="19"/>
  <c r="H82" i="19"/>
  <c r="J82" i="19" s="1"/>
  <c r="I82" i="19" s="1"/>
  <c r="K82" i="19"/>
  <c r="H63" i="19"/>
  <c r="J63" i="19" s="1"/>
  <c r="I63" i="19" s="1"/>
  <c r="K63" i="19"/>
  <c r="H48" i="19"/>
  <c r="J48" i="19" s="1"/>
  <c r="I48" i="19" s="1"/>
  <c r="K48" i="19"/>
  <c r="K25" i="19"/>
  <c r="H25" i="19"/>
  <c r="J25" i="19" s="1"/>
  <c r="I25" i="19" s="1"/>
  <c r="H72" i="19"/>
  <c r="J72" i="19" s="1"/>
  <c r="I72" i="19" s="1"/>
  <c r="K72" i="19"/>
  <c r="H65" i="19"/>
  <c r="J65" i="19" s="1"/>
  <c r="I65" i="19" s="1"/>
  <c r="K65" i="19"/>
  <c r="H87" i="19"/>
  <c r="J87" i="19" s="1"/>
  <c r="I87" i="19" s="1"/>
  <c r="K87" i="19"/>
  <c r="K9" i="19"/>
  <c r="H9" i="19"/>
  <c r="J9" i="19" s="1"/>
  <c r="H34" i="19"/>
  <c r="J34" i="19" s="1"/>
  <c r="I34" i="19" s="1"/>
  <c r="K34" i="19"/>
  <c r="H58" i="19"/>
  <c r="J58" i="19" s="1"/>
  <c r="I58" i="19" s="1"/>
  <c r="K58" i="19"/>
  <c r="H18" i="19"/>
  <c r="J18" i="19" s="1"/>
  <c r="I18" i="19" s="1"/>
  <c r="K18" i="19"/>
  <c r="H73" i="19"/>
  <c r="J73" i="19" s="1"/>
  <c r="I73" i="19" s="1"/>
  <c r="K73" i="19"/>
  <c r="H85" i="19"/>
  <c r="J85" i="19" s="1"/>
  <c r="I85" i="19" s="1"/>
  <c r="K85" i="19"/>
  <c r="H37" i="19"/>
  <c r="J37" i="19" s="1"/>
  <c r="I37" i="19" s="1"/>
  <c r="K37" i="19"/>
  <c r="H36" i="19"/>
  <c r="J36" i="19" s="1"/>
  <c r="I36" i="19" s="1"/>
  <c r="K36" i="19"/>
  <c r="H74" i="19"/>
  <c r="J74" i="19" s="1"/>
  <c r="I74" i="19" s="1"/>
  <c r="K74" i="19"/>
  <c r="H86" i="19"/>
  <c r="J86" i="19" s="1"/>
  <c r="I86" i="19" s="1"/>
  <c r="K86" i="19"/>
  <c r="H91" i="19"/>
  <c r="J91" i="19" s="1"/>
  <c r="I91" i="19" s="1"/>
  <c r="K91" i="19"/>
  <c r="K64" i="18"/>
  <c r="H64" i="18"/>
  <c r="K44" i="18"/>
  <c r="H44" i="18"/>
  <c r="H47" i="18"/>
  <c r="K47" i="18"/>
  <c r="H13" i="18"/>
  <c r="K13" i="18"/>
  <c r="K68" i="18"/>
  <c r="M68" i="18" s="1"/>
  <c r="H68" i="18"/>
  <c r="K59" i="18"/>
  <c r="H59" i="18"/>
  <c r="K48" i="18"/>
  <c r="H48" i="18"/>
  <c r="K37" i="18"/>
  <c r="H37" i="18"/>
  <c r="K26" i="18"/>
  <c r="H26" i="18"/>
  <c r="H29" i="18"/>
  <c r="K29" i="18"/>
  <c r="H18" i="18"/>
  <c r="K18" i="18"/>
  <c r="H10" i="18"/>
  <c r="K10" i="18"/>
  <c r="K66" i="18"/>
  <c r="H66" i="18"/>
  <c r="K57" i="18"/>
  <c r="H57" i="18"/>
  <c r="K46" i="18"/>
  <c r="H46" i="18"/>
  <c r="K35" i="18"/>
  <c r="H35" i="18"/>
  <c r="K9" i="18"/>
  <c r="K69" i="18" s="1"/>
  <c r="H9" i="18"/>
  <c r="K72" i="18"/>
  <c r="J71" i="18"/>
  <c r="H16" i="18"/>
  <c r="K16" i="18"/>
  <c r="H17" i="18"/>
  <c r="K17" i="18"/>
  <c r="K55" i="18"/>
  <c r="H55" i="18"/>
  <c r="K30" i="18"/>
  <c r="H30" i="18"/>
  <c r="H22" i="18"/>
  <c r="K22" i="18"/>
  <c r="H12" i="18"/>
  <c r="K12" i="18"/>
  <c r="K62" i="18"/>
  <c r="H62" i="18"/>
  <c r="K53" i="18"/>
  <c r="H53" i="18"/>
  <c r="K39" i="18"/>
  <c r="H39" i="18"/>
  <c r="K28" i="18"/>
  <c r="H28" i="18"/>
  <c r="H38" i="18"/>
  <c r="K38" i="18"/>
  <c r="H20" i="18"/>
  <c r="K20" i="18"/>
  <c r="H89" i="17"/>
  <c r="J89" i="17" s="1"/>
  <c r="I89" i="17" s="1"/>
  <c r="K89" i="17"/>
  <c r="H85" i="17"/>
  <c r="J85" i="17" s="1"/>
  <c r="I85" i="17" s="1"/>
  <c r="K85" i="17"/>
  <c r="H121" i="17"/>
  <c r="J121" i="17" s="1"/>
  <c r="I121" i="17" s="1"/>
  <c r="K121" i="17"/>
  <c r="H84" i="17"/>
  <c r="J84" i="17" s="1"/>
  <c r="I84" i="17" s="1"/>
  <c r="K84" i="17"/>
  <c r="H122" i="17"/>
  <c r="J122" i="17" s="1"/>
  <c r="I122" i="17" s="1"/>
  <c r="K122" i="17"/>
  <c r="O30" i="17"/>
  <c r="K30" i="17"/>
  <c r="H30" i="17"/>
  <c r="J30" i="17" s="1"/>
  <c r="I30" i="17" s="1"/>
  <c r="H6" i="17"/>
  <c r="J6" i="17" s="1"/>
  <c r="K6" i="17"/>
  <c r="K18" i="17"/>
  <c r="H18" i="17"/>
  <c r="J18" i="17" s="1"/>
  <c r="I18" i="17" s="1"/>
  <c r="H61" i="17"/>
  <c r="J61" i="17" s="1"/>
  <c r="I61" i="17" s="1"/>
  <c r="K61" i="17"/>
  <c r="H105" i="17"/>
  <c r="J105" i="17" s="1"/>
  <c r="I105" i="17" s="1"/>
  <c r="K105" i="17"/>
  <c r="K58" i="17"/>
  <c r="H58" i="17"/>
  <c r="J58" i="17" s="1"/>
  <c r="I58" i="17" s="1"/>
  <c r="K66" i="17"/>
  <c r="H66" i="17"/>
  <c r="J66" i="17" s="1"/>
  <c r="I66" i="17" s="1"/>
  <c r="H119" i="17"/>
  <c r="J119" i="17" s="1"/>
  <c r="I119" i="17" s="1"/>
  <c r="K119" i="17"/>
  <c r="K106" i="17"/>
  <c r="H106" i="17"/>
  <c r="J106" i="17" s="1"/>
  <c r="I106" i="17" s="1"/>
  <c r="H114" i="17"/>
  <c r="J114" i="17" s="1"/>
  <c r="I114" i="17" s="1"/>
  <c r="K114" i="17"/>
  <c r="H10" i="17"/>
  <c r="J10" i="17" s="1"/>
  <c r="I10" i="17" s="1"/>
  <c r="K10" i="17"/>
  <c r="H95" i="17"/>
  <c r="J95" i="17" s="1"/>
  <c r="I95" i="17" s="1"/>
  <c r="K95" i="17"/>
  <c r="H123" i="17"/>
  <c r="J123" i="17" s="1"/>
  <c r="I123" i="17" s="1"/>
  <c r="K123" i="17"/>
  <c r="K86" i="17"/>
  <c r="H86" i="17"/>
  <c r="J86" i="17" s="1"/>
  <c r="I86" i="17" s="1"/>
  <c r="H124" i="17"/>
  <c r="J124" i="17" s="1"/>
  <c r="I124" i="17" s="1"/>
  <c r="K124" i="17"/>
  <c r="Q17" i="17"/>
  <c r="H17" i="17"/>
  <c r="J17" i="17" s="1"/>
  <c r="I17" i="17" s="1"/>
  <c r="K17" i="17"/>
  <c r="K35" i="17"/>
  <c r="H35" i="17"/>
  <c r="J35" i="17" s="1"/>
  <c r="I35" i="17" s="1"/>
  <c r="H69" i="17"/>
  <c r="J69" i="17" s="1"/>
  <c r="I69" i="17" s="1"/>
  <c r="K69" i="17"/>
  <c r="H28" i="17"/>
  <c r="J28" i="17" s="1"/>
  <c r="I28" i="17" s="1"/>
  <c r="K28" i="17"/>
  <c r="K68" i="17"/>
  <c r="H68" i="17"/>
  <c r="J68" i="17" s="1"/>
  <c r="I68" i="17" s="1"/>
  <c r="K100" i="17"/>
  <c r="H100" i="17"/>
  <c r="J100" i="17" s="1"/>
  <c r="I100" i="17" s="1"/>
  <c r="H116" i="17"/>
  <c r="J116" i="17" s="1"/>
  <c r="I116" i="17" s="1"/>
  <c r="K116" i="17"/>
  <c r="H97" i="17"/>
  <c r="J97" i="17" s="1"/>
  <c r="I97" i="17" s="1"/>
  <c r="K97" i="17"/>
  <c r="H73" i="17"/>
  <c r="J73" i="17" s="1"/>
  <c r="I73" i="17" s="1"/>
  <c r="K73" i="17"/>
  <c r="H99" i="17"/>
  <c r="J99" i="17" s="1"/>
  <c r="I99" i="17" s="1"/>
  <c r="K99" i="17"/>
  <c r="K53" i="17"/>
  <c r="H53" i="17"/>
  <c r="J53" i="17" s="1"/>
  <c r="I53" i="17" s="1"/>
  <c r="H87" i="17"/>
  <c r="J87" i="17" s="1"/>
  <c r="I87" i="17" s="1"/>
  <c r="K87" i="17"/>
  <c r="H125" i="17"/>
  <c r="J125" i="17" s="1"/>
  <c r="I125" i="17" s="1"/>
  <c r="K125" i="17"/>
  <c r="K80" i="17"/>
  <c r="H80" i="17"/>
  <c r="J80" i="17" s="1"/>
  <c r="I80" i="17" s="1"/>
  <c r="K88" i="17"/>
  <c r="H88" i="17"/>
  <c r="J88" i="17" s="1"/>
  <c r="I88" i="17" s="1"/>
  <c r="K96" i="17"/>
  <c r="H96" i="17"/>
  <c r="J96" i="17" s="1"/>
  <c r="I96" i="17" s="1"/>
  <c r="H126" i="17"/>
  <c r="J126" i="17" s="1"/>
  <c r="I126" i="17" s="1"/>
  <c r="K126" i="17"/>
  <c r="K24" i="17"/>
  <c r="H24" i="17"/>
  <c r="J24" i="17" s="1"/>
  <c r="I24" i="17" s="1"/>
  <c r="K44" i="17"/>
  <c r="H44" i="17"/>
  <c r="J44" i="17" s="1"/>
  <c r="I44" i="17" s="1"/>
  <c r="H19" i="17"/>
  <c r="J19" i="17" s="1"/>
  <c r="I19" i="17" s="1"/>
  <c r="K19" i="17"/>
  <c r="H63" i="17"/>
  <c r="J63" i="17" s="1"/>
  <c r="I63" i="17" s="1"/>
  <c r="K63" i="17"/>
  <c r="H21" i="17"/>
  <c r="J21" i="17" s="1"/>
  <c r="I21" i="17" s="1"/>
  <c r="K21" i="17"/>
  <c r="K43" i="17"/>
  <c r="H43" i="17"/>
  <c r="J43" i="17" s="1"/>
  <c r="I43" i="17" s="1"/>
  <c r="H59" i="17"/>
  <c r="J59" i="17" s="1"/>
  <c r="I59" i="17" s="1"/>
  <c r="K59" i="17"/>
  <c r="K26" i="17"/>
  <c r="H26" i="17"/>
  <c r="J26" i="17" s="1"/>
  <c r="I26" i="17" s="1"/>
  <c r="K50" i="17"/>
  <c r="H50" i="17"/>
  <c r="J50" i="17" s="1"/>
  <c r="I50" i="17" s="1"/>
  <c r="H65" i="17"/>
  <c r="J65" i="17" s="1"/>
  <c r="I65" i="17" s="1"/>
  <c r="K65" i="17"/>
  <c r="H103" i="17"/>
  <c r="J103" i="17" s="1"/>
  <c r="I103" i="17" s="1"/>
  <c r="K103" i="17"/>
  <c r="K62" i="17"/>
  <c r="H62" i="17"/>
  <c r="J62" i="17" s="1"/>
  <c r="I62" i="17" s="1"/>
  <c r="H101" i="17"/>
  <c r="J101" i="17" s="1"/>
  <c r="I101" i="17" s="1"/>
  <c r="K101" i="17"/>
  <c r="H115" i="17"/>
  <c r="J115" i="17" s="1"/>
  <c r="I115" i="17" s="1"/>
  <c r="K115" i="17"/>
  <c r="K102" i="17"/>
  <c r="H102" i="17"/>
  <c r="J102" i="17" s="1"/>
  <c r="I102" i="17" s="1"/>
  <c r="H110" i="17"/>
  <c r="J110" i="17" s="1"/>
  <c r="I110" i="17" s="1"/>
  <c r="K110" i="17"/>
  <c r="H118" i="17"/>
  <c r="J118" i="17" s="1"/>
  <c r="I118" i="17" s="1"/>
  <c r="K118" i="17"/>
  <c r="K13" i="17"/>
  <c r="H13" i="17"/>
  <c r="J13" i="17" s="1"/>
  <c r="I13" i="17" s="1"/>
  <c r="K72" i="17"/>
  <c r="H72" i="17"/>
  <c r="J72" i="17" s="1"/>
  <c r="I72" i="17" s="1"/>
  <c r="H76" i="17"/>
  <c r="J76" i="17" s="1"/>
  <c r="I76" i="17" s="1"/>
  <c r="K76" i="17"/>
  <c r="K92" i="17"/>
  <c r="H92" i="17"/>
  <c r="J92" i="17" s="1"/>
  <c r="I92" i="17" s="1"/>
  <c r="K49" i="17"/>
  <c r="H49" i="17"/>
  <c r="J49" i="17" s="1"/>
  <c r="I49" i="17" s="1"/>
  <c r="H36" i="17"/>
  <c r="J36" i="17" s="1"/>
  <c r="I36" i="17" s="1"/>
  <c r="K36" i="17"/>
  <c r="H52" i="17"/>
  <c r="J52" i="17" s="1"/>
  <c r="I52" i="17" s="1"/>
  <c r="K52" i="17"/>
  <c r="H111" i="17"/>
  <c r="J111" i="17" s="1"/>
  <c r="I111" i="17" s="1"/>
  <c r="K111" i="17"/>
  <c r="H75" i="17"/>
  <c r="J75" i="17" s="1"/>
  <c r="I75" i="17" s="1"/>
  <c r="K75" i="17"/>
  <c r="H91" i="17"/>
  <c r="J91" i="17" s="1"/>
  <c r="I91" i="17" s="1"/>
  <c r="K91" i="17"/>
  <c r="H79" i="17"/>
  <c r="J79" i="17" s="1"/>
  <c r="I79" i="17" s="1"/>
  <c r="K79" i="17"/>
  <c r="K78" i="17"/>
  <c r="H78" i="17"/>
  <c r="J78" i="17" s="1"/>
  <c r="I78" i="17" s="1"/>
  <c r="K94" i="17"/>
  <c r="H94" i="17"/>
  <c r="J94" i="17" s="1"/>
  <c r="I94" i="17" s="1"/>
  <c r="H20" i="17"/>
  <c r="J20" i="17" s="1"/>
  <c r="I20" i="17" s="1"/>
  <c r="K20" i="17"/>
  <c r="H57" i="17"/>
  <c r="J57" i="17" s="1"/>
  <c r="I57" i="17" s="1"/>
  <c r="K57" i="17"/>
  <c r="K60" i="17"/>
  <c r="H60" i="17"/>
  <c r="J60" i="17" s="1"/>
  <c r="I60" i="17" s="1"/>
  <c r="H113" i="17"/>
  <c r="J113" i="17" s="1"/>
  <c r="I113" i="17" s="1"/>
  <c r="K113" i="17"/>
  <c r="H108" i="17"/>
  <c r="J108" i="17" s="1"/>
  <c r="I108" i="17" s="1"/>
  <c r="K108" i="17"/>
  <c r="H15" i="17"/>
  <c r="J15" i="17" s="1"/>
  <c r="I15" i="17" s="1"/>
  <c r="K15" i="17"/>
  <c r="H81" i="17"/>
  <c r="J81" i="17" s="1"/>
  <c r="I81" i="17" s="1"/>
  <c r="K81" i="17"/>
  <c r="H77" i="17"/>
  <c r="J77" i="17" s="1"/>
  <c r="I77" i="17" s="1"/>
  <c r="K77" i="17"/>
  <c r="K70" i="17"/>
  <c r="H70" i="17"/>
  <c r="J70" i="17" s="1"/>
  <c r="I70" i="17" s="1"/>
  <c r="H93" i="17"/>
  <c r="J93" i="17" s="1"/>
  <c r="I93" i="17" s="1"/>
  <c r="K93" i="17"/>
  <c r="H74" i="17"/>
  <c r="J74" i="17" s="1"/>
  <c r="I74" i="17" s="1"/>
  <c r="K74" i="17"/>
  <c r="H82" i="17"/>
  <c r="J82" i="17" s="1"/>
  <c r="I82" i="17" s="1"/>
  <c r="K82" i="17"/>
  <c r="K90" i="17"/>
  <c r="H90" i="17"/>
  <c r="J90" i="17" s="1"/>
  <c r="I90" i="17" s="1"/>
  <c r="K98" i="17"/>
  <c r="H98" i="17"/>
  <c r="J98" i="17" s="1"/>
  <c r="I98" i="17" s="1"/>
  <c r="K48" i="17"/>
  <c r="H48" i="17"/>
  <c r="J48" i="17" s="1"/>
  <c r="I48" i="17" s="1"/>
  <c r="K42" i="17"/>
  <c r="H42" i="17"/>
  <c r="J42" i="17" s="1"/>
  <c r="I42" i="17" s="1"/>
  <c r="H22" i="17"/>
  <c r="J22" i="17" s="1"/>
  <c r="I22" i="17" s="1"/>
  <c r="K22" i="17"/>
  <c r="H55" i="17"/>
  <c r="J55" i="17" s="1"/>
  <c r="I55" i="17" s="1"/>
  <c r="K55" i="17"/>
  <c r="H27" i="17"/>
  <c r="J27" i="17" s="1"/>
  <c r="I27" i="17" s="1"/>
  <c r="K27" i="17"/>
  <c r="H67" i="17"/>
  <c r="J67" i="17" s="1"/>
  <c r="I67" i="17" s="1"/>
  <c r="K67" i="17"/>
  <c r="K34" i="17"/>
  <c r="H34" i="17"/>
  <c r="J34" i="17" s="1"/>
  <c r="I34" i="17" s="1"/>
  <c r="K51" i="17"/>
  <c r="H51" i="17"/>
  <c r="J51" i="17" s="1"/>
  <c r="I51" i="17" s="1"/>
  <c r="H107" i="17"/>
  <c r="J107" i="17" s="1"/>
  <c r="I107" i="17" s="1"/>
  <c r="K107" i="17"/>
  <c r="K56" i="17"/>
  <c r="H56" i="17"/>
  <c r="J56" i="17" s="1"/>
  <c r="I56" i="17" s="1"/>
  <c r="K64" i="17"/>
  <c r="H64" i="17"/>
  <c r="J64" i="17" s="1"/>
  <c r="I64" i="17" s="1"/>
  <c r="H109" i="17"/>
  <c r="J109" i="17" s="1"/>
  <c r="I109" i="17" s="1"/>
  <c r="K109" i="17"/>
  <c r="H117" i="17"/>
  <c r="J117" i="17" s="1"/>
  <c r="I117" i="17" s="1"/>
  <c r="K117" i="17"/>
  <c r="K104" i="17"/>
  <c r="H104" i="17"/>
  <c r="J104" i="17" s="1"/>
  <c r="I104" i="17" s="1"/>
  <c r="H112" i="17"/>
  <c r="J112" i="17" s="1"/>
  <c r="I112" i="17" s="1"/>
  <c r="K112" i="17"/>
  <c r="H120" i="17"/>
  <c r="J120" i="17" s="1"/>
  <c r="I120" i="17" s="1"/>
  <c r="K120" i="17"/>
  <c r="H259" i="16"/>
  <c r="J259" i="16" s="1"/>
  <c r="J92" i="19" l="1"/>
  <c r="J93" i="19" s="1"/>
  <c r="L93" i="19" s="1"/>
  <c r="N93" i="19" s="1"/>
  <c r="I9" i="19"/>
  <c r="P69" i="18"/>
  <c r="Q69" i="18" s="1"/>
  <c r="M69" i="18"/>
  <c r="J72" i="18"/>
  <c r="I71" i="18"/>
  <c r="K78" i="18"/>
  <c r="K73" i="18"/>
  <c r="K74" i="18" s="1"/>
  <c r="K127" i="17"/>
  <c r="J127" i="17"/>
  <c r="J128" i="17" s="1"/>
  <c r="J129" i="17" s="1"/>
  <c r="I6" i="17"/>
  <c r="J78" i="18" l="1"/>
  <c r="J73" i="18"/>
  <c r="I72" i="18"/>
  <c r="K128" i="17"/>
  <c r="K129" i="17" s="1"/>
  <c r="K130" i="17" s="1"/>
  <c r="N127" i="17"/>
  <c r="J74" i="18" l="1"/>
  <c r="I73" i="18"/>
  <c r="I78" i="18"/>
  <c r="L78" i="18"/>
  <c r="M78" i="18" s="1"/>
  <c r="K131" i="17"/>
  <c r="L131" i="17" s="1"/>
  <c r="I74" i="18" l="1"/>
  <c r="J75" i="18"/>
  <c r="J76" i="18" l="1"/>
  <c r="I76" i="18" s="1"/>
  <c r="I75" i="18"/>
  <c r="M75" i="18"/>
  <c r="I11" i="15" l="1"/>
  <c r="I12" i="15"/>
  <c r="I13" i="15"/>
  <c r="I14" i="15"/>
  <c r="I15" i="15"/>
  <c r="I16" i="15"/>
  <c r="I17" i="15"/>
  <c r="I18" i="15"/>
  <c r="I19" i="15"/>
  <c r="I20" i="15"/>
  <c r="I21" i="15"/>
  <c r="I22" i="15"/>
  <c r="I10" i="15"/>
  <c r="J11" i="15" l="1"/>
  <c r="J12" i="15"/>
  <c r="J13" i="15"/>
  <c r="J14" i="15"/>
  <c r="J15" i="15"/>
  <c r="J16" i="15"/>
  <c r="J17" i="15"/>
  <c r="J18" i="15"/>
  <c r="J19" i="15"/>
  <c r="J20" i="15"/>
  <c r="J21" i="15"/>
  <c r="J22" i="15"/>
  <c r="J10" i="15"/>
  <c r="T11" i="1"/>
  <c r="T12" i="1"/>
  <c r="T13" i="1"/>
  <c r="T14" i="1"/>
  <c r="T15" i="1"/>
  <c r="T16" i="1"/>
  <c r="T17" i="1"/>
  <c r="T18" i="1"/>
  <c r="T19" i="1"/>
  <c r="T10" i="1"/>
  <c r="H31" i="15"/>
  <c r="I30" i="15"/>
  <c r="I29" i="15"/>
  <c r="I28" i="15"/>
  <c r="I31" i="15" s="1"/>
  <c r="I27" i="15"/>
  <c r="I26" i="15"/>
  <c r="H21" i="15"/>
  <c r="G16" i="15"/>
  <c r="H16" i="15" s="1"/>
  <c r="H22" i="15" s="1"/>
  <c r="F16" i="15"/>
  <c r="O14" i="15"/>
  <c r="O20" i="15" s="1"/>
  <c r="O21" i="15" s="1"/>
  <c r="H14" i="15"/>
  <c r="H15" i="15" s="1"/>
  <c r="H13" i="15"/>
  <c r="H11" i="15"/>
  <c r="H10" i="15"/>
  <c r="H12" i="15" s="1"/>
  <c r="U10" i="1" l="1"/>
  <c r="L78" i="14"/>
  <c r="L77" i="14"/>
  <c r="L71" i="14"/>
  <c r="L70" i="14"/>
  <c r="L64" i="14"/>
  <c r="L63" i="14"/>
  <c r="L57" i="14"/>
  <c r="L56" i="14"/>
  <c r="L50" i="14"/>
  <c r="L49" i="14"/>
  <c r="L43" i="14"/>
  <c r="L42" i="14"/>
  <c r="L36" i="14"/>
  <c r="L35" i="14"/>
  <c r="L29" i="14"/>
  <c r="L28" i="14"/>
  <c r="L22" i="14"/>
  <c r="L21" i="14"/>
  <c r="L15" i="14"/>
  <c r="L14" i="14"/>
  <c r="L8" i="14"/>
  <c r="L7" i="14"/>
  <c r="E11" i="2" l="1"/>
  <c r="M23" i="8" l="1"/>
  <c r="N23" i="8"/>
  <c r="U9" i="12"/>
  <c r="Q9" i="12"/>
  <c r="O7" i="12" l="1"/>
  <c r="O9" i="12"/>
  <c r="O10" i="12"/>
  <c r="O11" i="12"/>
  <c r="O12" i="12"/>
  <c r="O8" i="12"/>
  <c r="G67" i="8" l="1"/>
  <c r="H67" i="8"/>
  <c r="I67" i="8"/>
  <c r="F67" i="8"/>
  <c r="J66" i="8"/>
  <c r="J67" i="8" s="1"/>
  <c r="J65" i="8"/>
  <c r="G56" i="8"/>
  <c r="H56" i="8"/>
  <c r="I56" i="8"/>
  <c r="F56" i="8"/>
  <c r="J55" i="8"/>
  <c r="J54" i="8"/>
  <c r="J53" i="8"/>
  <c r="J52" i="8"/>
  <c r="J51" i="8"/>
  <c r="J50" i="8"/>
  <c r="J49" i="8"/>
  <c r="G40" i="8"/>
  <c r="H40" i="8"/>
  <c r="I40" i="8"/>
  <c r="F40" i="8"/>
  <c r="J39" i="8"/>
  <c r="J40" i="8" s="1"/>
  <c r="G30" i="8"/>
  <c r="H30" i="8"/>
  <c r="I30" i="8"/>
  <c r="F30" i="8"/>
  <c r="J29" i="8"/>
  <c r="J28" i="8"/>
  <c r="J27" i="8"/>
  <c r="J26" i="8"/>
  <c r="G20" i="8"/>
  <c r="J7" i="8"/>
  <c r="J8" i="8"/>
  <c r="J9" i="8"/>
  <c r="J10" i="8"/>
  <c r="J11" i="8"/>
  <c r="J12" i="8"/>
  <c r="J13" i="8"/>
  <c r="J14" i="8"/>
  <c r="J15" i="8"/>
  <c r="J16" i="8"/>
  <c r="J17" i="8"/>
  <c r="J18" i="8"/>
  <c r="J19" i="8"/>
  <c r="J6" i="8"/>
  <c r="F20" i="8"/>
  <c r="E18" i="7"/>
  <c r="J56" i="8" l="1"/>
  <c r="J30" i="8"/>
  <c r="J20" i="8"/>
  <c r="I34" i="1" l="1"/>
  <c r="K20" i="1" l="1"/>
  <c r="J20" i="1"/>
  <c r="I20" i="1"/>
  <c r="I21" i="1" s="1"/>
  <c r="H20" i="1"/>
  <c r="G21" i="1" s="1"/>
  <c r="G20" i="1"/>
  <c r="O19" i="1"/>
  <c r="O18" i="1"/>
  <c r="O17" i="1"/>
  <c r="O16" i="1"/>
  <c r="O15" i="1"/>
  <c r="O14" i="1"/>
  <c r="O13" i="1"/>
  <c r="O12" i="1"/>
  <c r="O11" i="1"/>
  <c r="O10" i="1"/>
  <c r="O9" i="1"/>
  <c r="O20" i="1" s="1"/>
  <c r="I20" i="8"/>
  <c r="H20" i="8"/>
</calcChain>
</file>

<file path=xl/sharedStrings.xml><?xml version="1.0" encoding="utf-8"?>
<sst xmlns="http://schemas.openxmlformats.org/spreadsheetml/2006/main" count="3576" uniqueCount="918">
  <si>
    <t xml:space="preserve">Start Month </t>
  </si>
  <si>
    <t>End Month</t>
  </si>
  <si>
    <t>Year</t>
  </si>
  <si>
    <t>Land &amp; site Development (CR)</t>
  </si>
  <si>
    <t>Building &amp; Civil Works (CR)</t>
  </si>
  <si>
    <t>Plant &amp; machinery
(CR)</t>
  </si>
  <si>
    <t>Misc Fixed Asset (CR)</t>
  </si>
  <si>
    <t>IDC 
(CR)</t>
  </si>
  <si>
    <t xml:space="preserve">Pre-operative
(CR) </t>
  </si>
  <si>
    <t>Working Capital
(CR)</t>
  </si>
  <si>
    <t>Sub Total
(CR)</t>
  </si>
  <si>
    <t>Indeginious</t>
  </si>
  <si>
    <t>Imported</t>
  </si>
  <si>
    <t>July</t>
  </si>
  <si>
    <t>Sep</t>
  </si>
  <si>
    <t>Oct</t>
  </si>
  <si>
    <t>Dec</t>
  </si>
  <si>
    <t>Jan</t>
  </si>
  <si>
    <t>Mar</t>
  </si>
  <si>
    <t>Apr</t>
  </si>
  <si>
    <t>Jun</t>
  </si>
  <si>
    <t>TOTAL</t>
  </si>
  <si>
    <t>Mobile Phones</t>
  </si>
  <si>
    <t>Annum</t>
  </si>
  <si>
    <t>Refrigrators</t>
  </si>
  <si>
    <t>S.No.</t>
  </si>
  <si>
    <t>SECTIONS</t>
  </si>
  <si>
    <t>AMOUNT
(in Cr.)</t>
  </si>
  <si>
    <t xml:space="preserve">Plant &amp; machinery
</t>
  </si>
  <si>
    <t xml:space="preserve">Building &amp; Civil Works </t>
  </si>
  <si>
    <t>Pre-operative</t>
  </si>
  <si>
    <t xml:space="preserve">Misc Fixed Asset </t>
  </si>
  <si>
    <t xml:space="preserve">Working Capital
</t>
  </si>
  <si>
    <t>Interest During Construction</t>
  </si>
  <si>
    <t xml:space="preserve">Land &amp; Site Development </t>
  </si>
  <si>
    <t>Indeginous</t>
  </si>
  <si>
    <t xml:space="preserve">Actual Agreement </t>
  </si>
  <si>
    <t>Dated</t>
  </si>
  <si>
    <t>1 Party</t>
  </si>
  <si>
    <t>2 Party</t>
  </si>
  <si>
    <t>Samsung India Electronics Pvt Ltd</t>
  </si>
  <si>
    <t>Samsung India C&amp;T pvt. Ltd.</t>
  </si>
  <si>
    <t>Starting Date</t>
  </si>
  <si>
    <t>End date</t>
  </si>
  <si>
    <t>Amount</t>
  </si>
  <si>
    <t>Contractor</t>
  </si>
  <si>
    <t>Addendum-1</t>
  </si>
  <si>
    <t>Addendum-2</t>
  </si>
  <si>
    <t>Addendum-3</t>
  </si>
  <si>
    <t>S. No.</t>
  </si>
  <si>
    <t>Building Name</t>
  </si>
  <si>
    <t>Nature of Construction</t>
  </si>
  <si>
    <t>Type of Construction</t>
  </si>
  <si>
    <t>Specific features</t>
  </si>
  <si>
    <t>Hand Held Phones Building
(HHP)</t>
  </si>
  <si>
    <t>Foors</t>
  </si>
  <si>
    <t>This block is for the mobile production having facility for SMD line (F. floor) and different main line (G.Floor). Complete building has constructed with steel structure, deck sheet, RCC floor associated with fire retardant gypsum partition , fire door and segregation of service area and production area. Dimension shall be consider as per the layout. This building block consist warehouse also to its outer wall area in connection to production area and dock leveler
(Without ref building area)</t>
  </si>
  <si>
    <t>Total value</t>
  </si>
  <si>
    <t xml:space="preserve"> This blow is for the office purpose over its first floor and cafeteria on its ground floor. Complete building has constructed with steel structure, deck sheet, rcc floor associated with fire retardant gypsum partition , fire door and segregation of service area and office area. All the cafeteria services installed on ground floor except its suction , exhaust and air con.Dimension shall be consider as per the layout</t>
  </si>
  <si>
    <t>New Construction</t>
  </si>
  <si>
    <t>SS Wall Cladding with Safety Guard</t>
  </si>
  <si>
    <t>Advance technology (piles footing method).</t>
  </si>
  <si>
    <t>Services over false ceiling.</t>
  </si>
  <si>
    <t>G + 2 Floor</t>
  </si>
  <si>
    <t>Utility Building</t>
  </si>
  <si>
    <t>Idle installation of DG set and other machines.</t>
  </si>
  <si>
    <t>G+1 Floors</t>
  </si>
  <si>
    <t xml:space="preserve"> 
This block is for the complete utility services for HHP block, corporate office , RO plant, and all other associated area within the boundary of company. Complete building has constructed with steel structure, deck sheet, rcc floor associated with fire retardant gypsum partition , fire door and segregation of service area and office area. Utility service office and control room installed over first floor of this building. This block majorly have Chiller, Compressor, DG set, GIS, CCR, N2 plant, Pump and 132KV/11KV transformer and many more operation and control facilitation.</t>
  </si>
  <si>
    <t>Fire retardant gypsum partition, Fire rated door.</t>
  </si>
  <si>
    <t>ESD Flooring, Steel structure.</t>
  </si>
  <si>
    <t>Advance technology (Piles footing method).</t>
  </si>
  <si>
    <t>Special epoxy paint in cafeteria, Global cafeteria standard</t>
  </si>
  <si>
    <t>Steel structure,  Services over false ceiling</t>
  </si>
  <si>
    <t>Fire retardant gypsum partition, Fire rated door</t>
  </si>
  <si>
    <t>RCC + deck sheet used for the flooring preparation, Services over false ceiling.</t>
  </si>
  <si>
    <t>Steel structure, Sandwich panel outer wall.</t>
  </si>
  <si>
    <t>Control and scada of all the machines, Indoor GIS substation.</t>
  </si>
  <si>
    <t>Centralized major utility equipment's, High safety standard.</t>
  </si>
  <si>
    <t>Corporate Office &amp; Canteen</t>
  </si>
  <si>
    <t>Steel structure, Sandwich panel outer wall, Advance technology (piles footing method).</t>
  </si>
  <si>
    <t>RCC + Deck sheet used for the flooring preparation, Sandwich panel outer wall.</t>
  </si>
  <si>
    <t>RO Plant</t>
  </si>
  <si>
    <t>High safety standard, Advance technology (piles footing method).</t>
  </si>
  <si>
    <t>Services over false ceiling, RCC + deck sheet used for the flooring preparation.</t>
  </si>
  <si>
    <t xml:space="preserve"> 
This block is for the water system across  the factory having underground tank, water storage tank, fire fighting equipment's (in its basement). Complete water is being supplied and quality parameter is being monitored centrally from this block. This block has constructed with steel structure, having all around sheeting materials.</t>
  </si>
  <si>
    <t xml:space="preserve">Basement + Ground Floor </t>
  </si>
  <si>
    <t>Waste Segregation Area</t>
  </si>
  <si>
    <t>Ground Floor</t>
  </si>
  <si>
    <t>Tin Shed mounted over steel girders and pillars with centeral height of 25 ft.</t>
  </si>
  <si>
    <t>Tin Shed wall</t>
  </si>
  <si>
    <t>Primary and secondary RO treatment.</t>
  </si>
  <si>
    <t>Standard product and energy efficient pump.</t>
  </si>
  <si>
    <t>Centralized RO plant, Epoxy flooring.</t>
  </si>
  <si>
    <t>Diesel Tank</t>
  </si>
  <si>
    <t xml:space="preserve">Basement </t>
  </si>
  <si>
    <t xml:space="preserve">Underground RCC tank </t>
  </si>
  <si>
    <t>Meter room</t>
  </si>
  <si>
    <t>RCC structure</t>
  </si>
  <si>
    <t>Security-1</t>
  </si>
  <si>
    <t>Security-2</t>
  </si>
  <si>
    <t>Security-6</t>
  </si>
  <si>
    <t>NA</t>
  </si>
  <si>
    <t>Sr. No.</t>
  </si>
  <si>
    <t>Capitalisation  Period</t>
  </si>
  <si>
    <t>Major Category</t>
  </si>
  <si>
    <t>Category
as per certificate</t>
  </si>
  <si>
    <t>Asset Code</t>
  </si>
  <si>
    <t>Product Name</t>
  </si>
  <si>
    <t>Capitalisation Number</t>
  </si>
  <si>
    <t>Capitalisation Description
(Latest FAR</t>
  </si>
  <si>
    <t>Capitalisaton Date</t>
  </si>
  <si>
    <t>Invoice Number</t>
  </si>
  <si>
    <t>Invoice Date</t>
  </si>
  <si>
    <t>Machine Description</t>
  </si>
  <si>
    <t>Exchange rate
(on the Invoice Date)</t>
  </si>
  <si>
    <t>Supplier Name</t>
  </si>
  <si>
    <t>Basic Amount</t>
  </si>
  <si>
    <t>Other Expense
(Freight/ Custom duty etc)</t>
  </si>
  <si>
    <t>GST/VAT/Excise
Credit</t>
  </si>
  <si>
    <t>Total Invoice Amt</t>
  </si>
  <si>
    <t>Net Amount Capitalised</t>
  </si>
  <si>
    <t>Location of Asset</t>
  </si>
  <si>
    <t>Payment V.No.</t>
  </si>
  <si>
    <t>Payment Amt</t>
  </si>
  <si>
    <t>Asset Accquisition Type</t>
  </si>
  <si>
    <t>Transaction no</t>
  </si>
  <si>
    <t>Payment date</t>
  </si>
  <si>
    <t>Vendor code</t>
  </si>
  <si>
    <t>Remarks</t>
  </si>
  <si>
    <t>Currency</t>
  </si>
  <si>
    <t>Basic Amount (FC)</t>
  </si>
  <si>
    <t>Exchange Rate</t>
  </si>
  <si>
    <t>Basic Amount (INR)</t>
  </si>
  <si>
    <t>Nature Of Invoice
(imported/ Local/ Inhouse)</t>
  </si>
  <si>
    <t>If inhouse then breakup of Costing</t>
  </si>
  <si>
    <t>REQUIREMENT DETAILS ASKED BY RK TEAM</t>
  </si>
  <si>
    <t>Moulds</t>
  </si>
  <si>
    <t>Machine &amp; Equipment (M&amp;E)</t>
  </si>
  <si>
    <t xml:space="preserve">Cost Incurred in btw 01-07-2018 to 31-03-2021 as per FAR </t>
  </si>
  <si>
    <t>M&amp;E-Automation</t>
  </si>
  <si>
    <t>M&amp;E-Measurement</t>
  </si>
  <si>
    <t>Otr TA-Computer</t>
  </si>
  <si>
    <t>Otr TA-Equip&amp;Furn</t>
  </si>
  <si>
    <t>Otr TA-IT Equipment</t>
  </si>
  <si>
    <t>Otr TA-Office Equip</t>
  </si>
  <si>
    <t>Otr TA-Otr</t>
  </si>
  <si>
    <t>Otr TA-Tools&amp;Fix</t>
  </si>
  <si>
    <t>Software-External</t>
  </si>
  <si>
    <t>Building</t>
  </si>
  <si>
    <t>Building &amp; Structures</t>
  </si>
  <si>
    <t>Leasehold Improvement-New plant</t>
  </si>
  <si>
    <t>Grand Total</t>
  </si>
  <si>
    <t>Vehicles</t>
  </si>
  <si>
    <t>Name of Contractor</t>
  </si>
  <si>
    <t>Scope of Work</t>
  </si>
  <si>
    <t>Contract Amount</t>
  </si>
  <si>
    <t xml:space="preserve">M/s. Samsung C&amp;T India Pvt. Ltd. </t>
  </si>
  <si>
    <t>HHP Building</t>
  </si>
  <si>
    <t>Construction of Dock Area within the main building along with related facilities.</t>
  </si>
  <si>
    <t>Construction of Non-Finishing Area within main building</t>
  </si>
  <si>
    <t>Construction of main building</t>
  </si>
  <si>
    <t>Construction of roof structure of the main building.</t>
  </si>
  <si>
    <t>Complete setup &amp; arrangement of the commissioning of clean room within the main building.</t>
  </si>
  <si>
    <t>Cafeteria</t>
  </si>
  <si>
    <t>Construction of Kitchen block &amp; Dinning hall</t>
  </si>
  <si>
    <t>Washroom, Kitchen equipment Cleaning room, storage area, internal ducting &amp; ventilation.</t>
  </si>
  <si>
    <t>AHU room, Plumbig, Piping, Sanitary fixture &amp; fitting as per the requirement</t>
  </si>
  <si>
    <t>Office Building</t>
  </si>
  <si>
    <t>Construction of Office area, washroom, Server room, Storage area, Meeting room, Reception, AHU room, Piping Ducting &amp; all related interior infra work.</t>
  </si>
  <si>
    <t xml:space="preserve">YEARWISE COST INCURRED IN PLANT &amp; MACHINERY BETWEEN 01-07-2018 to 31-03-2021 AS PER  FAR </t>
  </si>
  <si>
    <t xml:space="preserve">YEARWISE COST INCURRED IN MOULDS BETWEEN 01-07-2018 to 31-03-2021 AS PER  FAR </t>
  </si>
  <si>
    <t xml:space="preserve">YEARWISE COST INCURRED IN MISC. FIXED ASSETS BETWEEN 01-07-2018 to 31-03-2021 AS PER  FAR </t>
  </si>
  <si>
    <t xml:space="preserve">YEARWISE COST INCURRED IN BUILDING STRUCTURES AND LEASEHOLD LAND IMPROVEMENT BETWEEN 01-07-2018 to 31-03-2021 AS PER  FAR </t>
  </si>
  <si>
    <t>NOTES:_</t>
  </si>
  <si>
    <t>1.Detailed break-up of expenditure in Plant &amp; machinery is annexed with the report.</t>
  </si>
  <si>
    <t>2.Only Major expenditure incurred are cross checked with the available invoices.</t>
  </si>
  <si>
    <t>1.Detailed break-up of expenditure in mould is annexed with the report.</t>
  </si>
  <si>
    <t>1.Detailed break-up of expenditure in misc. fixed assets is annexed with the report.</t>
  </si>
  <si>
    <t>1.Detailed break-up of expenditure in building structure is annexed with the report.</t>
  </si>
  <si>
    <t>QUERIES</t>
  </si>
  <si>
    <t>REPLY</t>
  </si>
  <si>
    <t>Please provide the detailed FAR of Plant &amp; Machinery and other Miss. Fixed Asstes purchased during expension and mentioned in documents provided
(should contain Description of asset, date of capatalization, amount of capatalization) in excel format</t>
  </si>
  <si>
    <t>Please provide bills/invoices for the amount for puchasing of Plant &amp; Machinery and Miss. Fixed Assets.</t>
  </si>
  <si>
    <t>Statement of Expenditure as per proposed heads.</t>
  </si>
  <si>
    <t>Name of the Civil and EPC contractor appointed</t>
  </si>
  <si>
    <t>Attach building civil work estimate and agreement with the Civil contractor</t>
  </si>
  <si>
    <t xml:space="preserve">Attach EPC and other major contractor agreement </t>
  </si>
  <si>
    <t>Attach Bills/Invoices for the amount of expenditure incurred from 01/047/2018 to 31/03/2021</t>
  </si>
  <si>
    <t>Attach all Project approvals/Clearances sought from different government agencies</t>
  </si>
  <si>
    <t>Attach latest approved building plan (with marked changes- if any)</t>
  </si>
  <si>
    <t>Land title deeds (related to this investment)</t>
  </si>
  <si>
    <t>Plese provide deatiled breakup of the expenses incurred in each head in separate sheet as per the expension project cost</t>
  </si>
  <si>
    <t xml:space="preserve"> </t>
  </si>
  <si>
    <t>Attach ledger for different heads party wise for the amount incurred upto till date.</t>
  </si>
  <si>
    <t>Attach CA Certificate</t>
  </si>
  <si>
    <t>Note</t>
  </si>
  <si>
    <t>Please provide necessary documentary proof, evidence wherever required.</t>
  </si>
  <si>
    <t>Company code</t>
  </si>
  <si>
    <t>Asset</t>
  </si>
  <si>
    <t>Asset Description</t>
  </si>
  <si>
    <t>Asset Description 2</t>
  </si>
  <si>
    <t>Asset Class</t>
  </si>
  <si>
    <t>GL Desc</t>
  </si>
  <si>
    <t>IE Head</t>
  </si>
  <si>
    <t>Cost Cctr</t>
  </si>
  <si>
    <t>Job Category</t>
  </si>
  <si>
    <t>Cap. Date</t>
  </si>
  <si>
    <t>Quantity</t>
  </si>
  <si>
    <t>Unit</t>
  </si>
  <si>
    <t>Use. Life</t>
  </si>
  <si>
    <t>Inventory number</t>
  </si>
  <si>
    <t>Acqusition Value</t>
  </si>
  <si>
    <t>C550</t>
  </si>
  <si>
    <t>STAND-TABLE;BELLE-COTE,PP,EBONY BLACK,BJ</t>
  </si>
  <si>
    <t>STAND-TABLE</t>
  </si>
  <si>
    <t>Mould</t>
  </si>
  <si>
    <t>P&amp;M</t>
  </si>
  <si>
    <t>C550Z233</t>
  </si>
  <si>
    <t>CCF</t>
  </si>
  <si>
    <t>PC</t>
  </si>
  <si>
    <t>MOULD</t>
  </si>
  <si>
    <t>SM-M307F CASE REAR [GH61-14977A001][F99357]</t>
  </si>
  <si>
    <t>CASE-REAR;SM-M307F,PC,BLACK</t>
  </si>
  <si>
    <t>C5500143</t>
  </si>
  <si>
    <t>BFD</t>
  </si>
  <si>
    <t>CABINET-BOTTOM FRAME</t>
  </si>
  <si>
    <t>CASE REAR(5.0~6.9″) SPARE</t>
  </si>
  <si>
    <t>CABINET-REAR FRAME [F86811]</t>
  </si>
  <si>
    <t>9013433617-17.03.19-BOE-2926989-22.04.19</t>
  </si>
  <si>
    <t>TRAY STAND;BELLE-COTE,PP,INOX GRAY</t>
  </si>
  <si>
    <t>TRAY STAND</t>
  </si>
  <si>
    <t>CASE-REAR;GT-E1200T,PC,GRAY-F80034</t>
  </si>
  <si>
    <t>Inv No 9012779194 Dt14.9.18 BOE-8088730 dt-17.9.18</t>
  </si>
  <si>
    <t>C550Z235</t>
  </si>
  <si>
    <t>IEG</t>
  </si>
  <si>
    <t>CASE-FRONT PMO;SM-M305F,PC+GF,BLACK</t>
  </si>
  <si>
    <t>CASE-REAR;GT-E1200T,PC,GRAY</t>
  </si>
  <si>
    <t>9015022656-21.07.20-BOE-8248244-22.07.20</t>
  </si>
  <si>
    <t>CASE-REAR;GT-E1200T,PC,GRAY- H39450</t>
  </si>
  <si>
    <t>Inv-9015950452 Dt.15.03.21 BOE-3197411 dt.18.03.21</t>
  </si>
  <si>
    <t>CASE-REAR;SM-B110E,PC,GRAY,INS</t>
  </si>
  <si>
    <t>CASE-FRONT;GT-E1200,PC,BLACK,EU,122-F80033</t>
  </si>
  <si>
    <t>SHELF-SLIDE OUT;3050(RT250),HIPS,T2.5,CO</t>
  </si>
  <si>
    <t>SHELF-SLIDE OUT</t>
  </si>
  <si>
    <t>C550Z234</t>
  </si>
  <si>
    <t>CASE-REAR;SM-B110E,PC,GRAY,INS-F77191</t>
  </si>
  <si>
    <t>9012605605-27.7.18-BOE-7431654-27.7.18</t>
  </si>
  <si>
    <t>CASE-REAR;SM-A715F,PC+GF,BLACK</t>
  </si>
  <si>
    <t>CASE-FRONT;GT-E1200,PC,BLACK,EU,122-F91787</t>
  </si>
  <si>
    <t>Inv No 9013334477 Dt28.02.19 BOE-2281316 dt-04.03.</t>
  </si>
  <si>
    <t>GT-E1200 CASE FRONT[GH61-00624A097][F81785]</t>
  </si>
  <si>
    <t>CASE-FRONT;GT-E1200,PC,BLACK,EU,122</t>
  </si>
  <si>
    <t>SM-A307FN CASE REAR [GH61-15014A001][F99963]</t>
  </si>
  <si>
    <t>CASE-PMO REAR_V3;SM-A307FN,PC+GF,BLACK</t>
  </si>
  <si>
    <t>INVEST_PUMI_T2020121700000068966</t>
  </si>
  <si>
    <t>CAP DOOR-REF UPP</t>
  </si>
  <si>
    <t>CASE-REAR COVER_V1;SM-A750F,PC,DARK GRAY</t>
  </si>
  <si>
    <t>CASE-REAR M10FC;SM-M105F,PC,BLACK</t>
  </si>
  <si>
    <t>CASE-FRONT M10FC;SM-M105F,PC+GF,BLACK</t>
  </si>
  <si>
    <t>CASE-REAR;SM-A260F,PC,DARK GRAY-F90052</t>
  </si>
  <si>
    <t>Inv No 9013239872 Dt30.01.19 BOE-9882614 dt-01.02.</t>
  </si>
  <si>
    <t>CASE-REAR V2;SM-A260F,PC,DARK GRAY-F90053</t>
  </si>
  <si>
    <t>CASE-REAR PMO;SM-M305F,PC+GF,BLACK</t>
  </si>
  <si>
    <t>SM-J415F CASE REAR[GH61-13801A023][F78397]</t>
  </si>
  <si>
    <t>Inv No 9012689988 Dt22.8.18 BOE-7804640 dt-27.8.18</t>
  </si>
  <si>
    <t>SM-J415F CASE REAR[GH61-13801A024][F78398]</t>
  </si>
  <si>
    <t>SM-J415F CASE REAR[GH61-13801A025][F78399]</t>
  </si>
  <si>
    <t>CASE-REAR;SM-M307F,PC,BLACK-H01202</t>
  </si>
  <si>
    <t>Inv No 9013882039 Dt31.07.19 BOE-4325324 dt-01.08.</t>
  </si>
  <si>
    <t>CASE-REAR;SM-M307F,PC,BLACK-H01203</t>
  </si>
  <si>
    <t>CASE-REAR;SM-M307F,PC,BLACK-H01204</t>
  </si>
  <si>
    <t>CASE-PMO_REAR;SM-J415F,PC+GF,BLACK-F78407</t>
  </si>
  <si>
    <t>Inv No 9012726194 Dt31.8.18 BOE-7893794 dt-03.9.18</t>
  </si>
  <si>
    <t>CASE-PMO_REAR;SM-J415F,PC+GF,BLACK-F78408</t>
  </si>
  <si>
    <t>CASE-PMO_REAR;SM-J415F,PC+GF,BLACK-F78409</t>
  </si>
  <si>
    <t>CASE-REAR;SM-M307F,PC,BLACK-H01197</t>
  </si>
  <si>
    <t>Inv No 9013877844 Dt30.07.19 BOE-4325682 dt-01.08.</t>
  </si>
  <si>
    <t>Samsung C&amp;T running bills-Infra &amp; other</t>
  </si>
  <si>
    <t>Otr TA-LH Improv</t>
  </si>
  <si>
    <t>Civil</t>
  </si>
  <si>
    <t>C5500165</t>
  </si>
  <si>
    <t>IJA</t>
  </si>
  <si>
    <t>LEASEHOLD IMPROVEMENT</t>
  </si>
  <si>
    <t>Lights-HHP New Plant</t>
  </si>
  <si>
    <t>Samsung C&amp;T running bills</t>
  </si>
  <si>
    <t>C5500135</t>
  </si>
  <si>
    <t>CBB</t>
  </si>
  <si>
    <t>LIGHTS</t>
  </si>
  <si>
    <t>Jig for Model A525/A526</t>
  </si>
  <si>
    <t>Multiple Invoice</t>
  </si>
  <si>
    <t>C5500145</t>
  </si>
  <si>
    <t>BDA</t>
  </si>
  <si>
    <t>JIG</t>
  </si>
  <si>
    <t>R/O, SWRO SYSTEM-New plant</t>
  </si>
  <si>
    <t>M&amp;E</t>
  </si>
  <si>
    <t>C5500056</t>
  </si>
  <si>
    <t>DDB</t>
  </si>
  <si>
    <t>R/O-SWRO SYSTEM</t>
  </si>
  <si>
    <t>Elevator for New HHP Plant</t>
  </si>
  <si>
    <t>C5500133</t>
  </si>
  <si>
    <t>ELEVATOR</t>
  </si>
  <si>
    <t>MTR-1-32/40MVA</t>
  </si>
  <si>
    <t>MTR &amp;GIS</t>
  </si>
  <si>
    <t>MTR-2-32/40MVA</t>
  </si>
  <si>
    <t>MTR-3-32/40MVA</t>
  </si>
  <si>
    <t>MTR-4-32/40MVA</t>
  </si>
  <si>
    <t>Jig for Model M022</t>
  </si>
  <si>
    <t>Jig for Model A125</t>
  </si>
  <si>
    <t>DG Set-5-3110KVA-20V4000G63L</t>
  </si>
  <si>
    <t>DG SET</t>
  </si>
  <si>
    <t>DG Set-6-3110KVA-20V4000G63L</t>
  </si>
  <si>
    <t>DG Set-7-3110KVA-20V4000G63L</t>
  </si>
  <si>
    <t>DG Set-8-3110KVA-20V4000G63L</t>
  </si>
  <si>
    <t>DG Set-9-3110KVA-20V4000G63L</t>
  </si>
  <si>
    <t>DG Set-10-3110KVA-20V4000G63L</t>
  </si>
  <si>
    <t>DG Set-11-3110KVA-20V4000G63L</t>
  </si>
  <si>
    <t>DG Set-12-3110KVA-20V4000G63L</t>
  </si>
  <si>
    <t>DG Set-13-3110KVA-20V4000G63L</t>
  </si>
  <si>
    <t>DG Set-14-3110KVA-20V4000G63L</t>
  </si>
  <si>
    <t>Shutter-New plant-HHP</t>
  </si>
  <si>
    <t>C5500150</t>
  </si>
  <si>
    <t>SHUTTER</t>
  </si>
  <si>
    <t>Jig for Model A02/M025</t>
  </si>
  <si>
    <t>C5500161</t>
  </si>
  <si>
    <t>Multiple Invoices</t>
  </si>
  <si>
    <t>Jig for Model A725</t>
  </si>
  <si>
    <t>Dock Leveler-HHP-New plant</t>
  </si>
  <si>
    <t>C5500144</t>
  </si>
  <si>
    <t>DOCK LEVELER</t>
  </si>
  <si>
    <t>Jig for Model M127</t>
  </si>
  <si>
    <t>Jig for Model A325</t>
  </si>
  <si>
    <t>Shutter-New plant-Common</t>
  </si>
  <si>
    <t>Jig for Model A02s</t>
  </si>
  <si>
    <t>C5500159</t>
  </si>
  <si>
    <t>Dage X-Ray System-NT100</t>
  </si>
  <si>
    <t>HT-IN-180606-02-17.07.18-BOE-7302992-20.07.18</t>
  </si>
  <si>
    <t>X-RAY MACHINE</t>
  </si>
  <si>
    <t>Lights-New Corporate Office</t>
  </si>
  <si>
    <t>Street lights-New plant</t>
  </si>
  <si>
    <t>STREET LIGHTES</t>
  </si>
  <si>
    <t>Jig for Model M022/A022</t>
  </si>
  <si>
    <t>Cabinet Foaming Machine_Capa Up</t>
  </si>
  <si>
    <t>C5500037</t>
  </si>
  <si>
    <t>Jig for Model E625</t>
  </si>
  <si>
    <t>RTS65 Chamber</t>
  </si>
  <si>
    <t>9015009384-16.07.20-BOE-8237415-21.07.20</t>
  </si>
  <si>
    <t>C5500148</t>
  </si>
  <si>
    <t>HCA</t>
  </si>
  <si>
    <t>CHAMBER</t>
  </si>
  <si>
    <t>FAN-New plant-HHP</t>
  </si>
  <si>
    <t>FAN</t>
  </si>
  <si>
    <t>Cooling Tower</t>
  </si>
  <si>
    <t>COOLING TOWER</t>
  </si>
  <si>
    <t>Jig for Model G780</t>
  </si>
  <si>
    <t>Gas Supression System-FM-200</t>
  </si>
  <si>
    <t>C5500163</t>
  </si>
  <si>
    <t>IIA</t>
  </si>
  <si>
    <t>GAS SUPRESSION SYSTEM</t>
  </si>
  <si>
    <t>FAN-New plant-Common</t>
  </si>
  <si>
    <t>Chiller-1-1100TR-CVHG1100</t>
  </si>
  <si>
    <t>CHILLER</t>
  </si>
  <si>
    <t>Chiller-2-1100TR-CVHG1100</t>
  </si>
  <si>
    <t>Chiller-3-1100TR-CVHG1100</t>
  </si>
  <si>
    <t>Chiller-4-1100TR-CVHG1100</t>
  </si>
  <si>
    <t>Chiller-5-1100TR-CVHG1100</t>
  </si>
  <si>
    <t>Jig for Model A515</t>
  </si>
  <si>
    <t>Lifter-Bin-Transfer-PBA</t>
  </si>
  <si>
    <t>ALL180702-10.07.18-BOE-7502745-04.08.18</t>
  </si>
  <si>
    <t>LIFTER</t>
  </si>
  <si>
    <t>X RAY TVX-IMT160CT-S</t>
  </si>
  <si>
    <t>Inv No TVX-2020-03-001 dt 30.03.30</t>
  </si>
  <si>
    <t>X RAY MC</t>
  </si>
  <si>
    <t>Battery-3.7V 68Ah 160cell * 4rack (B/T: 30M)</t>
  </si>
  <si>
    <t>Inv No GST1920UP000020 dt 06.09.19</t>
  </si>
  <si>
    <t>C550Z001</t>
  </si>
  <si>
    <t>BCG</t>
  </si>
  <si>
    <t>UPS-BATTERY BANK</t>
  </si>
  <si>
    <t>UPS</t>
  </si>
  <si>
    <t>WALK-IN CHAMBER F</t>
  </si>
  <si>
    <t>JS191017-20.11.19-BOE-6083986-16.12.19</t>
  </si>
  <si>
    <t>C5500057</t>
  </si>
  <si>
    <t>HBA</t>
  </si>
  <si>
    <t>WALK-IN CHAMBER</t>
  </si>
  <si>
    <t>Lights-Utility New Plant</t>
  </si>
  <si>
    <t>Jig for Model A217</t>
  </si>
  <si>
    <t>IMKI2009-168-29.09.20-BOE-9066696-05.10.20-Multipl</t>
  </si>
  <si>
    <t>cSAR 3D Head , Right Side</t>
  </si>
  <si>
    <t>Inv-9015458144 dt-10.11.20 BOE-9608695 dt-18/11/20</t>
  </si>
  <si>
    <t>cSAR3D Flat (HSL)</t>
  </si>
  <si>
    <t>Gear Box &amp; Roller Drive_Extd Mach</t>
  </si>
  <si>
    <t>MACHINE</t>
  </si>
  <si>
    <t>SCM2 SHIELDCAN MOUNTER</t>
  </si>
  <si>
    <t>1000400189-28.06.19-BOE-3870223-29.06.19</t>
  </si>
  <si>
    <t>MOUNTER</t>
  </si>
  <si>
    <t>1000400289-05.07.19-BOE-3964932-08.07.19</t>
  </si>
  <si>
    <t>Electrical Bus Bar-Vacuum &amp; Test Line</t>
  </si>
  <si>
    <t>V-19-226-10.10.19-BOE-5264712-12.10.19</t>
  </si>
  <si>
    <t>ELECTRICAL BUS BAR</t>
  </si>
  <si>
    <t>Jig for Model A426</t>
  </si>
  <si>
    <t>MT-8000A - Wireless Communication Analyzer</t>
  </si>
  <si>
    <t>6080226667-27.07.20-BOE-8342900-31.07.20</t>
  </si>
  <si>
    <t>TESTER</t>
  </si>
  <si>
    <t>INLINE TESTER SAIT-S207BF</t>
  </si>
  <si>
    <t>RDS-0079-27.07.18-BOE-7688360-18.08.18</t>
  </si>
  <si>
    <t>INLINE TESTER MACHINE</t>
  </si>
  <si>
    <t>RDS-0080-03.08.18-BOE-7779762-25.08.18</t>
  </si>
  <si>
    <t>Screw Compressor-ZR315</t>
  </si>
  <si>
    <t>AIR COMPRESSOR</t>
  </si>
  <si>
    <t>INLINE TESTER;SAIT-S207BF,Smart AutoInli</t>
  </si>
  <si>
    <t>INLINE TESTER</t>
  </si>
  <si>
    <t>LOADER/UNLOADER;SHEET LOADER PART,PANEL</t>
  </si>
  <si>
    <t>MACHINERY</t>
  </si>
  <si>
    <t>Inline Tester-SAIT-S207BF</t>
  </si>
  <si>
    <t>RDS-0074-30.05.18-BOE-6637639-02.06.18</t>
  </si>
  <si>
    <t>RDS-0076-30.05.18-BOE-6637636-02.06.18</t>
  </si>
  <si>
    <t>According to Agreement</t>
  </si>
  <si>
    <t xml:space="preserve">TOTAL YEARWISE COST INCURRED BETWEEN 01-07-2018 to 31-03-2021 AS PER  FAR </t>
  </si>
  <si>
    <t>Construction &amp; installation of weigh bridge, storage partition for waste segregation, construction of office for control of waste segregation &amp; installationof all related equipments concerning waste management</t>
  </si>
  <si>
    <t>Construction and installation of Truck stopper; Barriers; rain shed; washroom &amp; refreshment area.</t>
  </si>
  <si>
    <t>Utility Building-1</t>
  </si>
  <si>
    <t>Construction of required trench for cables and pipes, spare parts storage &amp; maintenance workshop; washroom, rest area, shift office, control office for utility equipments, fire control centre; installation of electrical panels; making acoustic walls; Preparation of foundation; Necessary design and support structure fabrication; installation of cable tray, pipe rack, system for fire prevention and cables; carrying out all connected work related to electrical/ mechanical/ pneumatic system in respect of utility equipments</t>
  </si>
  <si>
    <t>Utility Building-2/ RO plant</t>
  </si>
  <si>
    <t>Construction of Non-Finishing Area within utility building</t>
  </si>
  <si>
    <t>Construction of Non-Finishing Area within utility building, underwater storage water tank; washroom, rest area, shift office, control office for utility equipments, Fire control centre, spare parts storage &amp; maintenance workshop, overhead storage water tank, Pump house, Diesel yard and installation of its related required equipments.</t>
  </si>
  <si>
    <t>Security Building</t>
  </si>
  <si>
    <t>Construction of washroom, PA system room, reseption, Customer Interfacing room, control room, enquiry/ discussion room complete with all ancillary equipments related to building interior infra.</t>
  </si>
  <si>
    <t>M/s. Samsung C&amp;T India Pvt. Ltd.</t>
  </si>
  <si>
    <t>Phase 1</t>
  </si>
  <si>
    <t>Phase II</t>
  </si>
  <si>
    <t>Phase III</t>
  </si>
  <si>
    <t>Investment</t>
  </si>
  <si>
    <t>2012-13</t>
  </si>
  <si>
    <t>2013-14</t>
  </si>
  <si>
    <t>2014-15</t>
  </si>
  <si>
    <t>2015-16</t>
  </si>
  <si>
    <t>2016-17</t>
  </si>
  <si>
    <t>2017-18</t>
  </si>
  <si>
    <t>2018-19</t>
  </si>
  <si>
    <t>2019-20</t>
  </si>
  <si>
    <t>2020-21</t>
  </si>
  <si>
    <t>2021-22</t>
  </si>
  <si>
    <t>Land</t>
  </si>
  <si>
    <t xml:space="preserve">    -           </t>
  </si>
  <si>
    <t>Plant &amp; machinery</t>
  </si>
  <si>
    <t>Utility Machines</t>
  </si>
  <si>
    <t xml:space="preserve">-   </t>
  </si>
  <si>
    <t>Others</t>
  </si>
  <si>
    <t>Desktop</t>
  </si>
  <si>
    <t>CPU</t>
  </si>
  <si>
    <t>TFT</t>
  </si>
  <si>
    <t>Monitor</t>
  </si>
  <si>
    <t>Barcode printer</t>
  </si>
  <si>
    <t>Server</t>
  </si>
  <si>
    <t>Recording Storage</t>
  </si>
  <si>
    <t>LS19F350HNWXXL</t>
  </si>
  <si>
    <t>tablet</t>
  </si>
  <si>
    <t>printer</t>
  </si>
  <si>
    <t>Work Station</t>
  </si>
  <si>
    <t>Hitachi Virtual Storage Platform F400</t>
  </si>
  <si>
    <t>GLOBAL SIA SYSTEM</t>
  </si>
  <si>
    <t>ExX7-2 Exadata HC Eighth Rack</t>
  </si>
  <si>
    <t>Dell Precision</t>
  </si>
  <si>
    <t>Laptop</t>
  </si>
  <si>
    <t>Otr TA-Computer Breakup</t>
  </si>
  <si>
    <t>As on March 2022</t>
  </si>
  <si>
    <r>
      <t>Capacity Achieved per</t>
    </r>
    <r>
      <rPr>
        <b/>
        <i/>
        <sz val="11"/>
        <color theme="1"/>
        <rFont val="Calibri"/>
        <family val="2"/>
        <scheme val="minor"/>
      </rPr>
      <t xml:space="preserve"> (Millions)</t>
    </r>
  </si>
  <si>
    <t>QUARTER - JULY TO SEPTEMBER- 2018</t>
  </si>
  <si>
    <t>Total Incurred Amonut  (As per SIEL)</t>
  </si>
  <si>
    <t>Total Incurred Amonut  (As per Independent Engineer)</t>
  </si>
  <si>
    <t>QUARTER - OCTOBER TO DECEMBER- 2018</t>
  </si>
  <si>
    <t>QUARTER - JANUARY TO MARCH- 2019</t>
  </si>
  <si>
    <t>QUARTER - APRIL TO JUNE- 2019</t>
  </si>
  <si>
    <t>QUARTER - JULY TO SEPTEMBER - 2019</t>
  </si>
  <si>
    <t>QUARTER - OCTOBER TO DECEMBER - 2019</t>
  </si>
  <si>
    <t>QUARTER - JANUARY TO MARCH - 2020</t>
  </si>
  <si>
    <t>QUARTER - APRIL TO JUNE - 2020</t>
  </si>
  <si>
    <t>QUARTER - JULY TO SEPTEMBER - 2020</t>
  </si>
  <si>
    <t>QUARTER - OCTOBER TO DECEMBER - 2020</t>
  </si>
  <si>
    <t>QUARTER - JANUARY TO MARCH- 2021</t>
  </si>
  <si>
    <t>SAMSUNG INDIA ELECTRONICS (P) LIMITED</t>
  </si>
  <si>
    <t>LAND DEVELOPMENT DETAILS CLARIFICATION</t>
  </si>
  <si>
    <t>Site Development</t>
  </si>
  <si>
    <t>Rainwater Drainage</t>
  </si>
  <si>
    <t>Pile (Test)</t>
  </si>
  <si>
    <t>Sewage</t>
  </si>
  <si>
    <t>Additional Work</t>
  </si>
  <si>
    <t>ETC Civil</t>
  </si>
  <si>
    <t>Total</t>
  </si>
  <si>
    <t>Landscaping</t>
  </si>
  <si>
    <t>132KV Double Circuit Line</t>
  </si>
  <si>
    <t>PARTICULARTS</t>
  </si>
  <si>
    <t>AMOUNT</t>
  </si>
  <si>
    <t>TAX</t>
  </si>
  <si>
    <t>Additional work onconstruction of 132KVdouble</t>
  </si>
  <si>
    <t>Total-2</t>
  </si>
  <si>
    <t>Total-1</t>
  </si>
  <si>
    <t>Gross Total</t>
  </si>
  <si>
    <t>Grading work</t>
  </si>
  <si>
    <t>Outer Fence</t>
  </si>
  <si>
    <t>Civil work</t>
  </si>
  <si>
    <t>Temporary piping work</t>
  </si>
  <si>
    <t>Other expenses</t>
  </si>
  <si>
    <t>BREAKUP FOR ADDITIONAL COST (WITHIN- LAND DEVELOPMENT)- POINT NO.-5</t>
  </si>
  <si>
    <t>C&amp;T-90</t>
  </si>
  <si>
    <t>SITE FORMATION</t>
  </si>
  <si>
    <t>CONSTRUCTION MATERIAL</t>
  </si>
  <si>
    <t xml:space="preserve">M001 </t>
  </si>
  <si>
    <t xml:space="preserve"> L001</t>
  </si>
  <si>
    <t>LABOUR CHARGES</t>
  </si>
  <si>
    <t>C&amp;T-004</t>
  </si>
  <si>
    <t>CONSTRUCTION service</t>
  </si>
  <si>
    <t>C&amp;T-003</t>
  </si>
  <si>
    <t>C&amp;T-001</t>
  </si>
  <si>
    <t>C&amp;T-108</t>
  </si>
  <si>
    <t>C&amp;T-80</t>
  </si>
  <si>
    <t>C&amp;T-79</t>
  </si>
  <si>
    <t>PILE FOUNDATION VOLUME SHEET</t>
  </si>
  <si>
    <t>Grid No.</t>
  </si>
  <si>
    <t>Pile No.</t>
  </si>
  <si>
    <t>Diameter (m)</t>
  </si>
  <si>
    <t>Zone</t>
  </si>
  <si>
    <t>Length</t>
  </si>
  <si>
    <t>Cross sectional Area of Pile</t>
  </si>
  <si>
    <r>
      <t>Volume of Steel (m</t>
    </r>
    <r>
      <rPr>
        <b/>
        <vertAlign val="superscript"/>
        <sz val="11"/>
        <color theme="0"/>
        <rFont val="Calibri"/>
        <family val="2"/>
        <scheme val="minor"/>
      </rPr>
      <t>3</t>
    </r>
    <r>
      <rPr>
        <b/>
        <sz val="11"/>
        <color theme="0"/>
        <rFont val="Calibri"/>
        <family val="2"/>
        <scheme val="minor"/>
      </rPr>
      <t>)</t>
    </r>
  </si>
  <si>
    <r>
      <t>Volume of Concrete (m</t>
    </r>
    <r>
      <rPr>
        <b/>
        <vertAlign val="superscript"/>
        <sz val="11"/>
        <color theme="0"/>
        <rFont val="Calibri"/>
        <family val="2"/>
        <scheme val="minor"/>
      </rPr>
      <t>3</t>
    </r>
    <r>
      <rPr>
        <b/>
        <sz val="11"/>
        <color theme="0"/>
        <rFont val="Calibri"/>
        <family val="2"/>
        <scheme val="minor"/>
      </rPr>
      <t>)</t>
    </r>
  </si>
  <si>
    <t>1H</t>
  </si>
  <si>
    <t>BPF1</t>
  </si>
  <si>
    <t>A</t>
  </si>
  <si>
    <t>2H</t>
  </si>
  <si>
    <t>3H</t>
  </si>
  <si>
    <t>4H</t>
  </si>
  <si>
    <t>5H</t>
  </si>
  <si>
    <t>6H</t>
  </si>
  <si>
    <t>7H</t>
  </si>
  <si>
    <t>8H</t>
  </si>
  <si>
    <t>9H</t>
  </si>
  <si>
    <t>10H</t>
  </si>
  <si>
    <t>11H</t>
  </si>
  <si>
    <t>12H</t>
  </si>
  <si>
    <t>13H</t>
  </si>
  <si>
    <t>14H</t>
  </si>
  <si>
    <t>15H</t>
  </si>
  <si>
    <t>16H</t>
  </si>
  <si>
    <t>17H</t>
  </si>
  <si>
    <t>18H</t>
  </si>
  <si>
    <t>19H</t>
  </si>
  <si>
    <t>20H</t>
  </si>
  <si>
    <t>21H</t>
  </si>
  <si>
    <t>22H</t>
  </si>
  <si>
    <t>23H</t>
  </si>
  <si>
    <t>30H</t>
  </si>
  <si>
    <t>31H</t>
  </si>
  <si>
    <t>32H</t>
  </si>
  <si>
    <t>33H</t>
  </si>
  <si>
    <t>34H</t>
  </si>
  <si>
    <t>35H</t>
  </si>
  <si>
    <t>36H</t>
  </si>
  <si>
    <t>37H</t>
  </si>
  <si>
    <t>38H</t>
  </si>
  <si>
    <t>39H</t>
  </si>
  <si>
    <t>40H</t>
  </si>
  <si>
    <t>41H</t>
  </si>
  <si>
    <t>42H</t>
  </si>
  <si>
    <t>43H</t>
  </si>
  <si>
    <t>44H</t>
  </si>
  <si>
    <t>BPF1A</t>
  </si>
  <si>
    <t>1G</t>
  </si>
  <si>
    <t>2G</t>
  </si>
  <si>
    <t>BPF2</t>
  </si>
  <si>
    <t>3G</t>
  </si>
  <si>
    <t>4G</t>
  </si>
  <si>
    <t>BPF2A</t>
  </si>
  <si>
    <t>5G</t>
  </si>
  <si>
    <t>6G</t>
  </si>
  <si>
    <t>7G</t>
  </si>
  <si>
    <t>8G</t>
  </si>
  <si>
    <t>9G</t>
  </si>
  <si>
    <t>10G</t>
  </si>
  <si>
    <t>11G</t>
  </si>
  <si>
    <t>12G</t>
  </si>
  <si>
    <t>13G</t>
  </si>
  <si>
    <t>14G</t>
  </si>
  <si>
    <t>15G</t>
  </si>
  <si>
    <t>16G</t>
  </si>
  <si>
    <t>18G</t>
  </si>
  <si>
    <t>19G</t>
  </si>
  <si>
    <t>20G</t>
  </si>
  <si>
    <t>21G</t>
  </si>
  <si>
    <t>22G</t>
  </si>
  <si>
    <t>23G</t>
  </si>
  <si>
    <t>30G</t>
  </si>
  <si>
    <t>31G</t>
  </si>
  <si>
    <t>32G</t>
  </si>
  <si>
    <t>33G</t>
  </si>
  <si>
    <t>34G</t>
  </si>
  <si>
    <t>35G</t>
  </si>
  <si>
    <t>36G</t>
  </si>
  <si>
    <t>37G</t>
  </si>
  <si>
    <t>38G</t>
  </si>
  <si>
    <t>39G</t>
  </si>
  <si>
    <t>a</t>
  </si>
  <si>
    <t>40G</t>
  </si>
  <si>
    <t>41G</t>
  </si>
  <si>
    <t>42G</t>
  </si>
  <si>
    <t>43G</t>
  </si>
  <si>
    <t>44G</t>
  </si>
  <si>
    <t>8F</t>
  </si>
  <si>
    <t>9F</t>
  </si>
  <si>
    <t>10F</t>
  </si>
  <si>
    <t>11F</t>
  </si>
  <si>
    <t>12F</t>
  </si>
  <si>
    <t>13F</t>
  </si>
  <si>
    <t>14F</t>
  </si>
  <si>
    <t>15F</t>
  </si>
  <si>
    <t>16F</t>
  </si>
  <si>
    <t>17F</t>
  </si>
  <si>
    <t>18F</t>
  </si>
  <si>
    <t>19F</t>
  </si>
  <si>
    <t>20F</t>
  </si>
  <si>
    <t>21F</t>
  </si>
  <si>
    <t>22F</t>
  </si>
  <si>
    <t>23F</t>
  </si>
  <si>
    <t>39F</t>
  </si>
  <si>
    <t>40F</t>
  </si>
  <si>
    <t>41F</t>
  </si>
  <si>
    <t>42F</t>
  </si>
  <si>
    <t>43F</t>
  </si>
  <si>
    <t>44F</t>
  </si>
  <si>
    <t>9E</t>
  </si>
  <si>
    <t>10E</t>
  </si>
  <si>
    <t>11E</t>
  </si>
  <si>
    <t>12E</t>
  </si>
  <si>
    <t>13E</t>
  </si>
  <si>
    <t>14E</t>
  </si>
  <si>
    <t>15E</t>
  </si>
  <si>
    <t>16E</t>
  </si>
  <si>
    <t>17E</t>
  </si>
  <si>
    <t>18E</t>
  </si>
  <si>
    <t>19E</t>
  </si>
  <si>
    <t>20E</t>
  </si>
  <si>
    <t>21E</t>
  </si>
  <si>
    <t>22E</t>
  </si>
  <si>
    <t>23E</t>
  </si>
  <si>
    <t>39E</t>
  </si>
  <si>
    <t>40E</t>
  </si>
  <si>
    <t>41E</t>
  </si>
  <si>
    <t>42E</t>
  </si>
  <si>
    <t>43E</t>
  </si>
  <si>
    <t>44E</t>
  </si>
  <si>
    <t>10D</t>
  </si>
  <si>
    <t>11D</t>
  </si>
  <si>
    <t>12D</t>
  </si>
  <si>
    <t>13D</t>
  </si>
  <si>
    <t>14D</t>
  </si>
  <si>
    <t>15D</t>
  </si>
  <si>
    <t>16D</t>
  </si>
  <si>
    <t>17D</t>
  </si>
  <si>
    <t>18D</t>
  </si>
  <si>
    <t>19D</t>
  </si>
  <si>
    <t>20D</t>
  </si>
  <si>
    <t>21D</t>
  </si>
  <si>
    <t>22D</t>
  </si>
  <si>
    <t>23D</t>
  </si>
  <si>
    <t>39D</t>
  </si>
  <si>
    <t>40D</t>
  </si>
  <si>
    <t>41D</t>
  </si>
  <si>
    <t>42D</t>
  </si>
  <si>
    <t>43D</t>
  </si>
  <si>
    <t>44D</t>
  </si>
  <si>
    <t>9C</t>
  </si>
  <si>
    <t>10C</t>
  </si>
  <si>
    <t>11C</t>
  </si>
  <si>
    <t>12C</t>
  </si>
  <si>
    <t>13C</t>
  </si>
  <si>
    <t>14C</t>
  </si>
  <si>
    <t>15C</t>
  </si>
  <si>
    <t>16C</t>
  </si>
  <si>
    <t>17C</t>
  </si>
  <si>
    <t>18C</t>
  </si>
  <si>
    <t>19C</t>
  </si>
  <si>
    <t>20C</t>
  </si>
  <si>
    <t>21C</t>
  </si>
  <si>
    <t>22C</t>
  </si>
  <si>
    <t>23C</t>
  </si>
  <si>
    <t>39C</t>
  </si>
  <si>
    <t>40C</t>
  </si>
  <si>
    <t>41C</t>
  </si>
  <si>
    <t>42C</t>
  </si>
  <si>
    <t>43C</t>
  </si>
  <si>
    <t>44C</t>
  </si>
  <si>
    <t>8B</t>
  </si>
  <si>
    <t>9B</t>
  </si>
  <si>
    <t>10B</t>
  </si>
  <si>
    <t>11B</t>
  </si>
  <si>
    <t>12B</t>
  </si>
  <si>
    <t>13B</t>
  </si>
  <si>
    <t>14B</t>
  </si>
  <si>
    <t>15B</t>
  </si>
  <si>
    <t>16B</t>
  </si>
  <si>
    <t>17B</t>
  </si>
  <si>
    <t>18B</t>
  </si>
  <si>
    <t>19B</t>
  </si>
  <si>
    <t>20B</t>
  </si>
  <si>
    <t>21B</t>
  </si>
  <si>
    <t>22B</t>
  </si>
  <si>
    <t>23B</t>
  </si>
  <si>
    <t>24B</t>
  </si>
  <si>
    <t>25B</t>
  </si>
  <si>
    <t>26B</t>
  </si>
  <si>
    <t>27B</t>
  </si>
  <si>
    <t>28B</t>
  </si>
  <si>
    <t>29B</t>
  </si>
  <si>
    <t>30B</t>
  </si>
  <si>
    <t>31B</t>
  </si>
  <si>
    <t>32B</t>
  </si>
  <si>
    <t>33B</t>
  </si>
  <si>
    <t>34B</t>
  </si>
  <si>
    <t>35B</t>
  </si>
  <si>
    <t>36B</t>
  </si>
  <si>
    <t>37B</t>
  </si>
  <si>
    <t>38B</t>
  </si>
  <si>
    <t>39B</t>
  </si>
  <si>
    <t>40B</t>
  </si>
  <si>
    <t>41B</t>
  </si>
  <si>
    <t>42B</t>
  </si>
  <si>
    <t>43B</t>
  </si>
  <si>
    <t>44B</t>
  </si>
  <si>
    <t>1A</t>
  </si>
  <si>
    <t>2A</t>
  </si>
  <si>
    <t>3A</t>
  </si>
  <si>
    <t>4A</t>
  </si>
  <si>
    <t>5A</t>
  </si>
  <si>
    <t>6A</t>
  </si>
  <si>
    <t>7A</t>
  </si>
  <si>
    <t>8A</t>
  </si>
  <si>
    <t>9A</t>
  </si>
  <si>
    <t>10A</t>
  </si>
  <si>
    <t>11A</t>
  </si>
  <si>
    <t>12A</t>
  </si>
  <si>
    <t>13A</t>
  </si>
  <si>
    <t>14A</t>
  </si>
  <si>
    <t>15A</t>
  </si>
  <si>
    <t>16A</t>
  </si>
  <si>
    <t>17A</t>
  </si>
  <si>
    <t>18A</t>
  </si>
  <si>
    <t>19A</t>
  </si>
  <si>
    <t>20A</t>
  </si>
  <si>
    <t>21A</t>
  </si>
  <si>
    <t>22A</t>
  </si>
  <si>
    <t>23A</t>
  </si>
  <si>
    <t>24A</t>
  </si>
  <si>
    <t>25A</t>
  </si>
  <si>
    <t>26A</t>
  </si>
  <si>
    <t>27A</t>
  </si>
  <si>
    <t>28A</t>
  </si>
  <si>
    <t>29A</t>
  </si>
  <si>
    <t>30A</t>
  </si>
  <si>
    <t>31A</t>
  </si>
  <si>
    <t>32A</t>
  </si>
  <si>
    <t>33A</t>
  </si>
  <si>
    <t>34A</t>
  </si>
  <si>
    <t>35A</t>
  </si>
  <si>
    <t>36A</t>
  </si>
  <si>
    <t>37A</t>
  </si>
  <si>
    <t>38A</t>
  </si>
  <si>
    <t>39A</t>
  </si>
  <si>
    <t>40A</t>
  </si>
  <si>
    <t>41A</t>
  </si>
  <si>
    <t>42A</t>
  </si>
  <si>
    <t>43A</t>
  </si>
  <si>
    <t>44A</t>
  </si>
  <si>
    <t>45A</t>
  </si>
  <si>
    <t>46A</t>
  </si>
  <si>
    <t>47A</t>
  </si>
  <si>
    <t>48A</t>
  </si>
  <si>
    <t>49A</t>
  </si>
  <si>
    <t>Central Grids</t>
  </si>
  <si>
    <t>PF1</t>
  </si>
  <si>
    <t>COMPLETE</t>
  </si>
  <si>
    <t>Boundry Piles</t>
  </si>
  <si>
    <t>PF1A</t>
  </si>
  <si>
    <t>Grid Piles</t>
  </si>
  <si>
    <t>GRID LINES</t>
  </si>
  <si>
    <r>
      <t>Volume of Steel (m</t>
    </r>
    <r>
      <rPr>
        <vertAlign val="superscript"/>
        <sz val="11"/>
        <color theme="1"/>
        <rFont val="Calibri"/>
        <family val="2"/>
        <scheme val="minor"/>
      </rPr>
      <t>3</t>
    </r>
    <r>
      <rPr>
        <sz val="11"/>
        <color theme="1"/>
        <rFont val="Calibri"/>
        <family val="2"/>
        <scheme val="minor"/>
      </rPr>
      <t>)</t>
    </r>
  </si>
  <si>
    <t>Volume of Steel (Ton)</t>
  </si>
  <si>
    <t>Rate of Steel (Fe550D)</t>
  </si>
  <si>
    <t>Rs.74000/ton</t>
  </si>
  <si>
    <t>Amount of Steel</t>
  </si>
  <si>
    <t>Volume of Concrete</t>
  </si>
  <si>
    <t>Grade of Concrete</t>
  </si>
  <si>
    <t>M35</t>
  </si>
  <si>
    <t>Rate of concrete</t>
  </si>
  <si>
    <t>Rs.8741/m3</t>
  </si>
  <si>
    <t>Amount of concrete</t>
  </si>
  <si>
    <t>PILE FOUNDATION VOLUMES SHEET</t>
  </si>
  <si>
    <t xml:space="preserve">Diameter </t>
  </si>
  <si>
    <t xml:space="preserve">Cross sectional area of pile </t>
  </si>
  <si>
    <t>Column1</t>
  </si>
  <si>
    <t>Volume of steel</t>
  </si>
  <si>
    <t>B</t>
  </si>
  <si>
    <t>Particular</t>
  </si>
  <si>
    <t>Dia</t>
  </si>
  <si>
    <t>Dia in mtr</t>
  </si>
  <si>
    <t xml:space="preserve">Length </t>
  </si>
  <si>
    <t>PF2</t>
  </si>
  <si>
    <t>C</t>
  </si>
  <si>
    <t>D</t>
  </si>
  <si>
    <t>E</t>
  </si>
  <si>
    <t>F</t>
  </si>
  <si>
    <t>Weight of  steel</t>
  </si>
  <si>
    <t>Kn/ea</t>
  </si>
  <si>
    <t>Steel weight (Ton)</t>
  </si>
  <si>
    <t>BPF1C</t>
  </si>
  <si>
    <t>BPF1D</t>
  </si>
  <si>
    <t>A8</t>
  </si>
  <si>
    <t>B8</t>
  </si>
  <si>
    <t>C8</t>
  </si>
  <si>
    <t>D8</t>
  </si>
  <si>
    <t>E8</t>
  </si>
  <si>
    <t>F8</t>
  </si>
  <si>
    <t>G</t>
  </si>
  <si>
    <t>G8</t>
  </si>
  <si>
    <t>Total  PF1</t>
  </si>
  <si>
    <t>Total for all piles</t>
  </si>
  <si>
    <t xml:space="preserve">Steel weight </t>
  </si>
  <si>
    <t>BPF2B</t>
  </si>
  <si>
    <t>BPF2C</t>
  </si>
  <si>
    <t>PF1B</t>
  </si>
  <si>
    <t>AB</t>
  </si>
  <si>
    <t>BC</t>
  </si>
  <si>
    <t>CD</t>
  </si>
  <si>
    <t>DE</t>
  </si>
  <si>
    <t>EF</t>
  </si>
  <si>
    <t>BPWF1</t>
  </si>
  <si>
    <t>SAMSUNG CONSTRUCTION COST ANALYSIS</t>
  </si>
  <si>
    <t>HHP Building (G+2)</t>
  </si>
  <si>
    <t>Utility Building (G+1)</t>
  </si>
  <si>
    <t>Waste Segregation area (GF Only)</t>
  </si>
  <si>
    <t>Plot= 4,68,067 Sq. ft.</t>
  </si>
  <si>
    <t>Plot Area= 70,807 Sq. ft.</t>
  </si>
  <si>
    <t>Plot Area= 17,707 Sq. ft.</t>
  </si>
  <si>
    <t>Total Buit Up area= 9,17,708.58 Sq. ft.</t>
  </si>
  <si>
    <t>Total Buit Up area= 91,155.06 Sq. ft.</t>
  </si>
  <si>
    <t>Total Buit Up area= 17,127.52 Sq. Ft.</t>
  </si>
  <si>
    <t>SUB-STRUCTURE RATE</t>
  </si>
  <si>
    <t>Work</t>
  </si>
  <si>
    <t>Rate per Sq. Ft.</t>
  </si>
  <si>
    <t>Pile Foundation on GF area only</t>
  </si>
  <si>
    <t>Foundation Cost (Sub-structure)</t>
  </si>
  <si>
    <t>SUPER-STRUCTURE RATE</t>
  </si>
  <si>
    <t>Steel Structure</t>
  </si>
  <si>
    <t>RCC Works</t>
  </si>
  <si>
    <t>Deck Sheet/Profile sheet</t>
  </si>
  <si>
    <t>Deck Sheet</t>
  </si>
  <si>
    <t>ESD Flooring</t>
  </si>
  <si>
    <t>Epoxy Flooring</t>
  </si>
  <si>
    <t>False ceiling works</t>
  </si>
  <si>
    <t>Gysum Partition walls</t>
  </si>
  <si>
    <t>Fire resistant paint</t>
  </si>
  <si>
    <t>Front elevation panels</t>
  </si>
  <si>
    <t>Total Rate per Sq. ft.</t>
  </si>
  <si>
    <t>Sub Total Rate per Sq. ft.</t>
  </si>
  <si>
    <t>Internal Water supply and sanitary works</t>
  </si>
  <si>
    <t>Electrical external services connection</t>
  </si>
  <si>
    <t>Civil external service connections</t>
  </si>
  <si>
    <t>Local body approvals including tee cutting etc.</t>
  </si>
  <si>
    <t>Internal Electrical installation</t>
  </si>
  <si>
    <t>Grand Total Rate per Sq. Ft.</t>
  </si>
  <si>
    <t>Corporate Office and Canteen (G+3)</t>
  </si>
  <si>
    <t>RO Plant (GF only)</t>
  </si>
  <si>
    <t>Plot Area= 61,846 Sq. ft.</t>
  </si>
  <si>
    <t>Plot Area= 26,535 Sq. Ft.</t>
  </si>
  <si>
    <t>Total Buit Up area= 1,17,729 Sq. Ft.</t>
  </si>
  <si>
    <t>Total Buit Up area=25,839 Sq. ft.</t>
  </si>
  <si>
    <t>CC Flooring</t>
  </si>
  <si>
    <t>CPWD sor rates= for corporate office &amp; canteen</t>
  </si>
  <si>
    <t>Internal Electrical installation (18%)</t>
  </si>
  <si>
    <t>per sq. mtr.</t>
  </si>
  <si>
    <t>per sq. ft.</t>
  </si>
  <si>
    <t>cubicle rate( 4 seater)</t>
  </si>
  <si>
    <t>assuming cubicles</t>
  </si>
  <si>
    <t>total cubicle rate</t>
  </si>
  <si>
    <t>total built up area</t>
  </si>
  <si>
    <t>cubicle rate per sq ft</t>
  </si>
  <si>
    <t>Rounding oFF</t>
  </si>
  <si>
    <t>ft</t>
  </si>
  <si>
    <t xml:space="preserve">for diesel tank assuming height 25 ft </t>
  </si>
  <si>
    <t xml:space="preserve">area is provided and since walls are thick fpo diesel tank so we are taking rate as </t>
  </si>
  <si>
    <t>2000/ sq. ft.</t>
  </si>
  <si>
    <t>Length of Utility building (mtr.)</t>
  </si>
  <si>
    <t>Length of Utility building (ft.)</t>
  </si>
  <si>
    <t>assuming 75% of its length is covered with toughen glass</t>
  </si>
  <si>
    <t>rate of toughened glass as per quotation by vikas (per sq. ft.)</t>
  </si>
  <si>
    <t>Assuming height (12 ft.)</t>
  </si>
  <si>
    <t>total rate</t>
  </si>
  <si>
    <t>rate per sq ft</t>
  </si>
  <si>
    <t>Stronger Structural members to take heavyload above 500kg per sq mtr upto 1000kg per sq mtr</t>
  </si>
  <si>
    <t>Automatic Fire Alarm system</t>
  </si>
  <si>
    <t>Wet riser with Sprinkler system</t>
  </si>
  <si>
    <t>RCC Framed structure (office space)</t>
  </si>
  <si>
    <t>Gypsum Partition</t>
  </si>
  <si>
    <t>40 cabins</t>
  </si>
  <si>
    <t>80 walls</t>
  </si>
  <si>
    <t>area</t>
  </si>
  <si>
    <t>gypsum partition rate</t>
  </si>
  <si>
    <t>12X21</t>
  </si>
  <si>
    <t>Cabins</t>
  </si>
  <si>
    <t>Cubicle</t>
  </si>
  <si>
    <t>gypsum partition walls</t>
  </si>
  <si>
    <t xml:space="preserve">Since two walls of glass are there therefore </t>
  </si>
  <si>
    <t>REMARKS:-</t>
  </si>
  <si>
    <t>We have arrived on the construction rates (per sq. ft.) after detailed analysis based on information provided by company.</t>
  </si>
  <si>
    <r>
      <t xml:space="preserve">Area
</t>
    </r>
    <r>
      <rPr>
        <b/>
        <i/>
        <sz val="11"/>
        <rFont val="Calibri"/>
        <family val="2"/>
        <scheme val="minor"/>
      </rPr>
      <t>(sq. mtr.)</t>
    </r>
  </si>
  <si>
    <r>
      <t xml:space="preserve">Area
</t>
    </r>
    <r>
      <rPr>
        <b/>
        <i/>
        <sz val="11"/>
        <rFont val="Calibri"/>
        <family val="2"/>
        <scheme val="minor"/>
      </rPr>
      <t>(sq. ft)</t>
    </r>
  </si>
  <si>
    <r>
      <t xml:space="preserve">Rates Adopted
</t>
    </r>
    <r>
      <rPr>
        <b/>
        <i/>
        <sz val="11"/>
        <rFont val="Calibri"/>
        <family val="2"/>
        <scheme val="minor"/>
      </rPr>
      <t>(Rs./sq. ft.)</t>
    </r>
  </si>
  <si>
    <t>Additional Cost for Design, Project Management &amp; Construction management (~12%)</t>
  </si>
  <si>
    <t>GRAND TOTAL</t>
  </si>
  <si>
    <t>BUILDING &amp; CIVILWORK 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</si>
</sst>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44" formatCode="_ &quot;₹&quot;\ * #,##0.00_ ;_ &quot;₹&quot;\ * \-#,##0.00_ ;_ &quot;₹&quot;\ * &quot;-&quot;??_ ;_ @_ "/>
    <numFmt numFmtId="43" formatCode="_ * #,##0.00_ ;_ * \-#,##0.00_ ;_ * &quot;-&quot;??_ ;_ @_ "/>
    <numFmt numFmtId="164" formatCode="_ [$₹-4009]\ * #,##0.00_ ;_ [$₹-4009]\ * \-#,##0.00_ ;_ [$₹-4009]\ * &quot;-&quot;??_ ;_ @_ "/>
    <numFmt numFmtId="165" formatCode="_ &quot;₹&quot;\ * #,##0_ ;_ &quot;₹&quot;\ * \-#,##0_ ;_ &quot;₹&quot;\ * &quot;-&quot;??_ ;_ @_ "/>
    <numFmt numFmtId="166" formatCode="_ * #,##0_ ;_ * \-#,##0_ ;_ * &quot;-&quot;??_ ;_ @_ "/>
    <numFmt numFmtId="167" formatCode="_(* #,##0_);_(* \(#,##0\);_(* &quot;-&quot;??_);_(@_)"/>
    <numFmt numFmtId="168" formatCode="_-* #,##0.00_-;\-* #,##0.00_-;_-* &quot;-&quot;??_-;_-@_-"/>
    <numFmt numFmtId="169" formatCode="_-[$₹-460]\ * #,##0.00_-;\-[$₹-460]\ * #,##0.00_-;_-[$₹-460]\ * &quot;-&quot;??_-;_-@_-"/>
    <numFmt numFmtId="170" formatCode="@&quot;-1&quot;"/>
    <numFmt numFmtId="171" formatCode="@&quot;1&quot;"/>
    <numFmt numFmtId="172" formatCode="@&quot;2&quot;"/>
    <numFmt numFmtId="173" formatCode="@&quot;3&quot;"/>
    <numFmt numFmtId="174" formatCode="@&quot;4&quot;"/>
    <numFmt numFmtId="175" formatCode="@&quot;5&quot;"/>
    <numFmt numFmtId="176" formatCode="@&quot;6&quot;"/>
    <numFmt numFmtId="177" formatCode="@&quot;7&quot;"/>
    <numFmt numFmtId="178" formatCode="&quot;C&quot;#"/>
    <numFmt numFmtId="179" formatCode="&quot;D&quot;#"/>
    <numFmt numFmtId="180" formatCode="&quot;E&quot;#"/>
    <numFmt numFmtId="181" formatCode="&quot;F&quot;#"/>
    <numFmt numFmtId="182" formatCode="&quot;G&quot;#"/>
    <numFmt numFmtId="183" formatCode="&quot;H&quot;#"/>
    <numFmt numFmtId="184" formatCode="&quot;₹&quot;\ #,##0.00"/>
    <numFmt numFmtId="185" formatCode="&quot;C&quot;#&quot;C&quot;#"/>
    <numFmt numFmtId="186" formatCode="&quot;D&quot;#&quot;D&quot;#"/>
    <numFmt numFmtId="187" formatCode="&quot;E&quot;#&quot;E&quot;#"/>
    <numFmt numFmtId="188" formatCode="&quot;F&quot;#&quot;F&quot;#"/>
    <numFmt numFmtId="189" formatCode="_ [$₹-448]\ * #,##0.00_ ;_ [$₹-448]\ * \-#,##0.00_ ;_ [$₹-448]\ * &quot;-&quot;??_ ;_ @_ "/>
    <numFmt numFmtId="190" formatCode="_ [$₹-448]\ * #,##0_ ;_ [$₹-448]\ * \-#,##0_ ;_ [$₹-448]\ * &quot;-&quot;??_ ;_ @_ "/>
    <numFmt numFmtId="191" formatCode="0.0%"/>
    <numFmt numFmtId="192" formatCode="_ &quot;₹&quot;\ * #,##0.000_ ;_ &quot;₹&quot;\ * \-#,##0.000_ ;_ &quot;₹&quot;\ * &quot;-&quot;??_ ;_ @_ "/>
  </numFmts>
  <fonts count="2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rgb="FF000000"/>
      <name val="Arial Narrow"/>
      <family val="2"/>
    </font>
    <font>
      <sz val="10"/>
      <color rgb="FF000000"/>
      <name val="Calibri"/>
      <family val="2"/>
      <scheme val="minor"/>
    </font>
    <font>
      <sz val="10"/>
      <color theme="1"/>
      <name val="Calibri"/>
      <family val="2"/>
      <scheme val="minor"/>
    </font>
    <font>
      <b/>
      <sz val="10"/>
      <color theme="1"/>
      <name val="Calibri"/>
      <family val="2"/>
      <scheme val="minor"/>
    </font>
    <font>
      <b/>
      <sz val="10"/>
      <color theme="1"/>
      <name val="Arial"/>
      <family val="2"/>
    </font>
    <font>
      <b/>
      <sz val="11"/>
      <name val="Calibri"/>
      <family val="2"/>
      <scheme val="minor"/>
    </font>
    <font>
      <b/>
      <sz val="12"/>
      <color rgb="FFFFFFFF"/>
      <name val="Calibri"/>
      <family val="2"/>
      <scheme val="minor"/>
    </font>
    <font>
      <b/>
      <i/>
      <sz val="11"/>
      <color theme="1"/>
      <name val="Calibri"/>
      <family val="2"/>
      <scheme val="minor"/>
    </font>
    <font>
      <i/>
      <sz val="11"/>
      <color theme="1"/>
      <name val="Calibri"/>
      <family val="2"/>
      <scheme val="minor"/>
    </font>
    <font>
      <sz val="11"/>
      <name val="Calibri"/>
      <family val="2"/>
      <scheme val="minor"/>
    </font>
    <font>
      <b/>
      <sz val="10"/>
      <color theme="0"/>
      <name val="Calibri"/>
      <family val="2"/>
      <scheme val="minor"/>
    </font>
    <font>
      <sz val="11"/>
      <color rgb="FFFF0000"/>
      <name val="Calibri"/>
      <family val="2"/>
      <scheme val="minor"/>
    </font>
    <font>
      <b/>
      <u/>
      <sz val="18"/>
      <color theme="1"/>
      <name val="Calibri"/>
      <family val="2"/>
      <scheme val="minor"/>
    </font>
    <font>
      <b/>
      <vertAlign val="superscript"/>
      <sz val="11"/>
      <color theme="0"/>
      <name val="Calibri"/>
      <family val="2"/>
      <scheme val="minor"/>
    </font>
    <font>
      <vertAlign val="superscript"/>
      <sz val="11"/>
      <color theme="1"/>
      <name val="Calibri"/>
      <family val="2"/>
      <scheme val="minor"/>
    </font>
    <font>
      <sz val="12"/>
      <color theme="0"/>
      <name val="Calibri"/>
      <family val="2"/>
      <scheme val="minor"/>
    </font>
    <font>
      <b/>
      <i/>
      <u/>
      <sz val="18"/>
      <color theme="5" tint="0.39997558519241921"/>
      <name val="Calibri"/>
      <family val="2"/>
      <scheme val="minor"/>
    </font>
    <font>
      <b/>
      <u/>
      <sz val="14"/>
      <color theme="1"/>
      <name val="Calibri"/>
      <family val="2"/>
      <scheme val="minor"/>
    </font>
    <font>
      <b/>
      <u/>
      <sz val="11"/>
      <color theme="1"/>
      <name val="Calibri"/>
      <family val="2"/>
      <scheme val="minor"/>
    </font>
    <font>
      <b/>
      <i/>
      <sz val="10"/>
      <color theme="1"/>
      <name val="Calibri"/>
      <family val="2"/>
      <scheme val="minor"/>
    </font>
    <font>
      <i/>
      <sz val="10"/>
      <color theme="1"/>
      <name val="Calibri"/>
      <family val="2"/>
      <scheme val="minor"/>
    </font>
    <font>
      <b/>
      <i/>
      <sz val="11"/>
      <name val="Calibri"/>
      <family val="2"/>
      <scheme val="minor"/>
    </font>
  </fonts>
  <fills count="17">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1E3660"/>
        <bgColor indexed="64"/>
      </patternFill>
    </fill>
    <fill>
      <patternFill patternType="solid">
        <fgColor rgb="FFFFFFFF"/>
        <bgColor indexed="64"/>
      </patternFill>
    </fill>
    <fill>
      <patternFill patternType="solid">
        <fgColor rgb="FF1E3661"/>
        <bgColor indexed="64"/>
      </patternFill>
    </fill>
    <fill>
      <patternFill patternType="solid">
        <fgColor theme="4" tint="0.59999389629810485"/>
        <bgColor indexed="64"/>
      </patternFill>
    </fill>
    <fill>
      <patternFill patternType="solid">
        <fgColor rgb="FF17365D"/>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theme="4" tint="0.79998168889431442"/>
        <bgColor theme="4" tint="0.79998168889431442"/>
      </patternFill>
    </fill>
    <fill>
      <patternFill patternType="solid">
        <fgColor theme="3" tint="0.79998168889431442"/>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top style="medium">
        <color theme="8" tint="-0.499984740745262"/>
      </top>
      <bottom style="medium">
        <color theme="8" tint="-0.499984740745262"/>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ck">
        <color theme="8" tint="-0.24994659260841701"/>
      </top>
      <bottom/>
      <diagonal/>
    </border>
    <border>
      <left/>
      <right/>
      <top style="thick">
        <color theme="8" tint="-0.24994659260841701"/>
      </top>
      <bottom style="thick">
        <color theme="8" tint="-0.24994659260841701"/>
      </bottom>
      <diagonal/>
    </border>
    <border>
      <left/>
      <right/>
      <top style="thick">
        <color theme="8" tint="-0.499984740745262"/>
      </top>
      <bottom style="thick">
        <color theme="8" tint="-0.499984740745262"/>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22">
    <xf numFmtId="0" fontId="0" fillId="0" borderId="0" xfId="0"/>
    <xf numFmtId="0" fontId="0" fillId="0" borderId="1" xfId="0" applyBorder="1" applyAlignment="1">
      <alignment horizontal="center" vertical="center"/>
    </xf>
    <xf numFmtId="0" fontId="3" fillId="0" borderId="1" xfId="0" applyFont="1" applyBorder="1"/>
    <xf numFmtId="0" fontId="3" fillId="0" borderId="1" xfId="0" applyFont="1" applyBorder="1" applyAlignment="1">
      <alignment horizontal="center" vertical="center"/>
    </xf>
    <xf numFmtId="0" fontId="0" fillId="0" borderId="1" xfId="0" applyBorder="1"/>
    <xf numFmtId="43" fontId="0" fillId="0" borderId="0" xfId="0" applyNumberFormat="1"/>
    <xf numFmtId="0" fontId="3" fillId="0" borderId="0" xfId="0" applyFont="1"/>
    <xf numFmtId="43" fontId="0" fillId="0" borderId="1" xfId="0" applyNumberFormat="1" applyBorder="1"/>
    <xf numFmtId="43" fontId="3" fillId="0" borderId="1" xfId="1" applyFont="1" applyBorder="1"/>
    <xf numFmtId="0" fontId="0" fillId="3" borderId="1" xfId="0" applyFont="1" applyFill="1" applyBorder="1" applyAlignment="1">
      <alignment horizontal="center" vertical="center" wrapText="1"/>
    </xf>
    <xf numFmtId="14" fontId="0" fillId="0" borderId="0" xfId="0" applyNumberFormat="1"/>
    <xf numFmtId="164" fontId="0" fillId="0" borderId="0" xfId="0" applyNumberFormat="1"/>
    <xf numFmtId="0" fontId="5" fillId="0" borderId="1" xfId="0" applyFont="1" applyBorder="1" applyAlignment="1">
      <alignment wrapText="1"/>
    </xf>
    <xf numFmtId="0" fontId="6" fillId="0" borderId="1" xfId="0" applyFont="1" applyBorder="1" applyAlignment="1">
      <alignment wrapText="1"/>
    </xf>
    <xf numFmtId="0" fontId="6" fillId="0" borderId="0" xfId="0" applyFont="1" applyAlignment="1">
      <alignment horizontal="center" vertical="center"/>
    </xf>
    <xf numFmtId="0" fontId="6" fillId="0" borderId="0" xfId="0" applyFont="1"/>
    <xf numFmtId="0" fontId="6" fillId="0" borderId="0" xfId="0" applyFont="1" applyAlignment="1">
      <alignment wrapText="1"/>
    </xf>
    <xf numFmtId="44" fontId="6" fillId="0" borderId="0" xfId="2" applyFont="1"/>
    <xf numFmtId="0" fontId="5" fillId="5" borderId="1" xfId="0" applyFont="1" applyFill="1" applyBorder="1" applyAlignment="1">
      <alignment vertical="center" wrapText="1"/>
    </xf>
    <xf numFmtId="2" fontId="6" fillId="0" borderId="1" xfId="0" applyNumberFormat="1" applyFont="1" applyBorder="1" applyAlignment="1">
      <alignment horizontal="center" vertical="center"/>
    </xf>
    <xf numFmtId="165" fontId="6" fillId="0" borderId="1" xfId="0" applyNumberFormat="1" applyFont="1" applyBorder="1" applyAlignment="1">
      <alignment horizontal="center" vertical="center"/>
    </xf>
    <xf numFmtId="0" fontId="6" fillId="5" borderId="1" xfId="0" applyFont="1" applyFill="1" applyBorder="1" applyAlignment="1">
      <alignment vertical="center" wrapText="1"/>
    </xf>
    <xf numFmtId="0" fontId="5" fillId="5" borderId="1" xfId="0" applyFont="1" applyFill="1" applyBorder="1" applyAlignment="1">
      <alignment horizontal="center" vertical="center" wrapText="1"/>
    </xf>
    <xf numFmtId="44" fontId="0" fillId="0" borderId="0" xfId="2" applyFont="1"/>
    <xf numFmtId="0" fontId="2" fillId="4" borderId="1" xfId="0" applyFont="1" applyFill="1" applyBorder="1" applyAlignment="1">
      <alignment horizontal="center"/>
    </xf>
    <xf numFmtId="0" fontId="8" fillId="2" borderId="1" xfId="0" applyFont="1" applyFill="1" applyBorder="1" applyAlignment="1">
      <alignment horizontal="center" vertical="center" wrapText="1"/>
    </xf>
    <xf numFmtId="15" fontId="8" fillId="2" borderId="1" xfId="0" applyNumberFormat="1" applyFont="1" applyFill="1" applyBorder="1" applyAlignment="1">
      <alignment horizontal="center" vertical="center" wrapText="1"/>
    </xf>
    <xf numFmtId="166" fontId="8" fillId="2" borderId="1" xfId="1" applyNumberFormat="1" applyFont="1" applyFill="1" applyBorder="1" applyAlignment="1">
      <alignment horizontal="center" vertical="center" wrapText="1"/>
    </xf>
    <xf numFmtId="4" fontId="8" fillId="2" borderId="1" xfId="1"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7" fillId="2" borderId="0" xfId="0" applyFont="1" applyFill="1" applyAlignment="1">
      <alignment horizontal="center" vertical="center" wrapText="1"/>
    </xf>
    <xf numFmtId="165" fontId="0" fillId="0" borderId="0" xfId="0" applyNumberFormat="1"/>
    <xf numFmtId="44" fontId="0" fillId="0" borderId="0" xfId="0" applyNumberFormat="1"/>
    <xf numFmtId="0" fontId="0" fillId="0" borderId="0" xfId="0" applyAlignment="1">
      <alignment horizontal="center"/>
    </xf>
    <xf numFmtId="0" fontId="9" fillId="7" borderId="1" xfId="0" applyFont="1" applyFill="1" applyBorder="1" applyAlignment="1">
      <alignment horizontal="center"/>
    </xf>
    <xf numFmtId="0" fontId="0" fillId="0" borderId="1" xfId="0" applyBorder="1" applyAlignment="1"/>
    <xf numFmtId="44" fontId="0" fillId="0" borderId="1" xfId="2" applyFont="1" applyBorder="1"/>
    <xf numFmtId="0" fontId="0" fillId="0" borderId="1" xfId="0" applyBorder="1" applyAlignment="1">
      <alignment horizontal="center"/>
    </xf>
    <xf numFmtId="164" fontId="0" fillId="0" borderId="1" xfId="0" applyNumberFormat="1" applyBorder="1"/>
    <xf numFmtId="44" fontId="3" fillId="0" borderId="1" xfId="0" applyNumberFormat="1" applyFont="1" applyBorder="1"/>
    <xf numFmtId="44" fontId="3" fillId="0" borderId="1" xfId="2" applyFont="1" applyBorder="1"/>
    <xf numFmtId="0" fontId="0" fillId="0" borderId="0" xfId="0" applyFont="1"/>
    <xf numFmtId="0" fontId="0" fillId="0" borderId="0" xfId="0" applyFont="1" applyAlignment="1">
      <alignment wrapText="1"/>
    </xf>
    <xf numFmtId="0" fontId="0" fillId="3" borderId="1" xfId="0" applyFill="1" applyBorder="1" applyAlignment="1"/>
    <xf numFmtId="0" fontId="0" fillId="3" borderId="1" xfId="0" applyFill="1" applyBorder="1"/>
    <xf numFmtId="0" fontId="3" fillId="0" borderId="0" xfId="0" applyFont="1" applyBorder="1" applyAlignment="1">
      <alignment horizontal="center"/>
    </xf>
    <xf numFmtId="44" fontId="3" fillId="0" borderId="0" xfId="2" applyFont="1" applyBorder="1"/>
    <xf numFmtId="165" fontId="0" fillId="0" borderId="1" xfId="2" applyNumberFormat="1" applyFont="1" applyBorder="1"/>
    <xf numFmtId="165" fontId="3" fillId="0" borderId="1" xfId="2" applyNumberFormat="1" applyFont="1" applyBorder="1"/>
    <xf numFmtId="0" fontId="2" fillId="9" borderId="1" xfId="0" applyFont="1" applyFill="1" applyBorder="1" applyAlignment="1">
      <alignment horizontal="right" vertical="center"/>
    </xf>
    <xf numFmtId="0" fontId="2" fillId="9" borderId="1" xfId="0" applyFont="1" applyFill="1" applyBorder="1" applyAlignment="1">
      <alignment horizont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top" wrapText="1"/>
    </xf>
    <xf numFmtId="0" fontId="13" fillId="0" borderId="1" xfId="0" applyFont="1" applyFill="1" applyBorder="1" applyAlignment="1">
      <alignment horizontal="center"/>
    </xf>
    <xf numFmtId="0" fontId="0" fillId="0" borderId="1" xfId="0" applyBorder="1" applyAlignment="1">
      <alignment horizontal="center" vertical="top"/>
    </xf>
    <xf numFmtId="0" fontId="0" fillId="0" borderId="1" xfId="0" applyBorder="1" applyAlignment="1">
      <alignment horizontal="left" wrapText="1"/>
    </xf>
    <xf numFmtId="0" fontId="11" fillId="0" borderId="1" xfId="0" applyFont="1" applyBorder="1" applyAlignment="1">
      <alignment horizontal="right" vertical="center"/>
    </xf>
    <xf numFmtId="167" fontId="3" fillId="0" borderId="1" xfId="1" applyNumberFormat="1" applyFont="1" applyBorder="1"/>
    <xf numFmtId="14" fontId="0" fillId="0" borderId="1" xfId="0" applyNumberFormat="1" applyBorder="1"/>
    <xf numFmtId="167" fontId="0" fillId="0" borderId="1" xfId="1" applyNumberFormat="1" applyFont="1" applyBorder="1"/>
    <xf numFmtId="0" fontId="0" fillId="0" borderId="1" xfId="0" applyFill="1" applyBorder="1"/>
    <xf numFmtId="0" fontId="10" fillId="8" borderId="1" xfId="0" applyFont="1" applyFill="1" applyBorder="1" applyAlignment="1">
      <alignment horizontal="center" vertical="center" wrapText="1"/>
    </xf>
    <xf numFmtId="0" fontId="0" fillId="0" borderId="1" xfId="0" applyFont="1" applyBorder="1" applyAlignment="1">
      <alignment wrapText="1"/>
    </xf>
    <xf numFmtId="164" fontId="3" fillId="0" borderId="1" xfId="0" applyNumberFormat="1" applyFont="1" applyBorder="1"/>
    <xf numFmtId="0" fontId="7" fillId="0" borderId="1" xfId="0" applyFont="1" applyBorder="1" applyAlignment="1">
      <alignment vertical="center"/>
    </xf>
    <xf numFmtId="0" fontId="7" fillId="3" borderId="1" xfId="0" applyFont="1" applyFill="1" applyBorder="1" applyAlignment="1">
      <alignment vertical="center"/>
    </xf>
    <xf numFmtId="0" fontId="6" fillId="3" borderId="1" xfId="0" applyFont="1" applyFill="1" applyBorder="1" applyAlignment="1">
      <alignment horizontal="right" vertical="center" wrapText="1"/>
    </xf>
    <xf numFmtId="0" fontId="6" fillId="3" borderId="1" xfId="0" applyFont="1" applyFill="1" applyBorder="1" applyAlignment="1">
      <alignment horizontal="right" vertical="center"/>
    </xf>
    <xf numFmtId="0" fontId="6" fillId="3" borderId="1" xfId="0" applyFont="1" applyFill="1" applyBorder="1" applyAlignment="1">
      <alignment horizontal="center" vertical="center"/>
    </xf>
    <xf numFmtId="0" fontId="6" fillId="3" borderId="1" xfId="0" applyFont="1" applyFill="1" applyBorder="1" applyAlignment="1">
      <alignment vertical="center" wrapText="1"/>
    </xf>
    <xf numFmtId="0" fontId="7" fillId="0" borderId="1" xfId="0" applyFont="1" applyBorder="1" applyAlignment="1">
      <alignment horizontal="right" vertical="center" wrapText="1"/>
    </xf>
    <xf numFmtId="0" fontId="7" fillId="0" borderId="1" xfId="0" applyFont="1" applyBorder="1" applyAlignment="1">
      <alignment horizontal="right" vertical="center"/>
    </xf>
    <xf numFmtId="3" fontId="7" fillId="0" borderId="1" xfId="0" applyNumberFormat="1" applyFont="1" applyBorder="1" applyAlignment="1">
      <alignment horizontal="right" vertical="center"/>
    </xf>
    <xf numFmtId="0" fontId="7" fillId="0" borderId="1" xfId="0" applyFont="1" applyBorder="1"/>
    <xf numFmtId="0" fontId="14" fillId="6" borderId="1" xfId="0" applyFont="1" applyFill="1" applyBorder="1" applyAlignment="1">
      <alignment vertical="center"/>
    </xf>
    <xf numFmtId="0" fontId="14" fillId="6" borderId="1" xfId="0" applyFont="1" applyFill="1" applyBorder="1" applyAlignment="1">
      <alignment horizontal="center"/>
    </xf>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6" fillId="7" borderId="1" xfId="0" applyFont="1" applyFill="1" applyBorder="1"/>
    <xf numFmtId="0" fontId="7" fillId="3" borderId="1" xfId="0" applyFont="1" applyFill="1" applyBorder="1"/>
    <xf numFmtId="2" fontId="0" fillId="0" borderId="0" xfId="0" applyNumberFormat="1"/>
    <xf numFmtId="44" fontId="0" fillId="0" borderId="1" xfId="0" applyNumberFormat="1" applyBorder="1"/>
    <xf numFmtId="2" fontId="0" fillId="0" borderId="1" xfId="0" applyNumberFormat="1" applyBorder="1"/>
    <xf numFmtId="2" fontId="0" fillId="0" borderId="1" xfId="0" applyNumberFormat="1" applyFont="1" applyBorder="1"/>
    <xf numFmtId="44" fontId="0" fillId="0" borderId="1" xfId="0" applyNumberFormat="1" applyFont="1" applyBorder="1"/>
    <xf numFmtId="0" fontId="3" fillId="0" borderId="1" xfId="0" applyFont="1" applyBorder="1" applyAlignment="1">
      <alignment horizontal="center"/>
    </xf>
    <xf numFmtId="0" fontId="12" fillId="0" borderId="0" xfId="0" applyFont="1" applyBorder="1" applyAlignment="1">
      <alignment horizontal="left"/>
    </xf>
    <xf numFmtId="164" fontId="3" fillId="0" borderId="0" xfId="0" applyNumberFormat="1" applyFont="1"/>
    <xf numFmtId="0" fontId="6" fillId="0" borderId="1" xfId="0" applyFont="1" applyBorder="1" applyAlignment="1">
      <alignment horizontal="center" vertical="center"/>
    </xf>
    <xf numFmtId="0" fontId="3" fillId="10" borderId="1" xfId="0" applyFont="1" applyFill="1" applyBorder="1" applyAlignment="1">
      <alignment horizontal="center" vertical="center" wrapText="1"/>
    </xf>
    <xf numFmtId="3" fontId="6" fillId="0" borderId="0" xfId="0" applyNumberFormat="1" applyFont="1"/>
    <xf numFmtId="0" fontId="6" fillId="0" borderId="1" xfId="0" applyFont="1" applyBorder="1"/>
    <xf numFmtId="3" fontId="6" fillId="0" borderId="1" xfId="0" applyNumberFormat="1" applyFont="1" applyBorder="1"/>
    <xf numFmtId="3" fontId="7" fillId="0" borderId="1" xfId="0" applyNumberFormat="1" applyFont="1" applyBorder="1"/>
    <xf numFmtId="0" fontId="7" fillId="0" borderId="0" xfId="0" applyFont="1" applyAlignment="1">
      <alignment wrapText="1"/>
    </xf>
    <xf numFmtId="0" fontId="7" fillId="0" borderId="0" xfId="0" applyFont="1"/>
    <xf numFmtId="44" fontId="7" fillId="0" borderId="0" xfId="2" applyFont="1"/>
    <xf numFmtId="43" fontId="7" fillId="0" borderId="0" xfId="0" applyNumberFormat="1" applyFont="1"/>
    <xf numFmtId="44" fontId="6" fillId="0" borderId="0" xfId="2" applyFont="1" applyAlignment="1">
      <alignment wrapText="1"/>
    </xf>
    <xf numFmtId="44" fontId="7" fillId="0" borderId="0" xfId="2" applyFont="1" applyAlignment="1">
      <alignment wrapText="1"/>
    </xf>
    <xf numFmtId="9" fontId="0" fillId="0" borderId="0" xfId="3" applyFont="1"/>
    <xf numFmtId="1" fontId="6" fillId="0" borderId="0" xfId="0" applyNumberFormat="1" applyFont="1" applyAlignment="1">
      <alignment wrapText="1"/>
    </xf>
    <xf numFmtId="0" fontId="0" fillId="3" borderId="0" xfId="0" applyFont="1" applyFill="1"/>
    <xf numFmtId="0" fontId="2" fillId="12" borderId="0" xfId="0" applyFont="1" applyFill="1" applyAlignment="1">
      <alignment horizontal="center" vertical="center"/>
    </xf>
    <xf numFmtId="0" fontId="0" fillId="3" borderId="0" xfId="0" applyFont="1" applyFill="1" applyAlignment="1">
      <alignment horizontal="center" vertical="center"/>
    </xf>
    <xf numFmtId="0" fontId="3" fillId="7" borderId="10" xfId="0" applyFont="1" applyFill="1" applyBorder="1" applyAlignment="1">
      <alignment horizontal="center" vertical="center"/>
    </xf>
    <xf numFmtId="0" fontId="0" fillId="3" borderId="0" xfId="0" applyFont="1" applyFill="1" applyAlignment="1">
      <alignment vertical="center"/>
    </xf>
    <xf numFmtId="2" fontId="0" fillId="3" borderId="0" xfId="0" applyNumberFormat="1" applyFont="1" applyFill="1" applyAlignment="1">
      <alignment horizontal="left" vertical="center"/>
    </xf>
    <xf numFmtId="0" fontId="0" fillId="3" borderId="0" xfId="0" applyFont="1" applyFill="1" applyAlignment="1">
      <alignment horizontal="left" vertical="center"/>
    </xf>
    <xf numFmtId="0" fontId="3" fillId="3" borderId="0" xfId="0" applyFont="1" applyFill="1" applyAlignment="1">
      <alignment horizontal="left" vertical="center"/>
    </xf>
    <xf numFmtId="169" fontId="3" fillId="3" borderId="0" xfId="1" applyNumberFormat="1" applyFont="1" applyFill="1" applyAlignment="1">
      <alignment horizontal="left" vertical="center"/>
    </xf>
    <xf numFmtId="169" fontId="0" fillId="3"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0" xfId="0" applyFont="1" applyFill="1"/>
    <xf numFmtId="0" fontId="16" fillId="0" borderId="0" xfId="0" applyFont="1" applyFill="1" applyAlignment="1">
      <alignment horizontal="center" vertical="center"/>
    </xf>
    <xf numFmtId="0" fontId="19" fillId="13" borderId="11" xfId="0" applyFont="1" applyFill="1" applyBorder="1" applyAlignment="1">
      <alignment horizontal="center" vertical="center"/>
    </xf>
    <xf numFmtId="0" fontId="19" fillId="13" borderId="6" xfId="0" applyFont="1" applyFill="1" applyBorder="1" applyAlignment="1">
      <alignment horizontal="center" vertical="center"/>
    </xf>
    <xf numFmtId="0" fontId="19" fillId="13" borderId="6" xfId="0" applyFont="1" applyFill="1" applyBorder="1" applyAlignment="1">
      <alignment horizontal="center" vertical="center" wrapText="1"/>
    </xf>
    <xf numFmtId="0" fontId="19" fillId="13" borderId="9" xfId="0" applyFont="1" applyFill="1" applyBorder="1" applyAlignment="1">
      <alignment horizontal="center" vertical="center"/>
    </xf>
    <xf numFmtId="0" fontId="0" fillId="0" borderId="3" xfId="0" applyFont="1" applyFill="1" applyBorder="1" applyAlignment="1">
      <alignment horizontal="center" vertical="center"/>
    </xf>
    <xf numFmtId="170"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 xfId="0" applyFont="1" applyFill="1" applyBorder="1" applyAlignment="1">
      <alignment horizontal="center"/>
    </xf>
    <xf numFmtId="171" fontId="0" fillId="0" borderId="1" xfId="0" applyNumberFormat="1" applyFont="1" applyFill="1" applyBorder="1" applyAlignment="1">
      <alignment horizontal="center" vertical="center"/>
    </xf>
    <xf numFmtId="172" fontId="0" fillId="0" borderId="1" xfId="0" applyNumberFormat="1" applyFont="1" applyFill="1" applyBorder="1" applyAlignment="1">
      <alignment horizontal="center"/>
    </xf>
    <xf numFmtId="173" fontId="0" fillId="0" borderId="1" xfId="0" applyNumberFormat="1" applyFont="1" applyFill="1" applyBorder="1" applyAlignment="1">
      <alignment horizontal="center"/>
    </xf>
    <xf numFmtId="174" fontId="0" fillId="0" borderId="1" xfId="0" applyNumberFormat="1" applyFont="1" applyFill="1" applyBorder="1" applyAlignment="1">
      <alignment horizontal="center"/>
    </xf>
    <xf numFmtId="175" fontId="0" fillId="0" borderId="1" xfId="0" applyNumberFormat="1" applyFont="1" applyFill="1" applyBorder="1" applyAlignment="1">
      <alignment horizontal="center"/>
    </xf>
    <xf numFmtId="176" fontId="0" fillId="0" borderId="1" xfId="0" applyNumberFormat="1" applyFont="1" applyFill="1" applyBorder="1" applyAlignment="1">
      <alignment horizontal="center"/>
    </xf>
    <xf numFmtId="177" fontId="0" fillId="0" borderId="1" xfId="0" applyNumberFormat="1" applyFont="1" applyFill="1" applyBorder="1" applyAlignment="1">
      <alignment horizontal="center"/>
    </xf>
    <xf numFmtId="0" fontId="0" fillId="14" borderId="1" xfId="0" applyFont="1" applyFill="1" applyBorder="1" applyAlignment="1">
      <alignment horizontal="center" vertical="center"/>
    </xf>
    <xf numFmtId="0" fontId="0" fillId="0" borderId="1" xfId="0" applyFont="1" applyFill="1" applyBorder="1"/>
    <xf numFmtId="0" fontId="0" fillId="0" borderId="1" xfId="0" applyNumberFormat="1" applyFont="1" applyFill="1" applyBorder="1" applyAlignment="1">
      <alignment horizontal="center" vertical="center"/>
    </xf>
    <xf numFmtId="178" fontId="0" fillId="0" borderId="1" xfId="0" applyNumberFormat="1" applyFont="1" applyFill="1" applyBorder="1" applyAlignment="1">
      <alignment horizontal="center" vertical="center"/>
    </xf>
    <xf numFmtId="179" fontId="0" fillId="0" borderId="1" xfId="0" applyNumberFormat="1" applyFont="1" applyFill="1" applyBorder="1" applyAlignment="1">
      <alignment horizontal="center" vertical="center"/>
    </xf>
    <xf numFmtId="180" fontId="0" fillId="0" borderId="1" xfId="0" applyNumberFormat="1" applyFont="1" applyFill="1" applyBorder="1" applyAlignment="1">
      <alignment horizontal="center" vertical="center"/>
    </xf>
    <xf numFmtId="181" fontId="0" fillId="0" borderId="1" xfId="0" applyNumberFormat="1" applyFont="1" applyFill="1" applyBorder="1" applyAlignment="1">
      <alignment horizontal="center" vertical="center"/>
    </xf>
    <xf numFmtId="182" fontId="0" fillId="0" borderId="1" xfId="0" applyNumberFormat="1" applyFont="1" applyFill="1" applyBorder="1" applyAlignment="1">
      <alignment horizontal="center" vertical="center"/>
    </xf>
    <xf numFmtId="183" fontId="0" fillId="0" borderId="1" xfId="0" applyNumberFormat="1" applyFont="1" applyFill="1" applyBorder="1" applyAlignment="1">
      <alignment horizontal="center" vertical="center"/>
    </xf>
    <xf numFmtId="0" fontId="0" fillId="0" borderId="12" xfId="0" applyFont="1" applyFill="1" applyBorder="1" applyAlignment="1">
      <alignment horizontal="center" vertical="center"/>
    </xf>
    <xf numFmtId="183" fontId="0" fillId="0" borderId="5" xfId="0" applyNumberFormat="1" applyFont="1" applyFill="1" applyBorder="1" applyAlignment="1">
      <alignment horizontal="center" vertical="center"/>
    </xf>
    <xf numFmtId="0" fontId="0" fillId="0" borderId="5" xfId="0" applyFont="1" applyFill="1" applyBorder="1" applyAlignment="1">
      <alignment horizontal="center" vertical="center"/>
    </xf>
    <xf numFmtId="0" fontId="1" fillId="0" borderId="12" xfId="0" applyFont="1" applyFill="1" applyBorder="1" applyAlignment="1">
      <alignment horizontal="center" vertical="center"/>
    </xf>
    <xf numFmtId="183" fontId="1" fillId="0" borderId="5"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0" fillId="0" borderId="0" xfId="0" applyNumberFormat="1" applyFont="1" applyFill="1" applyAlignment="1">
      <alignment horizontal="center" vertical="center"/>
    </xf>
    <xf numFmtId="0" fontId="3" fillId="0" borderId="0" xfId="0" applyFont="1" applyFill="1" applyAlignment="1">
      <alignment horizontal="center" vertical="center"/>
    </xf>
    <xf numFmtId="164" fontId="0" fillId="0" borderId="0" xfId="0" applyNumberFormat="1" applyFont="1" applyFill="1" applyAlignment="1">
      <alignment horizontal="center" vertical="center"/>
    </xf>
    <xf numFmtId="164" fontId="3" fillId="0" borderId="0" xfId="0" applyNumberFormat="1" applyFont="1" applyFill="1" applyAlignment="1">
      <alignment horizontal="center" vertical="center"/>
    </xf>
    <xf numFmtId="0" fontId="15" fillId="0" borderId="0" xfId="0" applyFont="1" applyFill="1"/>
    <xf numFmtId="164" fontId="0" fillId="0" borderId="0" xfId="0" applyNumberFormat="1" applyFont="1" applyFill="1"/>
    <xf numFmtId="0" fontId="0" fillId="0" borderId="1" xfId="0" applyNumberFormat="1" applyFont="1" applyFill="1" applyBorder="1" applyAlignment="1">
      <alignment horizontal="center"/>
    </xf>
    <xf numFmtId="0" fontId="0" fillId="0" borderId="0" xfId="0" applyNumberFormat="1" applyFont="1" applyFill="1" applyBorder="1" applyAlignment="1">
      <alignment horizontal="center" vertical="center"/>
    </xf>
    <xf numFmtId="10" fontId="0" fillId="0" borderId="0" xfId="3" applyNumberFormat="1" applyFont="1" applyFill="1"/>
    <xf numFmtId="183" fontId="1" fillId="0" borderId="1" xfId="0" applyNumberFormat="1" applyFont="1" applyFill="1" applyBorder="1" applyAlignment="1">
      <alignment horizontal="center" vertical="center"/>
    </xf>
    <xf numFmtId="0" fontId="0" fillId="0" borderId="1" xfId="2"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184" fontId="0"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184" fontId="3" fillId="0" borderId="2" xfId="0" applyNumberFormat="1" applyFont="1" applyFill="1" applyBorder="1" applyAlignment="1">
      <alignment horizontal="center" vertical="center"/>
    </xf>
    <xf numFmtId="0" fontId="0" fillId="0" borderId="2" xfId="0" applyNumberFormat="1" applyFont="1" applyFill="1" applyBorder="1" applyAlignment="1">
      <alignment horizontal="center" vertical="center"/>
    </xf>
    <xf numFmtId="178" fontId="0" fillId="0" borderId="1" xfId="0" applyNumberFormat="1" applyFont="1" applyFill="1" applyBorder="1" applyAlignment="1">
      <alignment horizontal="center"/>
    </xf>
    <xf numFmtId="185" fontId="0" fillId="0" borderId="1" xfId="0" applyNumberFormat="1" applyFont="1" applyFill="1" applyBorder="1" applyAlignment="1">
      <alignment horizontal="center"/>
    </xf>
    <xf numFmtId="172" fontId="0" fillId="0" borderId="0" xfId="0" applyNumberFormat="1" applyFont="1" applyFill="1" applyBorder="1" applyAlignment="1">
      <alignment horizontal="center"/>
    </xf>
    <xf numFmtId="179" fontId="0" fillId="0" borderId="1" xfId="0" applyNumberFormat="1" applyFont="1" applyFill="1" applyBorder="1" applyAlignment="1">
      <alignment horizontal="center"/>
    </xf>
    <xf numFmtId="186" fontId="0" fillId="0" borderId="1" xfId="0" applyNumberFormat="1" applyFont="1" applyFill="1" applyBorder="1" applyAlignment="1">
      <alignment horizontal="center"/>
    </xf>
    <xf numFmtId="180" fontId="0" fillId="0" borderId="1" xfId="0" applyNumberFormat="1" applyFont="1" applyFill="1" applyBorder="1" applyAlignment="1">
      <alignment horizontal="center"/>
    </xf>
    <xf numFmtId="187" fontId="0" fillId="0" borderId="1" xfId="0" applyNumberFormat="1" applyFont="1" applyFill="1" applyBorder="1" applyAlignment="1">
      <alignment horizontal="center"/>
    </xf>
    <xf numFmtId="181" fontId="0" fillId="0" borderId="1" xfId="0" applyNumberFormat="1" applyFont="1" applyFill="1" applyBorder="1" applyAlignment="1">
      <alignment horizontal="center"/>
    </xf>
    <xf numFmtId="188" fontId="0" fillId="0" borderId="1" xfId="0" applyNumberFormat="1" applyFont="1" applyFill="1" applyBorder="1" applyAlignment="1">
      <alignment horizontal="center"/>
    </xf>
    <xf numFmtId="0"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 xfId="0" applyNumberFormat="1" applyFont="1" applyFill="1" applyBorder="1" applyAlignment="1">
      <alignment horizontal="center"/>
    </xf>
    <xf numFmtId="0" fontId="12" fillId="0" borderId="1" xfId="0" applyFont="1" applyFill="1" applyBorder="1"/>
    <xf numFmtId="184" fontId="12" fillId="0" borderId="2" xfId="0" applyNumberFormat="1" applyFont="1" applyFill="1" applyBorder="1" applyAlignment="1">
      <alignment horizontal="center" vertical="center"/>
    </xf>
    <xf numFmtId="184" fontId="12" fillId="0" borderId="1" xfId="0" applyNumberFormat="1" applyFont="1" applyFill="1" applyBorder="1" applyAlignment="1">
      <alignment horizontal="center" vertical="center"/>
    </xf>
    <xf numFmtId="0" fontId="12" fillId="0" borderId="5" xfId="0" applyNumberFormat="1" applyFont="1" applyFill="1" applyBorder="1" applyAlignment="1">
      <alignment horizontal="center" vertical="center"/>
    </xf>
    <xf numFmtId="0" fontId="12" fillId="0" borderId="5" xfId="0" applyFont="1" applyFill="1" applyBorder="1" applyAlignment="1">
      <alignment horizontal="center" vertical="center"/>
    </xf>
    <xf numFmtId="0" fontId="12" fillId="0" borderId="13" xfId="0" applyFont="1" applyFill="1" applyBorder="1" applyAlignment="1">
      <alignment horizontal="center" vertical="center"/>
    </xf>
    <xf numFmtId="0" fontId="0" fillId="3" borderId="0" xfId="0" applyFill="1"/>
    <xf numFmtId="2" fontId="0" fillId="3" borderId="0" xfId="0" applyNumberFormat="1" applyFill="1"/>
    <xf numFmtId="0" fontId="0" fillId="15" borderId="0" xfId="0" applyFill="1"/>
    <xf numFmtId="0" fontId="3" fillId="3" borderId="14" xfId="0" applyFont="1" applyFill="1" applyBorder="1" applyAlignment="1">
      <alignment horizontal="center"/>
    </xf>
    <xf numFmtId="0" fontId="3" fillId="2" borderId="15" xfId="0" applyFont="1" applyFill="1" applyBorder="1"/>
    <xf numFmtId="2" fontId="3" fillId="2" borderId="15" xfId="0" applyNumberFormat="1" applyFont="1" applyFill="1" applyBorder="1"/>
    <xf numFmtId="189" fontId="0" fillId="3" borderId="0" xfId="0" applyNumberFormat="1" applyFont="1" applyFill="1"/>
    <xf numFmtId="0" fontId="15" fillId="3" borderId="0" xfId="0" applyFont="1" applyFill="1"/>
    <xf numFmtId="0" fontId="15" fillId="15" borderId="0" xfId="0" applyFont="1" applyFill="1"/>
    <xf numFmtId="0" fontId="0" fillId="15" borderId="0" xfId="0" applyFont="1" applyFill="1"/>
    <xf numFmtId="0" fontId="3" fillId="3" borderId="15" xfId="0" applyFont="1" applyFill="1" applyBorder="1"/>
    <xf numFmtId="189" fontId="3" fillId="3" borderId="15" xfId="0" applyNumberFormat="1" applyFont="1" applyFill="1" applyBorder="1"/>
    <xf numFmtId="0" fontId="3" fillId="3" borderId="14" xfId="0" applyFont="1" applyFill="1" applyBorder="1"/>
    <xf numFmtId="189" fontId="3" fillId="3" borderId="14" xfId="0" applyNumberFormat="1" applyFont="1" applyFill="1" applyBorder="1"/>
    <xf numFmtId="189" fontId="0" fillId="3" borderId="0" xfId="0" applyNumberFormat="1" applyFill="1"/>
    <xf numFmtId="0" fontId="3" fillId="3" borderId="16" xfId="0" applyFont="1" applyFill="1" applyBorder="1"/>
    <xf numFmtId="189" fontId="3" fillId="3" borderId="16" xfId="0" applyNumberFormat="1" applyFont="1" applyFill="1" applyBorder="1"/>
    <xf numFmtId="1" fontId="0" fillId="3" borderId="0" xfId="0" applyNumberFormat="1" applyFont="1" applyFill="1"/>
    <xf numFmtId="2" fontId="0" fillId="3" borderId="0" xfId="0" applyNumberFormat="1" applyFont="1" applyFill="1"/>
    <xf numFmtId="0" fontId="0" fillId="3" borderId="0" xfId="0" applyFill="1" applyBorder="1"/>
    <xf numFmtId="0" fontId="3" fillId="3" borderId="15" xfId="0" applyFont="1" applyFill="1" applyBorder="1" applyAlignment="1">
      <alignment horizontal="center"/>
    </xf>
    <xf numFmtId="0" fontId="22" fillId="3" borderId="0" xfId="0" applyFont="1" applyFill="1" applyAlignment="1">
      <alignment horizontal="center"/>
    </xf>
    <xf numFmtId="0" fontId="0" fillId="3" borderId="0" xfId="0" applyFont="1" applyFill="1" applyBorder="1"/>
    <xf numFmtId="168" fontId="0" fillId="0" borderId="0" xfId="0" applyNumberFormat="1"/>
    <xf numFmtId="190" fontId="3" fillId="3" borderId="16" xfId="0" applyNumberFormat="1" applyFont="1" applyFill="1" applyBorder="1"/>
    <xf numFmtId="0" fontId="3" fillId="10" borderId="1" xfId="0" applyFont="1" applyFill="1" applyBorder="1" applyAlignment="1">
      <alignment horizontal="center" vertical="center" wrapText="1"/>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65" fontId="6" fillId="0" borderId="1" xfId="2" applyNumberFormat="1" applyFont="1" applyBorder="1" applyAlignment="1">
      <alignment horizontal="center" vertical="center"/>
    </xf>
    <xf numFmtId="0" fontId="6" fillId="0" borderId="1" xfId="0" applyFont="1" applyBorder="1" applyAlignment="1">
      <alignment horizontal="left" vertical="center" wrapText="1"/>
    </xf>
    <xf numFmtId="0" fontId="3" fillId="3" borderId="0" xfId="0" applyFont="1" applyFill="1"/>
    <xf numFmtId="2" fontId="3" fillId="3" borderId="0" xfId="0" applyNumberFormat="1" applyFont="1" applyFill="1"/>
    <xf numFmtId="9" fontId="0" fillId="3" borderId="0" xfId="3" applyFont="1" applyFill="1"/>
    <xf numFmtId="44" fontId="0" fillId="3" borderId="0" xfId="2" applyFont="1" applyFill="1"/>
    <xf numFmtId="43" fontId="0" fillId="3" borderId="0" xfId="1" applyFont="1" applyFill="1"/>
    <xf numFmtId="0" fontId="0" fillId="3" borderId="0" xfId="0" applyFill="1" applyAlignment="1">
      <alignment wrapText="1"/>
    </xf>
    <xf numFmtId="0" fontId="0" fillId="3" borderId="1" xfId="0" applyFill="1" applyBorder="1" applyAlignment="1">
      <alignment wrapText="1"/>
    </xf>
    <xf numFmtId="0" fontId="6" fillId="0" borderId="1" xfId="0" applyFont="1" applyBorder="1" applyAlignment="1">
      <alignment horizontal="center" vertical="center"/>
    </xf>
    <xf numFmtId="164" fontId="3" fillId="3" borderId="0" xfId="0" applyNumberFormat="1" applyFont="1" applyFill="1"/>
    <xf numFmtId="44" fontId="3" fillId="3" borderId="0" xfId="2" applyFont="1" applyFill="1"/>
    <xf numFmtId="165" fontId="0" fillId="0" borderId="0" xfId="2" applyNumberFormat="1" applyFont="1"/>
    <xf numFmtId="191" fontId="0" fillId="0" borderId="0" xfId="3" applyNumberFormat="1" applyFont="1"/>
    <xf numFmtId="10" fontId="0" fillId="0" borderId="0" xfId="3" applyNumberFormat="1" applyFont="1"/>
    <xf numFmtId="2" fontId="0" fillId="0" borderId="1" xfId="0" applyNumberFormat="1" applyBorder="1" applyAlignment="1">
      <alignment horizontal="center" vertical="center"/>
    </xf>
    <xf numFmtId="0" fontId="0" fillId="0" borderId="0" xfId="0" applyAlignment="1">
      <alignment horizontal="center" vertical="center"/>
    </xf>
    <xf numFmtId="44" fontId="0" fillId="0" borderId="1" xfId="0" applyNumberFormat="1" applyBorder="1" applyAlignment="1">
      <alignment horizontal="center" vertical="center"/>
    </xf>
    <xf numFmtId="0" fontId="3" fillId="0" borderId="1" xfId="0" applyFont="1" applyBorder="1" applyAlignment="1">
      <alignment horizontal="left" vertical="center" wrapText="1"/>
    </xf>
    <xf numFmtId="2" fontId="3" fillId="0" borderId="1" xfId="0" applyNumberFormat="1" applyFont="1" applyBorder="1" applyAlignment="1">
      <alignment horizontal="center" vertical="center"/>
    </xf>
    <xf numFmtId="165" fontId="3" fillId="0" borderId="0" xfId="2" applyNumberFormat="1" applyFont="1"/>
    <xf numFmtId="44" fontId="3" fillId="0" borderId="0" xfId="2" applyFont="1"/>
    <xf numFmtId="192" fontId="0" fillId="0" borderId="0" xfId="0" applyNumberFormat="1"/>
    <xf numFmtId="43" fontId="7" fillId="0" borderId="1" xfId="0" applyNumberFormat="1" applyFont="1" applyBorder="1"/>
    <xf numFmtId="44" fontId="7" fillId="0" borderId="1" xfId="2" applyFont="1" applyBorder="1"/>
    <xf numFmtId="165" fontId="7" fillId="0" borderId="1" xfId="2" applyNumberFormat="1" applyFont="1" applyBorder="1"/>
    <xf numFmtId="0" fontId="9" fillId="7" borderId="1" xfId="0" applyFont="1" applyFill="1" applyBorder="1" applyAlignment="1">
      <alignment horizontal="center" vertical="center"/>
    </xf>
    <xf numFmtId="0" fontId="9" fillId="7" borderId="1" xfId="0" applyFont="1" applyFill="1" applyBorder="1" applyAlignment="1">
      <alignment horizontal="center" vertical="center" wrapText="1"/>
    </xf>
    <xf numFmtId="44" fontId="9" fillId="7" borderId="1" xfId="2" applyFont="1" applyFill="1" applyBorder="1" applyAlignment="1">
      <alignment horizontal="center" vertical="center" wrapText="1"/>
    </xf>
    <xf numFmtId="0" fontId="0" fillId="0" borderId="8" xfId="0" applyBorder="1" applyAlignment="1">
      <alignment horizontal="center"/>
    </xf>
    <xf numFmtId="0" fontId="11" fillId="0" borderId="2" xfId="0" applyFont="1" applyBorder="1" applyAlignment="1">
      <alignment horizontal="left"/>
    </xf>
    <xf numFmtId="0" fontId="11" fillId="0" borderId="3" xfId="0" applyFont="1" applyBorder="1" applyAlignment="1">
      <alignment horizontal="left"/>
    </xf>
    <xf numFmtId="0" fontId="2" fillId="4" borderId="2" xfId="0" applyFont="1" applyFill="1" applyBorder="1" applyAlignment="1">
      <alignment horizontal="center"/>
    </xf>
    <xf numFmtId="0" fontId="2" fillId="4" borderId="4" xfId="0" applyFont="1" applyFill="1" applyBorder="1" applyAlignment="1">
      <alignment horizontal="center"/>
    </xf>
    <xf numFmtId="0" fontId="2" fillId="4" borderId="3" xfId="0" applyFont="1" applyFill="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xf>
    <xf numFmtId="0" fontId="0" fillId="3" borderId="2"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2" fillId="4" borderId="1" xfId="0" applyFont="1" applyFill="1" applyBorder="1" applyAlignment="1">
      <alignment horizontal="center"/>
    </xf>
    <xf numFmtId="0" fontId="0" fillId="0" borderId="5" xfId="0" applyBorder="1" applyAlignment="1">
      <alignment horizontal="center" vertical="center"/>
    </xf>
    <xf numFmtId="0" fontId="0" fillId="0" borderId="6" xfId="0" applyBorder="1" applyAlignment="1">
      <alignment horizontal="center" vertical="center"/>
    </xf>
    <xf numFmtId="0" fontId="0" fillId="3" borderId="1" xfId="0" applyFont="1" applyFill="1" applyBorder="1" applyAlignment="1">
      <alignment horizontal="left" vertical="center" wrapText="1"/>
    </xf>
    <xf numFmtId="0" fontId="3" fillId="1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10" borderId="5"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6" borderId="2" xfId="0" applyFont="1" applyFill="1" applyBorder="1" applyAlignment="1">
      <alignment horizontal="center"/>
    </xf>
    <xf numFmtId="0" fontId="2" fillId="6" borderId="4" xfId="0" applyFont="1" applyFill="1" applyBorder="1" applyAlignment="1">
      <alignment horizontal="center"/>
    </xf>
    <xf numFmtId="0" fontId="2" fillId="6" borderId="3" xfId="0" applyFont="1" applyFill="1" applyBorder="1" applyAlignment="1">
      <alignment horizontal="center"/>
    </xf>
    <xf numFmtId="0" fontId="3" fillId="0" borderId="1" xfId="0" applyFont="1" applyBorder="1" applyAlignment="1">
      <alignment horizontal="center"/>
    </xf>
    <xf numFmtId="0" fontId="11" fillId="0" borderId="1" xfId="0" applyFont="1" applyBorder="1" applyAlignment="1">
      <alignment horizontal="left"/>
    </xf>
    <xf numFmtId="0" fontId="12" fillId="0" borderId="1" xfId="0" applyFont="1" applyBorder="1" applyAlignment="1">
      <alignment horizontal="left"/>
    </xf>
    <xf numFmtId="0" fontId="2" fillId="6" borderId="1" xfId="0" applyFont="1" applyFill="1" applyBorder="1" applyAlignment="1">
      <alignment horizontal="center"/>
    </xf>
    <xf numFmtId="0" fontId="2" fillId="6" borderId="9" xfId="0" applyFont="1" applyFill="1" applyBorder="1" applyAlignment="1">
      <alignment horizontal="center"/>
    </xf>
    <xf numFmtId="0" fontId="2" fillId="6" borderId="8" xfId="0" applyFont="1" applyFill="1" applyBorder="1" applyAlignment="1">
      <alignment horizontal="center"/>
    </xf>
    <xf numFmtId="0" fontId="0" fillId="0" borderId="0" xfId="0" applyAlignment="1">
      <alignment horizontal="center"/>
    </xf>
    <xf numFmtId="0" fontId="12" fillId="0" borderId="0" xfId="0" applyFont="1" applyBorder="1" applyAlignment="1">
      <alignment horizontal="center"/>
    </xf>
    <xf numFmtId="0" fontId="3" fillId="0" borderId="0" xfId="0" applyFont="1" applyBorder="1" applyAlignment="1">
      <alignment horizontal="center"/>
    </xf>
    <xf numFmtId="0" fontId="0" fillId="3" borderId="1" xfId="0" applyFill="1" applyBorder="1" applyAlignment="1">
      <alignment horizontal="center"/>
    </xf>
    <xf numFmtId="0" fontId="3" fillId="2" borderId="1" xfId="0" applyFont="1" applyFill="1" applyBorder="1" applyAlignment="1">
      <alignment horizontal="center"/>
    </xf>
    <xf numFmtId="44" fontId="0" fillId="0" borderId="5" xfId="2" applyFont="1" applyBorder="1" applyAlignment="1">
      <alignment horizontal="center" vertical="center"/>
    </xf>
    <xf numFmtId="44" fontId="0" fillId="0" borderId="7" xfId="2" applyFont="1" applyBorder="1" applyAlignment="1">
      <alignment horizontal="center" vertical="center"/>
    </xf>
    <xf numFmtId="44" fontId="0" fillId="0" borderId="6" xfId="2"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20" fillId="3" borderId="0" xfId="0" applyFont="1" applyFill="1" applyAlignment="1">
      <alignment horizontal="center"/>
    </xf>
    <xf numFmtId="0" fontId="21" fillId="7" borderId="14" xfId="0" applyFont="1" applyFill="1" applyBorder="1" applyAlignment="1">
      <alignment horizontal="center"/>
    </xf>
    <xf numFmtId="0" fontId="22" fillId="7" borderId="0" xfId="0" applyFont="1" applyFill="1" applyAlignment="1">
      <alignment horizontal="center"/>
    </xf>
    <xf numFmtId="0" fontId="3" fillId="16" borderId="15" xfId="0" applyFont="1" applyFill="1" applyBorder="1" applyAlignment="1">
      <alignment horizontal="center"/>
    </xf>
    <xf numFmtId="0" fontId="3" fillId="3" borderId="0" xfId="0" applyFont="1" applyFill="1" applyBorder="1" applyAlignment="1">
      <alignment horizontal="center"/>
    </xf>
    <xf numFmtId="0" fontId="7" fillId="0" borderId="0" xfId="0" applyFont="1" applyAlignment="1">
      <alignment horizontal="center"/>
    </xf>
    <xf numFmtId="0" fontId="7" fillId="0" borderId="1" xfId="0" applyFont="1" applyBorder="1" applyAlignment="1">
      <alignment horizontal="center" vertical="center"/>
    </xf>
    <xf numFmtId="0" fontId="7" fillId="0" borderId="2" xfId="0" applyFont="1" applyBorder="1" applyAlignment="1">
      <alignment horizontal="center"/>
    </xf>
    <xf numFmtId="0" fontId="7" fillId="0" borderId="4" xfId="0" applyFont="1" applyBorder="1" applyAlignment="1">
      <alignment horizontal="center"/>
    </xf>
    <xf numFmtId="0" fontId="7" fillId="0" borderId="3" xfId="0" applyFont="1" applyBorder="1" applyAlignment="1">
      <alignment horizont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3" xfId="0" applyFont="1" applyBorder="1" applyAlignment="1">
      <alignment horizontal="left"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3" xfId="0" applyFont="1" applyFill="1" applyBorder="1" applyAlignment="1">
      <alignment horizontal="center" vertical="center"/>
    </xf>
    <xf numFmtId="165" fontId="6" fillId="0" borderId="1" xfId="0" applyNumberFormat="1" applyFont="1" applyBorder="1" applyAlignment="1">
      <alignment horizontal="center" vertical="center" wrapText="1"/>
    </xf>
    <xf numFmtId="165" fontId="6" fillId="0" borderId="1" xfId="2" applyNumberFormat="1"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left" vertical="center" wrapText="1"/>
    </xf>
    <xf numFmtId="2" fontId="6" fillId="0" borderId="1" xfId="0" applyNumberFormat="1" applyFont="1" applyBorder="1" applyAlignment="1">
      <alignment horizontal="center" vertical="center" wrapText="1"/>
    </xf>
    <xf numFmtId="165" fontId="6" fillId="0" borderId="1" xfId="2"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43" fontId="6" fillId="0" borderId="1" xfId="1" applyFont="1" applyBorder="1" applyAlignment="1">
      <alignment horizontal="center" vertical="center"/>
    </xf>
    <xf numFmtId="43"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23" fillId="0" borderId="1" xfId="0" applyFont="1" applyBorder="1" applyAlignment="1">
      <alignment horizontal="left" vertical="center"/>
    </xf>
    <xf numFmtId="0" fontId="24" fillId="0" borderId="1" xfId="0" applyFont="1" applyBorder="1" applyAlignment="1">
      <alignment horizontal="left" vertical="center"/>
    </xf>
    <xf numFmtId="0" fontId="4" fillId="0" borderId="1" xfId="0" applyFont="1" applyBorder="1" applyAlignment="1">
      <alignment horizontal="center" vertical="center" wrapText="1"/>
    </xf>
    <xf numFmtId="0" fontId="14" fillId="6" borderId="1" xfId="0" applyFont="1" applyFill="1" applyBorder="1" applyAlignment="1">
      <alignment horizontal="center" vertical="center" wrapText="1"/>
    </xf>
    <xf numFmtId="0" fontId="16" fillId="11" borderId="0" xfId="0" applyFont="1" applyFill="1" applyAlignment="1">
      <alignment horizontal="left" vertical="center"/>
    </xf>
    <xf numFmtId="0" fontId="3" fillId="7" borderId="10" xfId="0" applyFont="1" applyFill="1" applyBorder="1" applyAlignment="1">
      <alignment horizontal="center" vertical="center"/>
    </xf>
  </cellXfs>
  <cellStyles count="4">
    <cellStyle name="Comma" xfId="1" builtinId="3"/>
    <cellStyle name="Currency" xfId="2" builtinId="4"/>
    <cellStyle name="Normal" xfId="0" builtinId="0"/>
    <cellStyle name="Percent" xfId="3" builtinId="5"/>
  </cellStyles>
  <dxfs count="100">
    <dxf>
      <font>
        <b val="0"/>
        <i/>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183" formatCode="&quot;H&quo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theme="0"/>
        <name val="Calibri"/>
        <scheme val="minor"/>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83" formatCode="&quot;H&quo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183" formatCode="&quot;H&quo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theme="0"/>
        <name val="Calibri"/>
        <scheme val="minor"/>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83" formatCode="&quot;H&quo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183" formatCode="&quot;H&quo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theme="0"/>
        <name val="Calibri"/>
        <scheme val="minor"/>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83" formatCode="&quot;H&quo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scheme val="minor"/>
      </font>
      <numFmt numFmtId="183" formatCode="&quot;H&quo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theme="0"/>
        <name val="Calibri"/>
        <scheme val="minor"/>
      </font>
      <fill>
        <patternFill patternType="solid">
          <fgColor indexed="64"/>
          <bgColor rgb="FF002060"/>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1E3661"/>
      <color rgb="FF1E36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ables/table1.xml><?xml version="1.0" encoding="utf-8"?>
<table xmlns="http://schemas.openxmlformats.org/spreadsheetml/2006/main" id="1" name="Table1" displayName="Table1" ref="B5:K127" totalsRowCount="1" headerRowDxfId="99" dataDxfId="97" headerRowBorderDxfId="98" tableBorderDxfId="96" totalsRowBorderDxfId="95">
  <tableColumns count="10">
    <tableColumn id="1" name="Sr. No." dataDxfId="94" totalsRowDxfId="93"/>
    <tableColumn id="2" name="Grid No." dataDxfId="92" totalsRowDxfId="91"/>
    <tableColumn id="3" name="Pile No." dataDxfId="90" totalsRowDxfId="89"/>
    <tableColumn id="4" name="Diameter " dataDxfId="88" totalsRowDxfId="87">
      <calculatedColumnFormula>VLOOKUP(D6,$N$6:$P$11,3,FALSE)</calculatedColumnFormula>
    </tableColumn>
    <tableColumn id="5" name="Zone" dataDxfId="86" totalsRowDxfId="85"/>
    <tableColumn id="6" name="Length" totalsRowFunction="sum" dataDxfId="84" totalsRowDxfId="83">
      <calculatedColumnFormula>VLOOKUP(D6,$N$6:$Q$11,4,FALSE)</calculatedColumnFormula>
    </tableColumn>
    <tableColumn id="7" name="Cross sectional area of pile " dataDxfId="82" totalsRowDxfId="81">
      <calculatedColumnFormula>3.14*((E6/2)^2)</calculatedColumnFormula>
    </tableColumn>
    <tableColumn id="10" name="Column1" dataDxfId="80" totalsRowDxfId="79">
      <calculatedColumnFormula>Table1[[#This Row],[Length]]*Table1[[#This Row],[Volume of steel]]</calculatedColumnFormula>
    </tableColumn>
    <tableColumn id="8" name="Volume of steel" totalsRowFunction="sum" dataDxfId="78" totalsRowDxfId="77">
      <calculatedColumnFormula>1.6%*H6*Table1[[#This Row],[Length]]</calculatedColumnFormula>
    </tableColumn>
    <tableColumn id="9" name="Volume of Concrete" totalsRowFunction="sum" dataDxfId="76" totalsRowDxfId="75">
      <calculatedColumnFormula>3.14*((Table1[[#This Row],[Diameter ]]/2)^2)*Table1[[#This Row],[Length]]</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2" name="Table13" displayName="Table13" ref="B5:K132" totalsRowCount="1" headerRowDxfId="74" dataDxfId="72" headerRowBorderDxfId="73" tableBorderDxfId="71" totalsRowBorderDxfId="70">
  <autoFilter ref="B5:K131"/>
  <tableColumns count="10">
    <tableColumn id="1" name="Sr. No." dataDxfId="69" totalsRowDxfId="68"/>
    <tableColumn id="2" name="Grid No." dataDxfId="67" totalsRowDxfId="66"/>
    <tableColumn id="3" name="Pile No." dataDxfId="65" totalsRowDxfId="64"/>
    <tableColumn id="4" name="Diameter " dataDxfId="63" totalsRowDxfId="62"/>
    <tableColumn id="5" name="Zone" dataDxfId="61" totalsRowDxfId="60"/>
    <tableColumn id="6" name="Length" dataDxfId="59" totalsRowDxfId="58"/>
    <tableColumn id="7" name="Cross sectional area of pile " dataDxfId="57" totalsRowDxfId="56"/>
    <tableColumn id="10" name="Column1" dataDxfId="55" totalsRowDxfId="54"/>
    <tableColumn id="8" name="Weight of  steel" dataDxfId="53" totalsRowDxfId="52"/>
    <tableColumn id="9" name="Volume of Concrete" dataDxfId="51" totalsRowDxfId="50"/>
  </tableColumns>
  <tableStyleInfo name="TableStyleMedium2" showFirstColumn="0" showLastColumn="0" showRowStripes="1" showColumnStripes="0"/>
</table>
</file>

<file path=xl/tables/table3.xml><?xml version="1.0" encoding="utf-8"?>
<table xmlns="http://schemas.openxmlformats.org/spreadsheetml/2006/main" id="3" name="Table134" displayName="Table134" ref="B5:K152" totalsRowCount="1" headerRowDxfId="49" dataDxfId="47" headerRowBorderDxfId="48" tableBorderDxfId="46" totalsRowBorderDxfId="45">
  <tableColumns count="10">
    <tableColumn id="1" name="Sr. No." dataDxfId="44" totalsRowDxfId="43"/>
    <tableColumn id="2" name="Grid No." dataDxfId="42" totalsRowDxfId="41"/>
    <tableColumn id="3" name="Pile No." dataDxfId="40" totalsRowDxfId="39"/>
    <tableColumn id="4" name="Diameter " dataDxfId="38" totalsRowDxfId="37"/>
    <tableColumn id="5" name="Zone" dataDxfId="36" totalsRowDxfId="35"/>
    <tableColumn id="6" name="Length" dataDxfId="34" totalsRowDxfId="33"/>
    <tableColumn id="7" name="Cross sectional area of pile " dataDxfId="32" totalsRowDxfId="31"/>
    <tableColumn id="10" name="Column1" dataDxfId="30" totalsRowDxfId="29"/>
    <tableColumn id="8" name="Weight of  steel" dataDxfId="28" totalsRowDxfId="27"/>
    <tableColumn id="9" name="Volume of Concrete" dataDxfId="26" totalsRowDxfId="25"/>
  </tableColumns>
  <tableStyleInfo name="TableStyleMedium2" showFirstColumn="0" showLastColumn="0" showRowStripes="1" showColumnStripes="0"/>
</table>
</file>

<file path=xl/tables/table4.xml><?xml version="1.0" encoding="utf-8"?>
<table xmlns="http://schemas.openxmlformats.org/spreadsheetml/2006/main" id="4" name="Table1345" displayName="Table1345" ref="B5:K164" totalsRowCount="1" headerRowDxfId="24" dataDxfId="22" headerRowBorderDxfId="23" tableBorderDxfId="21" totalsRowBorderDxfId="20">
  <autoFilter ref="B5:K163"/>
  <tableColumns count="10">
    <tableColumn id="1" name="Sr. No." dataDxfId="19" totalsRowDxfId="18"/>
    <tableColumn id="2" name="Grid No." dataDxfId="17" totalsRowDxfId="16"/>
    <tableColumn id="3" name="Pile No." dataDxfId="15" totalsRowDxfId="14"/>
    <tableColumn id="4" name="Diameter " dataDxfId="13" totalsRowDxfId="12"/>
    <tableColumn id="5" name="Zone" dataDxfId="11" totalsRowDxfId="10"/>
    <tableColumn id="6" name="Length" dataDxfId="9" totalsRowDxfId="8"/>
    <tableColumn id="7" name="Cross sectional area of pile " dataDxfId="7" totalsRowDxfId="6"/>
    <tableColumn id="10" name="Column1" dataDxfId="5" totalsRowDxfId="4"/>
    <tableColumn id="8" name="Weight of  steel" dataDxfId="3" totalsRowDxfId="2"/>
    <tableColumn id="9" name="Volume of Concrete"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3.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3"/>
  <sheetViews>
    <sheetView topLeftCell="J1" workbookViewId="0">
      <selection activeCell="K7" sqref="K7:M21"/>
    </sheetView>
  </sheetViews>
  <sheetFormatPr defaultRowHeight="15" x14ac:dyDescent="0.25"/>
  <cols>
    <col min="8" max="8" width="11.140625" bestFit="1" customWidth="1"/>
    <col min="32" max="32" width="9.5703125" bestFit="1" customWidth="1"/>
    <col min="33" max="33" width="9.85546875" bestFit="1" customWidth="1"/>
  </cols>
  <sheetData>
    <row r="2" spans="1:33" x14ac:dyDescent="0.25">
      <c r="A2" s="242" t="s">
        <v>135</v>
      </c>
      <c r="B2" s="242"/>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row>
    <row r="3" spans="1:33" s="30" customFormat="1" ht="66.75" customHeight="1" x14ac:dyDescent="0.25">
      <c r="A3" s="25" t="s">
        <v>102</v>
      </c>
      <c r="B3" s="25" t="s">
        <v>103</v>
      </c>
      <c r="C3" s="25" t="s">
        <v>104</v>
      </c>
      <c r="D3" s="25" t="s">
        <v>105</v>
      </c>
      <c r="E3" s="25" t="s">
        <v>106</v>
      </c>
      <c r="F3" s="25" t="s">
        <v>107</v>
      </c>
      <c r="G3" s="25" t="s">
        <v>108</v>
      </c>
      <c r="H3" s="25" t="s">
        <v>109</v>
      </c>
      <c r="I3" s="26" t="s">
        <v>110</v>
      </c>
      <c r="J3" s="25" t="s">
        <v>111</v>
      </c>
      <c r="K3" s="26" t="s">
        <v>112</v>
      </c>
      <c r="L3" s="25" t="s">
        <v>113</v>
      </c>
      <c r="M3" s="25" t="s">
        <v>114</v>
      </c>
      <c r="N3" s="25" t="s">
        <v>115</v>
      </c>
      <c r="O3" s="27" t="s">
        <v>116</v>
      </c>
      <c r="P3" s="27" t="s">
        <v>117</v>
      </c>
      <c r="Q3" s="27" t="s">
        <v>118</v>
      </c>
      <c r="R3" s="27" t="s">
        <v>119</v>
      </c>
      <c r="S3" s="27" t="s">
        <v>120</v>
      </c>
      <c r="T3" s="25" t="s">
        <v>121</v>
      </c>
      <c r="U3" s="25" t="s">
        <v>122</v>
      </c>
      <c r="V3" s="28" t="s">
        <v>123</v>
      </c>
      <c r="W3" s="25" t="s">
        <v>124</v>
      </c>
      <c r="X3" s="25" t="s">
        <v>125</v>
      </c>
      <c r="Y3" s="25" t="s">
        <v>126</v>
      </c>
      <c r="Z3" s="25" t="s">
        <v>127</v>
      </c>
      <c r="AA3" s="25" t="s">
        <v>128</v>
      </c>
      <c r="AB3" s="25" t="s">
        <v>129</v>
      </c>
      <c r="AC3" s="29" t="s">
        <v>130</v>
      </c>
      <c r="AD3" s="29" t="s">
        <v>131</v>
      </c>
      <c r="AE3" s="29" t="s">
        <v>132</v>
      </c>
      <c r="AF3" s="29" t="s">
        <v>133</v>
      </c>
      <c r="AG3" s="29" t="s">
        <v>134</v>
      </c>
    </row>
  </sheetData>
  <mergeCells count="1">
    <mergeCell ref="A2:AG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9"/>
  <sheetViews>
    <sheetView workbookViewId="0">
      <selection activeCell="G87" sqref="G87"/>
    </sheetView>
  </sheetViews>
  <sheetFormatPr defaultRowHeight="15" x14ac:dyDescent="0.25"/>
  <cols>
    <col min="1" max="1" width="2" style="184" customWidth="1"/>
    <col min="2" max="2" width="42.7109375" style="184" bestFit="1" customWidth="1"/>
    <col min="3" max="3" width="15.85546875" style="185" bestFit="1" customWidth="1"/>
    <col min="4" max="6" width="2" style="184" customWidth="1"/>
    <col min="7" max="7" width="42.7109375" style="184" bestFit="1" customWidth="1"/>
    <col min="8" max="8" width="14.42578125" style="184" bestFit="1" customWidth="1"/>
    <col min="9" max="11" width="2" style="184" customWidth="1"/>
    <col min="12" max="12" width="51.5703125" style="184" bestFit="1" customWidth="1"/>
    <col min="13" max="13" width="14.42578125" style="184" bestFit="1" customWidth="1"/>
    <col min="14" max="16384" width="9.140625" style="184"/>
  </cols>
  <sheetData>
    <row r="2" spans="2:16" ht="23.25" x14ac:dyDescent="0.35">
      <c r="B2" s="288" t="s">
        <v>834</v>
      </c>
      <c r="C2" s="288"/>
      <c r="D2" s="288"/>
      <c r="E2" s="288"/>
    </row>
    <row r="3" spans="2:16" ht="15.75" thickBot="1" x14ac:dyDescent="0.3"/>
    <row r="4" spans="2:16" ht="19.5" thickTop="1" x14ac:dyDescent="0.3">
      <c r="B4" s="289" t="s">
        <v>835</v>
      </c>
      <c r="C4" s="289"/>
      <c r="E4" s="186"/>
      <c r="G4" s="289" t="s">
        <v>836</v>
      </c>
      <c r="H4" s="289"/>
      <c r="J4" s="186"/>
      <c r="L4" s="289" t="s">
        <v>837</v>
      </c>
      <c r="M4" s="289"/>
    </row>
    <row r="5" spans="2:16" x14ac:dyDescent="0.25">
      <c r="B5" s="290" t="s">
        <v>838</v>
      </c>
      <c r="C5" s="290"/>
      <c r="E5" s="186"/>
      <c r="G5" s="290" t="s">
        <v>839</v>
      </c>
      <c r="H5" s="290"/>
      <c r="J5" s="186"/>
      <c r="L5" s="290" t="s">
        <v>840</v>
      </c>
      <c r="M5" s="290"/>
    </row>
    <row r="6" spans="2:16" ht="15.75" thickBot="1" x14ac:dyDescent="0.3">
      <c r="B6" s="290" t="s">
        <v>841</v>
      </c>
      <c r="C6" s="290"/>
      <c r="E6" s="186"/>
      <c r="G6" s="290" t="s">
        <v>842</v>
      </c>
      <c r="H6" s="290"/>
      <c r="J6" s="186"/>
      <c r="L6" s="290" t="s">
        <v>843</v>
      </c>
      <c r="M6" s="290"/>
    </row>
    <row r="7" spans="2:16" ht="16.5" thickTop="1" thickBot="1" x14ac:dyDescent="0.3">
      <c r="B7" s="291" t="s">
        <v>844</v>
      </c>
      <c r="C7" s="291"/>
      <c r="E7" s="186"/>
      <c r="G7" s="291" t="s">
        <v>844</v>
      </c>
      <c r="H7" s="291"/>
      <c r="J7" s="186"/>
      <c r="L7" s="291" t="s">
        <v>844</v>
      </c>
      <c r="M7" s="291"/>
    </row>
    <row r="8" spans="2:16" ht="16.5" thickTop="1" thickBot="1" x14ac:dyDescent="0.3">
      <c r="B8" s="187"/>
      <c r="C8" s="187"/>
      <c r="E8" s="186"/>
      <c r="G8" s="187"/>
      <c r="H8" s="187"/>
      <c r="J8" s="186"/>
      <c r="L8" s="187"/>
      <c r="M8" s="187"/>
      <c r="P8" s="102"/>
    </row>
    <row r="9" spans="2:16" ht="16.5" thickTop="1" thickBot="1" x14ac:dyDescent="0.3">
      <c r="B9" s="188" t="s">
        <v>845</v>
      </c>
      <c r="C9" s="189" t="s">
        <v>846</v>
      </c>
      <c r="E9" s="186"/>
      <c r="G9" s="188" t="s">
        <v>845</v>
      </c>
      <c r="H9" s="189" t="s">
        <v>846</v>
      </c>
      <c r="J9" s="186"/>
      <c r="L9" s="188" t="s">
        <v>845</v>
      </c>
      <c r="M9" s="189" t="s">
        <v>846</v>
      </c>
      <c r="P9" s="102"/>
    </row>
    <row r="10" spans="2:16" ht="16.5" thickTop="1" thickBot="1" x14ac:dyDescent="0.3">
      <c r="B10" s="102" t="s">
        <v>847</v>
      </c>
      <c r="C10" s="190">
        <v>1300</v>
      </c>
      <c r="D10" s="191"/>
      <c r="E10" s="192"/>
      <c r="F10" s="191"/>
      <c r="G10" s="102" t="s">
        <v>847</v>
      </c>
      <c r="H10" s="190">
        <v>450</v>
      </c>
      <c r="I10" s="102"/>
      <c r="J10" s="193"/>
      <c r="K10" s="102"/>
      <c r="L10" s="102" t="s">
        <v>847</v>
      </c>
      <c r="M10" s="190">
        <v>350</v>
      </c>
      <c r="P10" s="102"/>
    </row>
    <row r="11" spans="2:16" ht="16.5" thickTop="1" thickBot="1" x14ac:dyDescent="0.3">
      <c r="B11" s="194" t="s">
        <v>848</v>
      </c>
      <c r="C11" s="195">
        <f>C10</f>
        <v>1300</v>
      </c>
      <c r="D11" s="191"/>
      <c r="E11" s="192"/>
      <c r="F11" s="191"/>
      <c r="G11" s="194" t="s">
        <v>848</v>
      </c>
      <c r="H11" s="195">
        <f>H10</f>
        <v>450</v>
      </c>
      <c r="I11" s="102"/>
      <c r="J11" s="193"/>
      <c r="K11" s="102"/>
      <c r="L11" s="194" t="s">
        <v>848</v>
      </c>
      <c r="M11" s="195">
        <f>M10</f>
        <v>350</v>
      </c>
      <c r="P11" s="102"/>
    </row>
    <row r="12" spans="2:16" ht="16.5" thickTop="1" thickBot="1" x14ac:dyDescent="0.3">
      <c r="B12" s="196"/>
      <c r="C12" s="197"/>
      <c r="D12" s="191"/>
      <c r="E12" s="192"/>
      <c r="F12" s="191"/>
      <c r="G12" s="102"/>
      <c r="H12" s="190"/>
      <c r="I12" s="102"/>
      <c r="J12" s="193"/>
      <c r="K12" s="102"/>
      <c r="L12" s="102"/>
      <c r="M12" s="190"/>
      <c r="P12" s="102"/>
    </row>
    <row r="13" spans="2:16" ht="16.5" thickTop="1" thickBot="1" x14ac:dyDescent="0.3">
      <c r="B13" s="291" t="s">
        <v>849</v>
      </c>
      <c r="C13" s="291"/>
      <c r="D13" s="191"/>
      <c r="E13" s="192"/>
      <c r="F13" s="191"/>
      <c r="G13" s="291" t="s">
        <v>849</v>
      </c>
      <c r="H13" s="291"/>
      <c r="I13" s="102"/>
      <c r="J13" s="193"/>
      <c r="K13" s="102"/>
      <c r="L13" s="291" t="s">
        <v>849</v>
      </c>
      <c r="M13" s="291"/>
      <c r="P13" s="102"/>
    </row>
    <row r="14" spans="2:16" ht="15.75" thickTop="1" x14ac:dyDescent="0.25">
      <c r="B14" s="184" t="s">
        <v>850</v>
      </c>
      <c r="C14" s="198">
        <v>2200</v>
      </c>
      <c r="E14" s="186"/>
      <c r="G14" s="102" t="s">
        <v>850</v>
      </c>
      <c r="H14" s="198">
        <v>2200</v>
      </c>
      <c r="I14" s="102"/>
      <c r="J14" s="193"/>
      <c r="K14" s="102"/>
      <c r="L14" s="102" t="s">
        <v>850</v>
      </c>
      <c r="M14" s="190">
        <v>900</v>
      </c>
      <c r="P14" s="102"/>
    </row>
    <row r="15" spans="2:16" x14ac:dyDescent="0.25">
      <c r="B15" s="184" t="s">
        <v>851</v>
      </c>
      <c r="C15" s="198">
        <v>1400</v>
      </c>
      <c r="E15" s="186"/>
      <c r="G15" s="102" t="s">
        <v>851</v>
      </c>
      <c r="H15" s="198">
        <v>1400</v>
      </c>
      <c r="I15" s="102"/>
      <c r="J15" s="193"/>
      <c r="K15" s="102"/>
      <c r="L15" s="102" t="s">
        <v>851</v>
      </c>
      <c r="M15" s="190">
        <v>0</v>
      </c>
      <c r="P15" s="102"/>
    </row>
    <row r="16" spans="2:16" x14ac:dyDescent="0.25">
      <c r="B16" s="184" t="s">
        <v>852</v>
      </c>
      <c r="C16" s="198">
        <v>120</v>
      </c>
      <c r="E16" s="186"/>
      <c r="G16" s="102" t="s">
        <v>853</v>
      </c>
      <c r="H16" s="198">
        <v>120</v>
      </c>
      <c r="I16" s="102"/>
      <c r="J16" s="193"/>
      <c r="K16" s="102"/>
      <c r="L16" s="102" t="s">
        <v>853</v>
      </c>
      <c r="M16" s="190">
        <v>0</v>
      </c>
      <c r="P16" s="102"/>
    </row>
    <row r="17" spans="2:16" x14ac:dyDescent="0.25">
      <c r="B17" s="102" t="s">
        <v>854</v>
      </c>
      <c r="C17" s="190">
        <v>250</v>
      </c>
      <c r="E17" s="186"/>
      <c r="G17" s="102" t="s">
        <v>855</v>
      </c>
      <c r="H17" s="190">
        <v>160</v>
      </c>
      <c r="I17" s="102"/>
      <c r="J17" s="193"/>
      <c r="K17" s="102"/>
      <c r="L17" s="102" t="s">
        <v>874</v>
      </c>
      <c r="M17" s="190">
        <v>200</v>
      </c>
      <c r="P17" s="102"/>
    </row>
    <row r="18" spans="2:16" x14ac:dyDescent="0.25">
      <c r="B18" s="102" t="s">
        <v>855</v>
      </c>
      <c r="C18" s="190">
        <v>0</v>
      </c>
      <c r="E18" s="186"/>
      <c r="G18" s="102" t="s">
        <v>856</v>
      </c>
      <c r="H18" s="190">
        <v>165</v>
      </c>
      <c r="I18" s="102"/>
      <c r="J18" s="193"/>
      <c r="K18" s="102"/>
      <c r="L18" s="102" t="s">
        <v>856</v>
      </c>
      <c r="M18" s="190">
        <v>0</v>
      </c>
      <c r="P18" s="102"/>
    </row>
    <row r="19" spans="2:16" x14ac:dyDescent="0.25">
      <c r="B19" s="102" t="s">
        <v>856</v>
      </c>
      <c r="C19" s="190">
        <v>165</v>
      </c>
      <c r="E19" s="186"/>
      <c r="G19" s="102" t="s">
        <v>857</v>
      </c>
      <c r="H19" s="190">
        <v>165</v>
      </c>
      <c r="I19" s="102"/>
      <c r="J19" s="193"/>
      <c r="K19" s="102"/>
      <c r="L19" s="102" t="s">
        <v>857</v>
      </c>
      <c r="M19" s="190">
        <v>0</v>
      </c>
      <c r="P19" s="102"/>
    </row>
    <row r="20" spans="2:16" x14ac:dyDescent="0.25">
      <c r="B20" s="102" t="s">
        <v>857</v>
      </c>
      <c r="C20" s="190">
        <v>165</v>
      </c>
      <c r="E20" s="186"/>
      <c r="G20" s="102" t="s">
        <v>858</v>
      </c>
      <c r="H20" s="190">
        <v>220</v>
      </c>
      <c r="I20" s="102"/>
      <c r="J20" s="193"/>
      <c r="K20" s="102"/>
      <c r="L20" s="102" t="s">
        <v>858</v>
      </c>
      <c r="M20" s="190">
        <v>0</v>
      </c>
      <c r="P20" s="102"/>
    </row>
    <row r="21" spans="2:16" ht="15.75" thickBot="1" x14ac:dyDescent="0.3">
      <c r="B21" s="102" t="s">
        <v>858</v>
      </c>
      <c r="C21" s="190">
        <v>220</v>
      </c>
      <c r="E21" s="186"/>
      <c r="G21" s="102" t="s">
        <v>859</v>
      </c>
      <c r="H21" s="190">
        <v>400</v>
      </c>
      <c r="I21" s="102"/>
      <c r="J21" s="193"/>
      <c r="K21" s="102"/>
      <c r="L21" s="102" t="s">
        <v>859</v>
      </c>
      <c r="M21" s="190">
        <v>400</v>
      </c>
      <c r="P21" s="102"/>
    </row>
    <row r="22" spans="2:16" ht="16.5" thickTop="1" thickBot="1" x14ac:dyDescent="0.3">
      <c r="B22" s="102" t="s">
        <v>859</v>
      </c>
      <c r="C22" s="190">
        <v>400</v>
      </c>
      <c r="E22" s="186"/>
      <c r="G22" s="194" t="s">
        <v>860</v>
      </c>
      <c r="H22" s="195">
        <f>SUM(H14:H21)</f>
        <v>4830</v>
      </c>
      <c r="I22" s="102"/>
      <c r="J22" s="193"/>
      <c r="K22" s="102"/>
      <c r="L22" s="194" t="s">
        <v>860</v>
      </c>
      <c r="M22" s="195">
        <f>SUM(M14:M21)</f>
        <v>1500</v>
      </c>
    </row>
    <row r="23" spans="2:16" ht="16.5" thickTop="1" thickBot="1" x14ac:dyDescent="0.3">
      <c r="B23" s="194" t="s">
        <v>861</v>
      </c>
      <c r="C23" s="195">
        <f>SUM(C14:C22)</f>
        <v>4920</v>
      </c>
      <c r="E23" s="186"/>
      <c r="G23" s="102" t="s">
        <v>862</v>
      </c>
      <c r="H23" s="190">
        <f>H22*10%</f>
        <v>483</v>
      </c>
      <c r="I23" s="102"/>
      <c r="J23" s="193"/>
      <c r="K23" s="102"/>
      <c r="L23" s="102" t="s">
        <v>862</v>
      </c>
      <c r="M23" s="190">
        <f>M22*10%</f>
        <v>150</v>
      </c>
    </row>
    <row r="24" spans="2:16" ht="15.75" thickTop="1" x14ac:dyDescent="0.25">
      <c r="B24" s="102" t="s">
        <v>862</v>
      </c>
      <c r="C24" s="190">
        <f>C23*10%</f>
        <v>492</v>
      </c>
      <c r="E24" s="186"/>
      <c r="G24" s="102" t="s">
        <v>863</v>
      </c>
      <c r="H24" s="190">
        <f>H22*3.75%</f>
        <v>181.125</v>
      </c>
      <c r="I24" s="102"/>
      <c r="J24" s="193"/>
      <c r="K24" s="102"/>
      <c r="L24" s="102" t="s">
        <v>863</v>
      </c>
      <c r="M24" s="190">
        <f>M22*3.75%</f>
        <v>56.25</v>
      </c>
    </row>
    <row r="25" spans="2:16" x14ac:dyDescent="0.25">
      <c r="B25" s="102" t="s">
        <v>863</v>
      </c>
      <c r="C25" s="190">
        <f>C23*3.75%</f>
        <v>184.5</v>
      </c>
      <c r="E25" s="186"/>
      <c r="G25" s="102" t="s">
        <v>864</v>
      </c>
      <c r="H25" s="190">
        <f>H22*1.25%</f>
        <v>60.375</v>
      </c>
      <c r="I25" s="102"/>
      <c r="J25" s="193"/>
      <c r="K25" s="102"/>
      <c r="L25" s="102" t="s">
        <v>864</v>
      </c>
      <c r="M25" s="190">
        <f>M22*1.25%</f>
        <v>18.75</v>
      </c>
    </row>
    <row r="26" spans="2:16" x14ac:dyDescent="0.25">
      <c r="B26" s="102" t="s">
        <v>864</v>
      </c>
      <c r="C26" s="190">
        <f>C23*1.25%</f>
        <v>61.5</v>
      </c>
      <c r="E26" s="186"/>
      <c r="G26" s="102" t="s">
        <v>865</v>
      </c>
      <c r="H26" s="190">
        <f>H22*1.25%</f>
        <v>60.375</v>
      </c>
      <c r="I26" s="102"/>
      <c r="J26" s="193"/>
      <c r="K26" s="102"/>
      <c r="L26" s="102" t="s">
        <v>865</v>
      </c>
      <c r="M26" s="190">
        <f>M22*1.25%</f>
        <v>18.75</v>
      </c>
    </row>
    <row r="27" spans="2:16" x14ac:dyDescent="0.25">
      <c r="B27" s="102" t="s">
        <v>865</v>
      </c>
      <c r="C27" s="190">
        <f>C23*1.25%</f>
        <v>61.5</v>
      </c>
      <c r="E27" s="186"/>
      <c r="G27" s="102" t="s">
        <v>866</v>
      </c>
      <c r="H27" s="190">
        <f>H22*12.5%</f>
        <v>603.75</v>
      </c>
      <c r="I27" s="102"/>
      <c r="J27" s="193"/>
      <c r="K27" s="102"/>
      <c r="L27" s="102" t="s">
        <v>866</v>
      </c>
      <c r="M27" s="190">
        <f>M22*12.5%</f>
        <v>187.5</v>
      </c>
    </row>
    <row r="28" spans="2:16" ht="15.75" thickBot="1" x14ac:dyDescent="0.3">
      <c r="B28" s="102" t="s">
        <v>866</v>
      </c>
      <c r="C28" s="190">
        <f>C23*12.5%</f>
        <v>615</v>
      </c>
      <c r="E28" s="186"/>
      <c r="G28" s="102"/>
      <c r="H28" s="190"/>
      <c r="I28" s="102"/>
      <c r="J28" s="193"/>
      <c r="K28" s="102"/>
      <c r="L28" s="102"/>
      <c r="M28" s="190"/>
    </row>
    <row r="29" spans="2:16" ht="16.5" thickTop="1" thickBot="1" x14ac:dyDescent="0.3">
      <c r="B29" s="102"/>
      <c r="C29" s="190"/>
      <c r="E29" s="186"/>
      <c r="G29" s="199" t="s">
        <v>867</v>
      </c>
      <c r="H29" s="208">
        <f>SUM(H22:H28)</f>
        <v>6218.625</v>
      </c>
      <c r="I29" s="102"/>
      <c r="J29" s="193"/>
      <c r="K29" s="102"/>
      <c r="L29" s="199" t="s">
        <v>867</v>
      </c>
      <c r="M29" s="208">
        <f>SUM(M22:M28)</f>
        <v>1931.25</v>
      </c>
    </row>
    <row r="30" spans="2:16" ht="16.5" thickTop="1" thickBot="1" x14ac:dyDescent="0.3">
      <c r="B30" s="199" t="s">
        <v>867</v>
      </c>
      <c r="C30" s="208">
        <f>SUM(C23:C29)</f>
        <v>6334.5</v>
      </c>
      <c r="E30" s="186"/>
    </row>
    <row r="31" spans="2:16" ht="15.75" thickTop="1" x14ac:dyDescent="0.25">
      <c r="B31" s="102"/>
      <c r="C31" s="201"/>
    </row>
    <row r="32" spans="2:16" ht="15.75" thickBot="1" x14ac:dyDescent="0.3">
      <c r="B32" s="102"/>
      <c r="C32" s="202"/>
    </row>
    <row r="33" spans="2:16" ht="19.5" thickTop="1" x14ac:dyDescent="0.3">
      <c r="B33" s="289" t="s">
        <v>868</v>
      </c>
      <c r="C33" s="289"/>
      <c r="E33" s="186"/>
      <c r="G33" s="289" t="s">
        <v>869</v>
      </c>
      <c r="H33" s="289"/>
      <c r="L33" s="44" t="s">
        <v>886</v>
      </c>
      <c r="M33" s="44"/>
    </row>
    <row r="34" spans="2:16" ht="30" x14ac:dyDescent="0.25">
      <c r="B34" s="290" t="s">
        <v>870</v>
      </c>
      <c r="C34" s="290"/>
      <c r="E34" s="186"/>
      <c r="G34" s="290" t="s">
        <v>871</v>
      </c>
      <c r="H34" s="290"/>
      <c r="L34" s="221" t="s">
        <v>887</v>
      </c>
      <c r="M34" s="44" t="s">
        <v>888</v>
      </c>
    </row>
    <row r="35" spans="2:16" ht="15.75" thickBot="1" x14ac:dyDescent="0.3">
      <c r="B35" s="290" t="s">
        <v>872</v>
      </c>
      <c r="C35" s="290"/>
      <c r="E35" s="186"/>
      <c r="G35" s="290" t="s">
        <v>873</v>
      </c>
      <c r="H35" s="290"/>
      <c r="J35" s="203"/>
      <c r="K35" s="203"/>
      <c r="L35" s="203"/>
      <c r="M35" s="203"/>
      <c r="N35" s="203"/>
    </row>
    <row r="36" spans="2:16" ht="16.5" thickTop="1" thickBot="1" x14ac:dyDescent="0.3">
      <c r="B36" s="291" t="s">
        <v>844</v>
      </c>
      <c r="C36" s="291"/>
      <c r="E36" s="186"/>
      <c r="G36" s="291" t="s">
        <v>844</v>
      </c>
      <c r="H36" s="291"/>
      <c r="J36" s="203"/>
      <c r="K36" s="203"/>
      <c r="L36" s="203"/>
      <c r="M36" s="203"/>
      <c r="N36" s="203"/>
    </row>
    <row r="37" spans="2:16" ht="16.5" thickTop="1" thickBot="1" x14ac:dyDescent="0.3">
      <c r="B37" s="204"/>
      <c r="C37" s="204"/>
      <c r="E37" s="186"/>
      <c r="G37" s="205"/>
      <c r="H37" s="205"/>
      <c r="J37" s="203"/>
      <c r="K37" s="203"/>
      <c r="L37" s="203"/>
      <c r="M37" s="203"/>
      <c r="N37" s="203"/>
    </row>
    <row r="38" spans="2:16" ht="16.5" thickTop="1" thickBot="1" x14ac:dyDescent="0.3">
      <c r="B38" s="188" t="s">
        <v>845</v>
      </c>
      <c r="C38" s="189" t="s">
        <v>846</v>
      </c>
      <c r="E38" s="186"/>
      <c r="G38" s="188" t="s">
        <v>845</v>
      </c>
      <c r="H38" s="189" t="s">
        <v>846</v>
      </c>
      <c r="J38" s="203"/>
      <c r="K38" s="203"/>
      <c r="L38" s="203"/>
      <c r="M38" s="203"/>
      <c r="N38" s="203"/>
    </row>
    <row r="39" spans="2:16" ht="16.5" thickTop="1" thickBot="1" x14ac:dyDescent="0.3">
      <c r="B39" s="102" t="s">
        <v>847</v>
      </c>
      <c r="C39" s="190">
        <v>600</v>
      </c>
      <c r="E39" s="186"/>
      <c r="G39" s="102" t="s">
        <v>847</v>
      </c>
      <c r="H39" s="190">
        <v>450</v>
      </c>
      <c r="J39" s="203"/>
      <c r="K39" s="203"/>
      <c r="L39" s="203"/>
      <c r="M39" s="203"/>
      <c r="N39" s="203"/>
    </row>
    <row r="40" spans="2:16" ht="16.5" thickTop="1" thickBot="1" x14ac:dyDescent="0.3">
      <c r="B40" s="194" t="s">
        <v>848</v>
      </c>
      <c r="C40" s="195">
        <f>C39</f>
        <v>600</v>
      </c>
      <c r="E40" s="186"/>
      <c r="G40" s="194" t="s">
        <v>848</v>
      </c>
      <c r="H40" s="195">
        <f>H39</f>
        <v>450</v>
      </c>
      <c r="J40" s="203"/>
      <c r="K40" s="203"/>
      <c r="L40" s="203"/>
      <c r="M40" s="203"/>
      <c r="N40" s="203"/>
    </row>
    <row r="41" spans="2:16" ht="16.5" thickTop="1" thickBot="1" x14ac:dyDescent="0.3">
      <c r="B41" s="102"/>
      <c r="C41" s="190"/>
      <c r="E41" s="186"/>
      <c r="G41" s="102"/>
      <c r="H41" s="190"/>
    </row>
    <row r="42" spans="2:16" ht="16.5" thickTop="1" thickBot="1" x14ac:dyDescent="0.3">
      <c r="B42" s="291" t="s">
        <v>849</v>
      </c>
      <c r="C42" s="291"/>
      <c r="D42" s="191"/>
      <c r="E42" s="192"/>
      <c r="F42" s="191"/>
      <c r="G42" s="291" t="s">
        <v>849</v>
      </c>
      <c r="H42" s="291"/>
      <c r="I42" s="102"/>
      <c r="J42" s="206"/>
      <c r="K42" s="206"/>
      <c r="L42" s="292"/>
      <c r="M42" s="292"/>
      <c r="N42" s="203"/>
      <c r="P42" s="191"/>
    </row>
    <row r="43" spans="2:16" ht="15.75" thickTop="1" x14ac:dyDescent="0.25">
      <c r="B43" s="184" t="s">
        <v>899</v>
      </c>
      <c r="C43" s="185">
        <f>C61/10.7639</f>
        <v>2516.7457891656372</v>
      </c>
      <c r="E43" s="186"/>
      <c r="G43" s="184" t="s">
        <v>850</v>
      </c>
      <c r="H43" s="198">
        <v>2200</v>
      </c>
    </row>
    <row r="44" spans="2:16" ht="45" x14ac:dyDescent="0.25">
      <c r="B44" s="220" t="s">
        <v>896</v>
      </c>
      <c r="C44" s="185">
        <f t="shared" ref="C44:C46" si="0">C62/10.7639</f>
        <v>167.2256338316038</v>
      </c>
      <c r="E44" s="186"/>
      <c r="G44" s="184" t="s">
        <v>851</v>
      </c>
      <c r="H44" s="198">
        <v>1400</v>
      </c>
    </row>
    <row r="45" spans="2:16" x14ac:dyDescent="0.25">
      <c r="B45" s="184" t="s">
        <v>898</v>
      </c>
      <c r="C45" s="185">
        <f t="shared" si="0"/>
        <v>111.48375588773587</v>
      </c>
      <c r="E45" s="186"/>
      <c r="G45" s="184" t="s">
        <v>853</v>
      </c>
      <c r="H45" s="198">
        <v>120</v>
      </c>
    </row>
    <row r="46" spans="2:16" x14ac:dyDescent="0.25">
      <c r="B46" s="184" t="s">
        <v>897</v>
      </c>
      <c r="C46" s="185">
        <f t="shared" si="0"/>
        <v>55.741877943867934</v>
      </c>
      <c r="E46" s="186"/>
      <c r="G46" s="184" t="s">
        <v>855</v>
      </c>
      <c r="H46" s="190">
        <v>160</v>
      </c>
    </row>
    <row r="47" spans="2:16" x14ac:dyDescent="0.25">
      <c r="C47" s="217"/>
      <c r="E47" s="186"/>
      <c r="G47" s="184" t="s">
        <v>856</v>
      </c>
      <c r="H47" s="190">
        <v>165</v>
      </c>
    </row>
    <row r="48" spans="2:16" x14ac:dyDescent="0.25">
      <c r="B48" s="184" t="s">
        <v>908</v>
      </c>
      <c r="C48" s="185">
        <f>C89</f>
        <v>3326400</v>
      </c>
      <c r="E48" s="186"/>
      <c r="G48" s="102" t="s">
        <v>857</v>
      </c>
      <c r="H48" s="190">
        <v>165</v>
      </c>
    </row>
    <row r="49" spans="2:8" x14ac:dyDescent="0.25">
      <c r="B49" s="185" t="s">
        <v>906</v>
      </c>
      <c r="C49" s="185">
        <f>C82</f>
        <v>1418534.3999999997</v>
      </c>
      <c r="E49" s="186"/>
      <c r="G49" s="102" t="s">
        <v>858</v>
      </c>
      <c r="H49" s="190">
        <v>220</v>
      </c>
    </row>
    <row r="50" spans="2:8" ht="15.75" thickBot="1" x14ac:dyDescent="0.3">
      <c r="B50" s="184" t="s">
        <v>907</v>
      </c>
      <c r="C50" s="185">
        <f>C73</f>
        <v>100</v>
      </c>
      <c r="E50" s="186"/>
      <c r="G50" s="102" t="s">
        <v>859</v>
      </c>
      <c r="H50" s="190">
        <v>400</v>
      </c>
    </row>
    <row r="51" spans="2:8" ht="16.5" thickTop="1" thickBot="1" x14ac:dyDescent="0.3">
      <c r="B51" s="194" t="s">
        <v>860</v>
      </c>
      <c r="C51" s="185">
        <f>SUM(C43,C44,C45,C50)</f>
        <v>2895.4551788849767</v>
      </c>
      <c r="E51" s="186"/>
      <c r="G51" s="194" t="s">
        <v>860</v>
      </c>
      <c r="H51" s="195">
        <f>SUM(H43:H50)</f>
        <v>4830</v>
      </c>
    </row>
    <row r="52" spans="2:8" ht="15.75" thickTop="1" x14ac:dyDescent="0.25">
      <c r="B52" s="102" t="s">
        <v>862</v>
      </c>
      <c r="C52" s="190">
        <f>C51*4%</f>
        <v>115.81820715539907</v>
      </c>
      <c r="E52" s="186"/>
      <c r="G52" s="102" t="s">
        <v>862</v>
      </c>
      <c r="H52" s="190">
        <f>H51*10%</f>
        <v>483</v>
      </c>
    </row>
    <row r="53" spans="2:8" x14ac:dyDescent="0.25">
      <c r="B53" s="102" t="s">
        <v>863</v>
      </c>
      <c r="C53" s="190">
        <f>C51*3.75%</f>
        <v>108.57956920818663</v>
      </c>
      <c r="E53" s="186"/>
      <c r="G53" s="102" t="s">
        <v>863</v>
      </c>
      <c r="H53" s="190">
        <f>H51*3.75%</f>
        <v>181.125</v>
      </c>
    </row>
    <row r="54" spans="2:8" x14ac:dyDescent="0.25">
      <c r="B54" s="102" t="s">
        <v>864</v>
      </c>
      <c r="C54" s="190">
        <f>C51*1.25%</f>
        <v>36.193189736062209</v>
      </c>
      <c r="E54" s="186"/>
      <c r="G54" s="102" t="s">
        <v>864</v>
      </c>
      <c r="H54" s="190">
        <f>H51*1.25%</f>
        <v>60.375</v>
      </c>
    </row>
    <row r="55" spans="2:8" x14ac:dyDescent="0.25">
      <c r="B55" s="102" t="s">
        <v>865</v>
      </c>
      <c r="C55" s="190">
        <f>C51*1.25%</f>
        <v>36.193189736062209</v>
      </c>
      <c r="E55" s="186"/>
      <c r="G55" s="102" t="s">
        <v>865</v>
      </c>
      <c r="H55" s="190">
        <f>H51*1.25%</f>
        <v>60.375</v>
      </c>
    </row>
    <row r="56" spans="2:8" x14ac:dyDescent="0.25">
      <c r="B56" s="102" t="s">
        <v>876</v>
      </c>
      <c r="C56" s="190">
        <f>C51*18%</f>
        <v>521.18193219929583</v>
      </c>
      <c r="E56" s="186"/>
      <c r="G56" s="102" t="s">
        <v>866</v>
      </c>
      <c r="H56" s="190">
        <f>H51*12.5%</f>
        <v>603.75</v>
      </c>
    </row>
    <row r="57" spans="2:8" ht="15.75" thickBot="1" x14ac:dyDescent="0.3">
      <c r="B57" s="102"/>
      <c r="C57" s="190"/>
      <c r="E57" s="186"/>
      <c r="G57" s="102"/>
      <c r="H57" s="190"/>
    </row>
    <row r="58" spans="2:8" ht="16.5" thickTop="1" thickBot="1" x14ac:dyDescent="0.3">
      <c r="B58" s="199" t="s">
        <v>867</v>
      </c>
      <c r="C58" s="208">
        <f>SUM(C51:C57)</f>
        <v>3713.4212669199828</v>
      </c>
      <c r="E58" s="186"/>
      <c r="G58" s="199" t="s">
        <v>867</v>
      </c>
      <c r="H58" s="200">
        <f>SUM(H51:H57)</f>
        <v>6218.625</v>
      </c>
    </row>
    <row r="59" spans="2:8" ht="15.75" thickTop="1" x14ac:dyDescent="0.25"/>
    <row r="60" spans="2:8" x14ac:dyDescent="0.25">
      <c r="B60" s="215" t="s">
        <v>875</v>
      </c>
      <c r="C60" s="216" t="s">
        <v>877</v>
      </c>
    </row>
    <row r="61" spans="2:8" x14ac:dyDescent="0.25">
      <c r="B61" s="184" t="s">
        <v>899</v>
      </c>
      <c r="C61" s="185">
        <v>27090</v>
      </c>
    </row>
    <row r="62" spans="2:8" ht="45" x14ac:dyDescent="0.25">
      <c r="B62" s="220" t="s">
        <v>896</v>
      </c>
      <c r="C62" s="185">
        <v>1800</v>
      </c>
    </row>
    <row r="63" spans="2:8" x14ac:dyDescent="0.25">
      <c r="B63" s="184" t="s">
        <v>898</v>
      </c>
      <c r="C63" s="185">
        <v>1200</v>
      </c>
    </row>
    <row r="64" spans="2:8" x14ac:dyDescent="0.25">
      <c r="B64" s="184" t="s">
        <v>897</v>
      </c>
      <c r="C64" s="185">
        <v>600</v>
      </c>
    </row>
    <row r="65" spans="2:3" x14ac:dyDescent="0.25">
      <c r="C65" s="217"/>
    </row>
    <row r="66" spans="2:3" x14ac:dyDescent="0.25">
      <c r="B66" s="184" t="s">
        <v>877</v>
      </c>
      <c r="C66" s="185">
        <f>SUM(C61:C64)*(1+C65)</f>
        <v>30690</v>
      </c>
    </row>
    <row r="67" spans="2:3" x14ac:dyDescent="0.25">
      <c r="B67" s="184" t="s">
        <v>878</v>
      </c>
      <c r="C67" s="185">
        <f>C66/10.7639</f>
        <v>2851.1970568288448</v>
      </c>
    </row>
    <row r="68" spans="2:3" s="215" customFormat="1" x14ac:dyDescent="0.25">
      <c r="B68" s="215" t="s">
        <v>879</v>
      </c>
      <c r="C68" s="216">
        <v>75000</v>
      </c>
    </row>
    <row r="69" spans="2:3" x14ac:dyDescent="0.25">
      <c r="B69" s="184" t="s">
        <v>880</v>
      </c>
      <c r="C69" s="185">
        <v>150</v>
      </c>
    </row>
    <row r="70" spans="2:3" x14ac:dyDescent="0.25">
      <c r="B70" s="184" t="s">
        <v>881</v>
      </c>
      <c r="C70" s="218">
        <f>C69*C68</f>
        <v>11250000</v>
      </c>
    </row>
    <row r="71" spans="2:3" x14ac:dyDescent="0.25">
      <c r="B71" s="184" t="s">
        <v>882</v>
      </c>
      <c r="C71" s="219">
        <v>117729</v>
      </c>
    </row>
    <row r="72" spans="2:3" x14ac:dyDescent="0.25">
      <c r="B72" s="184" t="s">
        <v>883</v>
      </c>
      <c r="C72" s="185">
        <f>C70/C71</f>
        <v>95.558443544071551</v>
      </c>
    </row>
    <row r="73" spans="2:3" x14ac:dyDescent="0.25">
      <c r="B73" s="215" t="s">
        <v>884</v>
      </c>
      <c r="C73" s="216">
        <v>100</v>
      </c>
    </row>
    <row r="76" spans="2:3" x14ac:dyDescent="0.25">
      <c r="B76" s="184" t="s">
        <v>889</v>
      </c>
      <c r="C76" s="185">
        <v>80</v>
      </c>
    </row>
    <row r="77" spans="2:3" x14ac:dyDescent="0.25">
      <c r="B77" s="184" t="s">
        <v>890</v>
      </c>
      <c r="C77" s="185">
        <f>C76*3.28</f>
        <v>262.39999999999998</v>
      </c>
    </row>
    <row r="78" spans="2:3" x14ac:dyDescent="0.25">
      <c r="B78" s="184" t="s">
        <v>891</v>
      </c>
      <c r="C78" s="185">
        <f>C77*85%</f>
        <v>223.03999999999996</v>
      </c>
    </row>
    <row r="79" spans="2:3" x14ac:dyDescent="0.25">
      <c r="B79" s="184" t="s">
        <v>893</v>
      </c>
      <c r="C79" s="185">
        <f>12*C78</f>
        <v>2676.4799999999996</v>
      </c>
    </row>
    <row r="80" spans="2:3" x14ac:dyDescent="0.25">
      <c r="B80" s="184" t="s">
        <v>909</v>
      </c>
      <c r="C80" s="185">
        <f>C79*2</f>
        <v>5352.9599999999991</v>
      </c>
    </row>
    <row r="81" spans="2:3" ht="30" x14ac:dyDescent="0.25">
      <c r="B81" s="220" t="s">
        <v>892</v>
      </c>
      <c r="C81" s="185">
        <v>265</v>
      </c>
    </row>
    <row r="82" spans="2:3" x14ac:dyDescent="0.25">
      <c r="B82" s="184" t="s">
        <v>894</v>
      </c>
      <c r="C82" s="223">
        <f>C81*C80</f>
        <v>1418534.3999999997</v>
      </c>
    </row>
    <row r="83" spans="2:3" x14ac:dyDescent="0.25">
      <c r="B83" s="184" t="s">
        <v>895</v>
      </c>
    </row>
    <row r="85" spans="2:3" x14ac:dyDescent="0.25">
      <c r="B85" s="184" t="s">
        <v>900</v>
      </c>
      <c r="C85" s="185" t="s">
        <v>905</v>
      </c>
    </row>
    <row r="86" spans="2:3" x14ac:dyDescent="0.25">
      <c r="B86" s="184" t="s">
        <v>901</v>
      </c>
      <c r="C86" s="185" t="s">
        <v>902</v>
      </c>
    </row>
    <row r="87" spans="2:3" x14ac:dyDescent="0.25">
      <c r="B87" s="184" t="s">
        <v>903</v>
      </c>
      <c r="C87" s="185">
        <f>80*12*21</f>
        <v>20160</v>
      </c>
    </row>
    <row r="88" spans="2:3" x14ac:dyDescent="0.25">
      <c r="B88" s="184" t="s">
        <v>904</v>
      </c>
      <c r="C88" s="185">
        <v>165</v>
      </c>
    </row>
    <row r="89" spans="2:3" x14ac:dyDescent="0.25">
      <c r="B89" s="184" t="s">
        <v>894</v>
      </c>
      <c r="C89" s="224">
        <f>C88*C87</f>
        <v>3326400</v>
      </c>
    </row>
  </sheetData>
  <mergeCells count="27">
    <mergeCell ref="L42:M42"/>
    <mergeCell ref="B35:C35"/>
    <mergeCell ref="G35:H35"/>
    <mergeCell ref="B36:C36"/>
    <mergeCell ref="G36:H36"/>
    <mergeCell ref="B42:C42"/>
    <mergeCell ref="G42:H42"/>
    <mergeCell ref="B34:C34"/>
    <mergeCell ref="G34:H34"/>
    <mergeCell ref="B6:C6"/>
    <mergeCell ref="G6:H6"/>
    <mergeCell ref="L6:M6"/>
    <mergeCell ref="B7:C7"/>
    <mergeCell ref="G7:H7"/>
    <mergeCell ref="L7:M7"/>
    <mergeCell ref="B13:C13"/>
    <mergeCell ref="G13:H13"/>
    <mergeCell ref="L13:M13"/>
    <mergeCell ref="B33:C33"/>
    <mergeCell ref="G33:H33"/>
    <mergeCell ref="B2:E2"/>
    <mergeCell ref="B4:C4"/>
    <mergeCell ref="G4:H4"/>
    <mergeCell ref="L4:M4"/>
    <mergeCell ref="B5:C5"/>
    <mergeCell ref="G5:H5"/>
    <mergeCell ref="L5:M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8:O61"/>
  <sheetViews>
    <sheetView topLeftCell="A10" workbookViewId="0">
      <selection activeCell="I19" sqref="I19"/>
    </sheetView>
  </sheetViews>
  <sheetFormatPr defaultRowHeight="15" x14ac:dyDescent="0.25"/>
  <cols>
    <col min="4" max="4" width="2" bestFit="1" customWidth="1"/>
    <col min="5" max="5" width="39.85546875" bestFit="1" customWidth="1"/>
    <col min="6" max="6" width="11.28515625" bestFit="1" customWidth="1"/>
    <col min="7" max="7" width="10.28515625" bestFit="1" customWidth="1"/>
    <col min="8" max="8" width="11.28515625" bestFit="1" customWidth="1"/>
    <col min="9" max="9" width="16.140625" bestFit="1" customWidth="1"/>
    <col min="10" max="11" width="16.140625" customWidth="1"/>
    <col min="12" max="12" width="7.7109375" bestFit="1" customWidth="1"/>
    <col min="13" max="13" width="21.5703125" bestFit="1" customWidth="1"/>
    <col min="15" max="15" width="16.140625" bestFit="1" customWidth="1"/>
  </cols>
  <sheetData>
    <row r="8" spans="4:15" x14ac:dyDescent="0.25">
      <c r="D8" s="294" t="s">
        <v>480</v>
      </c>
      <c r="E8" s="294"/>
      <c r="F8" s="294"/>
      <c r="G8" s="294"/>
      <c r="H8" s="294"/>
      <c r="I8" s="94"/>
      <c r="J8" s="94"/>
      <c r="K8" s="94"/>
      <c r="L8" s="97"/>
      <c r="M8" s="95"/>
      <c r="N8" s="96"/>
      <c r="O8" s="96"/>
    </row>
    <row r="9" spans="4:15" x14ac:dyDescent="0.25">
      <c r="D9" s="88"/>
      <c r="E9" s="91" t="s">
        <v>490</v>
      </c>
      <c r="F9" s="91" t="s">
        <v>491</v>
      </c>
      <c r="G9" s="91" t="s">
        <v>492</v>
      </c>
      <c r="H9" s="91" t="s">
        <v>21</v>
      </c>
      <c r="I9" s="16"/>
      <c r="J9" s="16"/>
      <c r="K9" s="16"/>
      <c r="L9" s="15"/>
      <c r="M9" s="15"/>
      <c r="N9" s="17"/>
      <c r="O9" s="17"/>
    </row>
    <row r="10" spans="4:15" x14ac:dyDescent="0.25">
      <c r="D10" s="88">
        <v>1</v>
      </c>
      <c r="E10" s="91" t="s">
        <v>481</v>
      </c>
      <c r="F10" s="92">
        <v>127651203</v>
      </c>
      <c r="G10" s="92">
        <v>22977216</v>
      </c>
      <c r="H10" s="92">
        <f>SUM(F10:G10)</f>
        <v>150628419</v>
      </c>
      <c r="I10" s="101">
        <f>H10/129000</f>
        <v>1167.6621627906977</v>
      </c>
      <c r="J10" s="101">
        <f>I10/10.7642</f>
        <v>108.47644625617302</v>
      </c>
      <c r="K10" s="101"/>
      <c r="L10" s="15" t="s">
        <v>513</v>
      </c>
      <c r="M10" s="15" t="s">
        <v>504</v>
      </c>
      <c r="N10" s="17"/>
      <c r="O10" s="17">
        <v>17178790</v>
      </c>
    </row>
    <row r="11" spans="4:15" x14ac:dyDescent="0.25">
      <c r="D11" s="88">
        <v>2</v>
      </c>
      <c r="E11" s="91" t="s">
        <v>482</v>
      </c>
      <c r="F11" s="92">
        <v>73898654</v>
      </c>
      <c r="G11" s="92">
        <v>13301758</v>
      </c>
      <c r="H11" s="92">
        <f>SUM(F11:G11)</f>
        <v>87200412</v>
      </c>
      <c r="I11" s="101">
        <f t="shared" ref="I11:I22" si="0">H11/129000</f>
        <v>675.97218604651164</v>
      </c>
      <c r="J11" s="101">
        <f t="shared" ref="J11:J22" si="1">I11/10.7642</f>
        <v>62.798181569137661</v>
      </c>
      <c r="K11" s="101"/>
      <c r="L11" s="15" t="s">
        <v>514</v>
      </c>
      <c r="M11" s="15" t="s">
        <v>504</v>
      </c>
      <c r="N11" s="17"/>
      <c r="O11" s="17">
        <v>43392209</v>
      </c>
    </row>
    <row r="12" spans="4:15" x14ac:dyDescent="0.25">
      <c r="D12" s="88">
        <v>3</v>
      </c>
      <c r="E12" s="91" t="s">
        <v>483</v>
      </c>
      <c r="F12" s="92">
        <v>35566880</v>
      </c>
      <c r="G12" s="92">
        <v>6402038</v>
      </c>
      <c r="H12" s="92">
        <f>SUM(H10:H11)</f>
        <v>237828831</v>
      </c>
      <c r="I12" s="101">
        <f t="shared" si="0"/>
        <v>1843.6343488372092</v>
      </c>
      <c r="J12" s="101">
        <f t="shared" si="1"/>
        <v>171.27462782531066</v>
      </c>
      <c r="K12" s="101"/>
      <c r="L12" s="15" t="s">
        <v>515</v>
      </c>
      <c r="M12" s="15" t="s">
        <v>504</v>
      </c>
      <c r="N12" s="17"/>
      <c r="O12" s="17">
        <v>12818746</v>
      </c>
    </row>
    <row r="13" spans="4:15" x14ac:dyDescent="0.25">
      <c r="D13" s="88">
        <v>4</v>
      </c>
      <c r="E13" s="91" t="s">
        <v>484</v>
      </c>
      <c r="F13" s="92">
        <v>24921084</v>
      </c>
      <c r="G13" s="92">
        <v>4485795</v>
      </c>
      <c r="H13" s="92">
        <f>SUM(F13:G13)</f>
        <v>29406879</v>
      </c>
      <c r="I13" s="101">
        <f t="shared" si="0"/>
        <v>227.96030232558141</v>
      </c>
      <c r="J13" s="101">
        <f t="shared" si="1"/>
        <v>21.177635339884191</v>
      </c>
      <c r="K13" s="101"/>
      <c r="L13" s="15" t="s">
        <v>503</v>
      </c>
      <c r="M13" s="15" t="s">
        <v>504</v>
      </c>
      <c r="N13" s="17"/>
      <c r="O13" s="17">
        <v>18891391</v>
      </c>
    </row>
    <row r="14" spans="4:15" x14ac:dyDescent="0.25">
      <c r="D14" s="88">
        <v>5</v>
      </c>
      <c r="E14" s="91" t="s">
        <v>485</v>
      </c>
      <c r="F14" s="93">
        <v>131497754</v>
      </c>
      <c r="G14" s="93">
        <v>23669596</v>
      </c>
      <c r="H14" s="93">
        <f>SUM(F14:G14)</f>
        <v>155167350</v>
      </c>
      <c r="I14" s="101">
        <f t="shared" si="0"/>
        <v>1202.8476744186046</v>
      </c>
      <c r="J14" s="101">
        <f t="shared" si="1"/>
        <v>111.74519931054834</v>
      </c>
      <c r="K14" s="101"/>
      <c r="L14" s="293" t="s">
        <v>21</v>
      </c>
      <c r="M14" s="293"/>
      <c r="N14" s="293"/>
      <c r="O14" s="96">
        <f>SUM(O10:O13)</f>
        <v>92281136</v>
      </c>
    </row>
    <row r="15" spans="4:15" x14ac:dyDescent="0.25">
      <c r="D15" s="88">
        <v>6</v>
      </c>
      <c r="E15" s="91" t="s">
        <v>486</v>
      </c>
      <c r="F15" s="92">
        <v>2191134</v>
      </c>
      <c r="G15" s="92">
        <v>394404</v>
      </c>
      <c r="H15" s="92">
        <f>SUM(H13:H14)</f>
        <v>184574229</v>
      </c>
      <c r="I15" s="101">
        <f t="shared" si="0"/>
        <v>1430.8079767441861</v>
      </c>
      <c r="J15" s="101">
        <f t="shared" si="1"/>
        <v>132.92283465043255</v>
      </c>
      <c r="K15" s="101"/>
      <c r="L15" s="15" t="s">
        <v>506</v>
      </c>
      <c r="M15" s="15" t="s">
        <v>505</v>
      </c>
      <c r="N15" s="17"/>
      <c r="O15" s="17">
        <v>18414854</v>
      </c>
    </row>
    <row r="16" spans="4:15" x14ac:dyDescent="0.25">
      <c r="D16" s="88"/>
      <c r="E16" s="91" t="s">
        <v>495</v>
      </c>
      <c r="F16" s="92">
        <f>SUM(F10:F15)</f>
        <v>395726709</v>
      </c>
      <c r="G16" s="92">
        <f>SUM(G10:G15)</f>
        <v>71230807</v>
      </c>
      <c r="H16" s="92">
        <f>SUM(F16:G16)</f>
        <v>466957516</v>
      </c>
      <c r="I16" s="101">
        <f t="shared" si="0"/>
        <v>3619.8257054263568</v>
      </c>
      <c r="J16" s="101">
        <f t="shared" si="1"/>
        <v>336.28376520562205</v>
      </c>
      <c r="K16" s="101"/>
      <c r="L16" s="15" t="s">
        <v>507</v>
      </c>
      <c r="M16" s="15" t="s">
        <v>508</v>
      </c>
      <c r="N16" s="17"/>
      <c r="O16" s="17">
        <v>7837118</v>
      </c>
    </row>
    <row r="17" spans="4:15" x14ac:dyDescent="0.25">
      <c r="D17" s="88"/>
      <c r="E17" s="91"/>
      <c r="F17" s="91"/>
      <c r="G17" s="91"/>
      <c r="H17" s="91"/>
      <c r="I17" s="101">
        <f t="shared" si="0"/>
        <v>0</v>
      </c>
      <c r="J17" s="101">
        <f t="shared" si="1"/>
        <v>0</v>
      </c>
      <c r="K17" s="101"/>
      <c r="L17" s="15" t="s">
        <v>509</v>
      </c>
      <c r="M17" s="15" t="s">
        <v>510</v>
      </c>
      <c r="N17" s="17"/>
      <c r="O17" s="17">
        <v>13931540</v>
      </c>
    </row>
    <row r="18" spans="4:15" x14ac:dyDescent="0.25">
      <c r="D18" s="88">
        <v>1</v>
      </c>
      <c r="E18" s="91" t="s">
        <v>488</v>
      </c>
      <c r="F18" s="91"/>
      <c r="G18" s="91"/>
      <c r="H18" s="92">
        <v>12220469</v>
      </c>
      <c r="I18" s="101">
        <f t="shared" si="0"/>
        <v>94.732317829457358</v>
      </c>
      <c r="J18" s="101">
        <f t="shared" si="1"/>
        <v>8.8006835463348274</v>
      </c>
      <c r="K18" s="101"/>
      <c r="L18" s="15" t="s">
        <v>511</v>
      </c>
      <c r="M18" s="15" t="s">
        <v>510</v>
      </c>
      <c r="N18" s="17"/>
      <c r="O18" s="17">
        <v>149752979</v>
      </c>
    </row>
    <row r="19" spans="4:15" x14ac:dyDescent="0.25">
      <c r="D19" s="88">
        <v>2</v>
      </c>
      <c r="E19" s="91" t="s">
        <v>489</v>
      </c>
      <c r="F19" s="91"/>
      <c r="G19" s="91"/>
      <c r="H19" s="92">
        <v>7591113</v>
      </c>
      <c r="I19" s="101">
        <f t="shared" si="0"/>
        <v>58.845837209302324</v>
      </c>
      <c r="J19" s="101">
        <f t="shared" si="1"/>
        <v>5.4668100935789301</v>
      </c>
      <c r="K19" s="101"/>
      <c r="L19" s="15" t="s">
        <v>512</v>
      </c>
      <c r="M19" s="15" t="s">
        <v>510</v>
      </c>
      <c r="N19" s="17"/>
      <c r="O19" s="17">
        <v>87238962</v>
      </c>
    </row>
    <row r="20" spans="4:15" x14ac:dyDescent="0.25">
      <c r="D20" s="88">
        <v>3</v>
      </c>
      <c r="E20" s="91" t="s">
        <v>493</v>
      </c>
      <c r="F20" s="91"/>
      <c r="G20" s="92"/>
      <c r="H20" s="92">
        <v>874996</v>
      </c>
      <c r="I20" s="101">
        <f t="shared" si="0"/>
        <v>6.7829147286821705</v>
      </c>
      <c r="J20" s="101">
        <f t="shared" si="1"/>
        <v>0.63013644568868754</v>
      </c>
      <c r="K20" s="101"/>
      <c r="L20" s="15"/>
      <c r="M20" s="15"/>
      <c r="N20" s="17"/>
      <c r="O20" s="17">
        <f>SUM(O17:O19,O15:O16,O14)</f>
        <v>369456589</v>
      </c>
    </row>
    <row r="21" spans="4:15" x14ac:dyDescent="0.25">
      <c r="D21" s="88"/>
      <c r="E21" s="91" t="s">
        <v>494</v>
      </c>
      <c r="F21" s="91"/>
      <c r="G21" s="91"/>
      <c r="H21" s="92">
        <f>SUM(H18:H20)</f>
        <v>20686578</v>
      </c>
      <c r="I21" s="101">
        <f t="shared" si="0"/>
        <v>160.36106976744185</v>
      </c>
      <c r="J21" s="101">
        <f t="shared" si="1"/>
        <v>14.897630085602446</v>
      </c>
      <c r="K21" s="101"/>
      <c r="L21" s="15"/>
      <c r="M21" s="15"/>
      <c r="N21" s="17"/>
      <c r="O21" s="96">
        <f>O20*(1+18%)</f>
        <v>435958775.01999998</v>
      </c>
    </row>
    <row r="22" spans="4:15" x14ac:dyDescent="0.25">
      <c r="D22" s="295" t="s">
        <v>496</v>
      </c>
      <c r="E22" s="296"/>
      <c r="F22" s="296"/>
      <c r="G22" s="297"/>
      <c r="H22" s="93">
        <f>SUM(H21,H16)</f>
        <v>487644094</v>
      </c>
      <c r="I22" s="101">
        <f t="shared" si="0"/>
        <v>3780.1867751937984</v>
      </c>
      <c r="J22" s="101">
        <f t="shared" si="1"/>
        <v>351.18139529122448</v>
      </c>
      <c r="K22" s="101"/>
      <c r="L22" s="15"/>
      <c r="M22" s="15"/>
      <c r="N22" s="17"/>
      <c r="O22" s="17"/>
    </row>
    <row r="23" spans="4:15" x14ac:dyDescent="0.25">
      <c r="D23" s="14"/>
      <c r="E23" s="90"/>
      <c r="F23" s="15"/>
      <c r="G23" s="15"/>
      <c r="H23" s="15"/>
      <c r="I23" s="16"/>
      <c r="J23" s="16"/>
      <c r="K23" s="16"/>
      <c r="L23" s="15"/>
      <c r="M23" s="15"/>
      <c r="N23" s="17"/>
      <c r="O23" s="17"/>
    </row>
    <row r="24" spans="4:15" x14ac:dyDescent="0.25">
      <c r="D24" s="14"/>
      <c r="E24" s="15"/>
      <c r="F24" s="15"/>
      <c r="G24" s="90"/>
      <c r="H24" s="15"/>
      <c r="I24" s="16"/>
      <c r="J24" s="16"/>
      <c r="K24" s="16"/>
      <c r="L24" s="15"/>
      <c r="M24" s="15"/>
      <c r="N24" s="17"/>
      <c r="O24" s="17"/>
    </row>
    <row r="25" spans="4:15" x14ac:dyDescent="0.25">
      <c r="D25" s="294" t="s">
        <v>502</v>
      </c>
      <c r="E25" s="294"/>
      <c r="F25" s="294"/>
      <c r="G25" s="294"/>
      <c r="H25" s="294"/>
      <c r="I25" s="94"/>
      <c r="J25" s="94"/>
      <c r="K25" s="94"/>
      <c r="L25" s="95"/>
      <c r="M25" s="95"/>
      <c r="N25" s="96"/>
      <c r="O25" s="96"/>
    </row>
    <row r="26" spans="4:15" x14ac:dyDescent="0.25">
      <c r="D26" s="88"/>
      <c r="E26" s="91" t="s">
        <v>497</v>
      </c>
      <c r="F26" s="91"/>
      <c r="G26" s="91"/>
      <c r="H26" s="92">
        <v>7661035</v>
      </c>
      <c r="I26" s="98">
        <f>H26*(1+18%)</f>
        <v>9040021.2999999989</v>
      </c>
      <c r="J26" s="98"/>
      <c r="K26" s="98"/>
      <c r="L26" s="15"/>
      <c r="M26" s="15"/>
      <c r="N26" s="17"/>
      <c r="O26" s="17"/>
    </row>
    <row r="27" spans="4:15" x14ac:dyDescent="0.25">
      <c r="D27" s="88"/>
      <c r="E27" s="91" t="s">
        <v>498</v>
      </c>
      <c r="F27" s="91"/>
      <c r="G27" s="92"/>
      <c r="H27" s="92">
        <v>63400317</v>
      </c>
      <c r="I27" s="98">
        <f>H27*(1+18%)</f>
        <v>74812374.060000002</v>
      </c>
      <c r="J27" s="98"/>
      <c r="K27" s="98"/>
      <c r="L27" s="15"/>
      <c r="M27" s="15"/>
      <c r="N27" s="17"/>
      <c r="O27" s="17"/>
    </row>
    <row r="28" spans="4:15" x14ac:dyDescent="0.25">
      <c r="D28" s="88"/>
      <c r="E28" s="91" t="s">
        <v>499</v>
      </c>
      <c r="F28" s="91"/>
      <c r="G28" s="91"/>
      <c r="H28" s="92">
        <v>40600598</v>
      </c>
      <c r="I28" s="98">
        <f>H28*(1+18%)</f>
        <v>47908705.640000001</v>
      </c>
      <c r="J28" s="98"/>
      <c r="K28" s="98"/>
      <c r="L28" s="15"/>
      <c r="M28" s="15"/>
      <c r="N28" s="17"/>
      <c r="O28" s="17"/>
    </row>
    <row r="29" spans="4:15" x14ac:dyDescent="0.25">
      <c r="D29" s="88"/>
      <c r="E29" s="91" t="s">
        <v>500</v>
      </c>
      <c r="F29" s="91"/>
      <c r="G29" s="92"/>
      <c r="H29" s="92">
        <v>5746759</v>
      </c>
      <c r="I29" s="98">
        <f>H29*(1+18%)</f>
        <v>6781175.6199999992</v>
      </c>
      <c r="J29" s="98"/>
      <c r="K29" s="98"/>
      <c r="L29" s="15"/>
      <c r="M29" s="15"/>
      <c r="N29" s="17"/>
      <c r="O29" s="17"/>
    </row>
    <row r="30" spans="4:15" x14ac:dyDescent="0.25">
      <c r="D30" s="88"/>
      <c r="E30" s="91" t="s">
        <v>501</v>
      </c>
      <c r="F30" s="91"/>
      <c r="G30" s="92"/>
      <c r="H30" s="92">
        <v>14089045</v>
      </c>
      <c r="I30" s="98">
        <f>H30*(1+18%)</f>
        <v>16625073.1</v>
      </c>
      <c r="J30" s="98"/>
      <c r="K30" s="98"/>
      <c r="L30" s="15"/>
      <c r="M30" s="15"/>
      <c r="N30" s="17"/>
      <c r="O30" s="17"/>
    </row>
    <row r="31" spans="4:15" x14ac:dyDescent="0.25">
      <c r="D31" s="295" t="s">
        <v>487</v>
      </c>
      <c r="E31" s="296"/>
      <c r="F31" s="296"/>
      <c r="G31" s="297"/>
      <c r="H31" s="93">
        <f>SUM(H26:H30)</f>
        <v>131497754</v>
      </c>
      <c r="I31" s="99">
        <f>SUM(I26:I30)</f>
        <v>155167349.72</v>
      </c>
      <c r="J31" s="99"/>
      <c r="K31" s="99"/>
      <c r="L31" s="95"/>
      <c r="M31" s="95"/>
      <c r="N31" s="96"/>
      <c r="O31" s="96"/>
    </row>
    <row r="32" spans="4:15" x14ac:dyDescent="0.25">
      <c r="D32" s="14"/>
      <c r="E32" s="15"/>
      <c r="F32" s="15"/>
      <c r="G32" s="15"/>
      <c r="H32" s="15"/>
      <c r="I32" s="16"/>
      <c r="J32" s="16"/>
      <c r="K32" s="16"/>
      <c r="L32" s="15"/>
      <c r="M32" s="15"/>
      <c r="N32" s="17"/>
      <c r="O32" s="17"/>
    </row>
    <row r="33" spans="4:15" x14ac:dyDescent="0.25">
      <c r="D33" s="14"/>
      <c r="E33" s="15"/>
      <c r="F33" s="15"/>
      <c r="G33" s="15"/>
      <c r="H33" s="15"/>
      <c r="I33" s="16"/>
      <c r="J33" s="16"/>
      <c r="K33" s="16"/>
      <c r="L33" s="15"/>
      <c r="M33" s="15"/>
      <c r="N33" s="17"/>
      <c r="O33" s="17"/>
    </row>
    <row r="34" spans="4:15" x14ac:dyDescent="0.25">
      <c r="D34" s="14"/>
      <c r="E34" s="15"/>
      <c r="F34" s="15"/>
      <c r="G34" s="15"/>
      <c r="H34" s="15"/>
      <c r="I34" s="16"/>
      <c r="J34" s="16"/>
      <c r="K34" s="16"/>
      <c r="L34" s="15"/>
      <c r="M34" s="15"/>
      <c r="N34" s="17"/>
      <c r="O34" s="17"/>
    </row>
    <row r="35" spans="4:15" x14ac:dyDescent="0.25">
      <c r="D35" s="14"/>
      <c r="E35" s="15"/>
      <c r="F35" s="15"/>
      <c r="G35" s="15"/>
      <c r="H35" s="15"/>
      <c r="I35" s="16"/>
      <c r="J35" s="16"/>
      <c r="K35" s="16"/>
      <c r="L35" s="15"/>
      <c r="M35" s="15"/>
      <c r="N35" s="17"/>
      <c r="O35" s="17"/>
    </row>
    <row r="36" spans="4:15" x14ac:dyDescent="0.25">
      <c r="D36" s="14"/>
      <c r="E36" s="15"/>
      <c r="F36" s="15"/>
      <c r="G36" s="15"/>
      <c r="H36" s="15"/>
      <c r="I36" s="16"/>
      <c r="J36" s="16"/>
      <c r="K36" s="16"/>
      <c r="L36" s="15"/>
      <c r="M36" s="15"/>
      <c r="N36" s="17"/>
      <c r="O36" s="17"/>
    </row>
    <row r="37" spans="4:15" x14ac:dyDescent="0.25">
      <c r="D37" s="14"/>
      <c r="E37" s="15"/>
      <c r="F37" s="15"/>
      <c r="G37" s="15"/>
      <c r="H37" s="15"/>
      <c r="I37" s="16"/>
      <c r="J37" s="16"/>
      <c r="K37" s="16"/>
      <c r="L37" s="15"/>
      <c r="M37" s="15"/>
      <c r="N37" s="17"/>
      <c r="O37" s="17"/>
    </row>
    <row r="38" spans="4:15" x14ac:dyDescent="0.25">
      <c r="D38" s="14"/>
      <c r="E38" s="15"/>
      <c r="F38" s="15"/>
      <c r="G38" s="15"/>
      <c r="H38" s="15"/>
      <c r="I38" s="16"/>
      <c r="J38" s="16"/>
      <c r="K38" s="16"/>
      <c r="L38" s="15"/>
      <c r="M38" s="15"/>
      <c r="N38" s="17"/>
      <c r="O38" s="17"/>
    </row>
    <row r="39" spans="4:15" x14ac:dyDescent="0.25">
      <c r="D39" s="14"/>
      <c r="E39" s="15"/>
      <c r="F39" s="15"/>
      <c r="G39" s="15"/>
      <c r="H39" s="15"/>
      <c r="I39" s="16"/>
      <c r="J39" s="16"/>
      <c r="K39" s="16"/>
      <c r="L39" s="15"/>
      <c r="M39" s="15"/>
      <c r="N39" s="17"/>
      <c r="O39" s="17"/>
    </row>
    <row r="40" spans="4:15" x14ac:dyDescent="0.25">
      <c r="D40" s="14"/>
      <c r="E40" s="15"/>
      <c r="F40" s="15"/>
      <c r="G40" s="15"/>
      <c r="H40" s="15"/>
      <c r="I40" s="16"/>
      <c r="J40" s="16"/>
      <c r="K40" s="16"/>
      <c r="L40" s="15"/>
      <c r="M40" s="15"/>
      <c r="N40" s="17"/>
      <c r="O40" s="17"/>
    </row>
    <row r="41" spans="4:15" x14ac:dyDescent="0.25">
      <c r="D41" s="14"/>
      <c r="E41" s="15"/>
      <c r="F41" s="15"/>
      <c r="G41" s="15"/>
      <c r="H41" s="15"/>
      <c r="I41" s="16"/>
      <c r="J41" s="16"/>
      <c r="K41" s="16"/>
      <c r="L41" s="15"/>
      <c r="M41" s="15"/>
      <c r="N41" s="17"/>
      <c r="O41" s="17"/>
    </row>
    <row r="42" spans="4:15" x14ac:dyDescent="0.25">
      <c r="D42" s="14"/>
      <c r="E42" s="15"/>
      <c r="F42" s="15"/>
      <c r="G42" s="15"/>
      <c r="H42" s="15"/>
      <c r="I42" s="16"/>
      <c r="J42" s="16"/>
      <c r="K42" s="16"/>
      <c r="L42" s="15"/>
      <c r="M42" s="15"/>
      <c r="N42" s="17"/>
      <c r="O42" s="17"/>
    </row>
    <row r="43" spans="4:15" x14ac:dyDescent="0.25">
      <c r="D43" s="14"/>
      <c r="E43" s="15"/>
      <c r="F43" s="15"/>
      <c r="G43" s="15"/>
      <c r="H43" s="15"/>
      <c r="I43" s="16"/>
      <c r="J43" s="16"/>
      <c r="K43" s="16"/>
      <c r="L43" s="15"/>
      <c r="M43" s="15"/>
      <c r="N43" s="17"/>
      <c r="O43" s="17"/>
    </row>
    <row r="44" spans="4:15" x14ac:dyDescent="0.25">
      <c r="D44" s="14"/>
      <c r="E44" s="15"/>
      <c r="F44" s="15"/>
      <c r="G44" s="15"/>
      <c r="H44" s="15"/>
      <c r="I44" s="16"/>
      <c r="J44" s="16"/>
      <c r="K44" s="16"/>
      <c r="L44" s="15"/>
      <c r="M44" s="15"/>
      <c r="N44" s="17"/>
      <c r="O44" s="17"/>
    </row>
    <row r="45" spans="4:15" x14ac:dyDescent="0.25">
      <c r="D45" s="14"/>
      <c r="E45" s="15"/>
      <c r="F45" s="15"/>
      <c r="G45" s="15"/>
      <c r="H45" s="15"/>
      <c r="I45" s="16"/>
      <c r="J45" s="16"/>
      <c r="K45" s="16"/>
      <c r="L45" s="15"/>
      <c r="M45" s="15"/>
      <c r="N45" s="17"/>
      <c r="O45" s="17"/>
    </row>
    <row r="46" spans="4:15" x14ac:dyDescent="0.25">
      <c r="D46" s="14"/>
      <c r="E46" s="15"/>
      <c r="F46" s="15"/>
      <c r="G46" s="15"/>
      <c r="H46" s="15"/>
      <c r="I46" s="16"/>
      <c r="J46" s="16"/>
      <c r="K46" s="16"/>
      <c r="L46" s="15"/>
      <c r="M46" s="15"/>
      <c r="N46" s="17"/>
      <c r="O46" s="17"/>
    </row>
    <row r="47" spans="4:15" x14ac:dyDescent="0.25">
      <c r="D47" s="14"/>
      <c r="E47" s="15"/>
      <c r="F47" s="15"/>
      <c r="G47" s="15"/>
      <c r="H47" s="15"/>
      <c r="I47" s="16"/>
      <c r="J47" s="16"/>
      <c r="K47" s="16"/>
      <c r="L47" s="15"/>
      <c r="M47" s="15"/>
      <c r="N47" s="17"/>
      <c r="O47" s="17"/>
    </row>
    <row r="48" spans="4:15" x14ac:dyDescent="0.25">
      <c r="D48" s="14"/>
      <c r="E48" s="15"/>
      <c r="F48" s="15"/>
      <c r="G48" s="15"/>
      <c r="H48" s="15"/>
      <c r="I48" s="16"/>
      <c r="J48" s="16"/>
      <c r="K48" s="16"/>
      <c r="L48" s="15"/>
      <c r="M48" s="15"/>
      <c r="N48" s="17"/>
      <c r="O48" s="17"/>
    </row>
    <row r="49" spans="4:15" x14ac:dyDescent="0.25">
      <c r="D49" s="14"/>
      <c r="E49" s="15"/>
      <c r="F49" s="15"/>
      <c r="G49" s="15"/>
      <c r="H49" s="15"/>
      <c r="I49" s="16"/>
      <c r="J49" s="16"/>
      <c r="K49" s="16"/>
      <c r="L49" s="15"/>
      <c r="M49" s="15"/>
      <c r="N49" s="17"/>
      <c r="O49" s="17"/>
    </row>
    <row r="50" spans="4:15" x14ac:dyDescent="0.25">
      <c r="D50" s="14"/>
      <c r="E50" s="15"/>
      <c r="F50" s="15"/>
      <c r="G50" s="15"/>
      <c r="H50" s="15"/>
      <c r="I50" s="16"/>
      <c r="J50" s="16"/>
      <c r="K50" s="16"/>
      <c r="L50" s="15"/>
      <c r="M50" s="15"/>
      <c r="N50" s="17"/>
      <c r="O50" s="17"/>
    </row>
    <row r="51" spans="4:15" x14ac:dyDescent="0.25">
      <c r="D51" s="14"/>
      <c r="E51" s="15"/>
      <c r="F51" s="15"/>
      <c r="G51" s="15"/>
      <c r="H51" s="15"/>
      <c r="I51" s="16"/>
      <c r="J51" s="16"/>
      <c r="K51" s="16"/>
      <c r="L51" s="15"/>
      <c r="M51" s="15"/>
      <c r="N51" s="17"/>
      <c r="O51" s="17"/>
    </row>
    <row r="52" spans="4:15" x14ac:dyDescent="0.25">
      <c r="D52" s="14"/>
      <c r="E52" s="15"/>
      <c r="F52" s="15"/>
      <c r="G52" s="15"/>
      <c r="H52" s="15"/>
      <c r="I52" s="16"/>
      <c r="J52" s="16"/>
      <c r="K52" s="16"/>
      <c r="L52" s="15"/>
      <c r="M52" s="15"/>
      <c r="N52" s="17"/>
      <c r="O52" s="17"/>
    </row>
    <row r="53" spans="4:15" x14ac:dyDescent="0.25">
      <c r="D53" s="14"/>
      <c r="E53" s="15"/>
      <c r="F53" s="15"/>
      <c r="G53" s="15"/>
      <c r="H53" s="15"/>
      <c r="I53" s="16"/>
      <c r="J53" s="16"/>
      <c r="K53" s="16"/>
      <c r="L53" s="15"/>
      <c r="M53" s="15"/>
      <c r="N53" s="17"/>
      <c r="O53" s="17"/>
    </row>
    <row r="54" spans="4:15" x14ac:dyDescent="0.25">
      <c r="D54" s="14"/>
      <c r="E54" s="15"/>
      <c r="F54" s="15"/>
      <c r="G54" s="15"/>
      <c r="H54" s="15"/>
      <c r="I54" s="16"/>
      <c r="J54" s="16"/>
      <c r="K54" s="16"/>
      <c r="L54" s="15"/>
      <c r="M54" s="15"/>
      <c r="N54" s="17"/>
      <c r="O54" s="17"/>
    </row>
    <row r="55" spans="4:15" x14ac:dyDescent="0.25">
      <c r="D55" s="14"/>
      <c r="E55" s="15"/>
      <c r="F55" s="15"/>
      <c r="G55" s="15"/>
      <c r="H55" s="15"/>
      <c r="I55" s="16"/>
      <c r="J55" s="16"/>
      <c r="K55" s="16"/>
      <c r="L55" s="15"/>
      <c r="M55" s="15"/>
      <c r="N55" s="17"/>
      <c r="O55" s="17"/>
    </row>
    <row r="56" spans="4:15" x14ac:dyDescent="0.25">
      <c r="D56" s="14"/>
      <c r="E56" s="15"/>
      <c r="F56" s="15"/>
      <c r="G56" s="15"/>
      <c r="H56" s="15"/>
      <c r="I56" s="16"/>
      <c r="J56" s="16"/>
      <c r="K56" s="16"/>
      <c r="L56" s="15"/>
      <c r="M56" s="15"/>
      <c r="N56" s="17"/>
      <c r="O56" s="17"/>
    </row>
    <row r="57" spans="4:15" x14ac:dyDescent="0.25">
      <c r="D57" s="14"/>
      <c r="E57" s="15"/>
      <c r="F57" s="15"/>
      <c r="G57" s="15"/>
      <c r="H57" s="15"/>
      <c r="I57" s="16"/>
      <c r="J57" s="16"/>
      <c r="K57" s="16"/>
      <c r="L57" s="15"/>
      <c r="M57" s="15"/>
      <c r="N57" s="17"/>
      <c r="O57" s="17"/>
    </row>
    <row r="58" spans="4:15" x14ac:dyDescent="0.25">
      <c r="D58" s="14"/>
      <c r="E58" s="15"/>
      <c r="F58" s="15"/>
      <c r="G58" s="15"/>
      <c r="H58" s="15"/>
      <c r="I58" s="16"/>
      <c r="J58" s="16"/>
      <c r="K58" s="16"/>
      <c r="L58" s="15"/>
      <c r="M58" s="15"/>
      <c r="N58" s="17"/>
      <c r="O58" s="17"/>
    </row>
    <row r="59" spans="4:15" x14ac:dyDescent="0.25">
      <c r="D59" s="14"/>
      <c r="E59" s="15"/>
      <c r="F59" s="15"/>
      <c r="G59" s="15"/>
      <c r="H59" s="15"/>
      <c r="I59" s="16"/>
      <c r="J59" s="16"/>
      <c r="K59" s="16"/>
      <c r="L59" s="15"/>
      <c r="M59" s="15"/>
      <c r="N59" s="17"/>
      <c r="O59" s="17"/>
    </row>
    <row r="60" spans="4:15" x14ac:dyDescent="0.25">
      <c r="D60" s="14"/>
      <c r="E60" s="15"/>
      <c r="F60" s="15"/>
      <c r="G60" s="15"/>
      <c r="H60" s="15"/>
      <c r="I60" s="16"/>
      <c r="J60" s="16"/>
      <c r="K60" s="16"/>
      <c r="L60" s="15"/>
      <c r="M60" s="15"/>
      <c r="N60" s="17"/>
      <c r="O60" s="17"/>
    </row>
    <row r="61" spans="4:15" x14ac:dyDescent="0.25">
      <c r="D61" s="14"/>
      <c r="E61" s="15"/>
      <c r="F61" s="15"/>
      <c r="G61" s="15"/>
      <c r="H61" s="15"/>
      <c r="I61" s="16"/>
      <c r="J61" s="16"/>
      <c r="K61" s="16"/>
      <c r="L61" s="15"/>
      <c r="M61" s="15"/>
      <c r="N61" s="17"/>
      <c r="O61" s="17"/>
    </row>
  </sheetData>
  <mergeCells count="5">
    <mergeCell ref="L14:N14"/>
    <mergeCell ref="D8:H8"/>
    <mergeCell ref="D22:G22"/>
    <mergeCell ref="D25:H25"/>
    <mergeCell ref="D31:G3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0"/>
  <sheetViews>
    <sheetView tabSelected="1" topLeftCell="A28" workbookViewId="0">
      <selection activeCell="N41" sqref="N41"/>
    </sheetView>
  </sheetViews>
  <sheetFormatPr defaultRowHeight="15" x14ac:dyDescent="0.25"/>
  <cols>
    <col min="2" max="2" width="5.85546875" customWidth="1"/>
    <col min="3" max="3" width="8.7109375" customWidth="1"/>
    <col min="5" max="5" width="31" customWidth="1"/>
    <col min="6" max="6" width="12.28515625" customWidth="1"/>
    <col min="7" max="7" width="18.28515625" customWidth="1"/>
    <col min="8" max="8" width="11.140625" bestFit="1" customWidth="1"/>
    <col min="9" max="9" width="12.140625" bestFit="1" customWidth="1"/>
    <col min="10" max="10" width="11.140625" bestFit="1" customWidth="1"/>
    <col min="11" max="11" width="16.140625" bestFit="1" customWidth="1"/>
    <col min="12" max="12" width="19.5703125" bestFit="1" customWidth="1"/>
    <col min="15" max="16" width="10" bestFit="1" customWidth="1"/>
  </cols>
  <sheetData>
    <row r="2" spans="2:12" x14ac:dyDescent="0.25">
      <c r="B2" s="301" t="s">
        <v>917</v>
      </c>
      <c r="C2" s="302"/>
      <c r="D2" s="302"/>
      <c r="E2" s="302"/>
      <c r="F2" s="302"/>
      <c r="G2" s="302"/>
      <c r="H2" s="302"/>
      <c r="I2" s="302"/>
      <c r="J2" s="302"/>
      <c r="K2" s="303"/>
    </row>
    <row r="3" spans="2:12" ht="45" x14ac:dyDescent="0.25">
      <c r="B3" s="239" t="s">
        <v>49</v>
      </c>
      <c r="C3" s="240" t="s">
        <v>50</v>
      </c>
      <c r="D3" s="239" t="s">
        <v>55</v>
      </c>
      <c r="E3" s="239" t="s">
        <v>51</v>
      </c>
      <c r="F3" s="240" t="s">
        <v>52</v>
      </c>
      <c r="G3" s="240" t="s">
        <v>53</v>
      </c>
      <c r="H3" s="240" t="s">
        <v>912</v>
      </c>
      <c r="I3" s="240" t="s">
        <v>913</v>
      </c>
      <c r="J3" s="241" t="s">
        <v>914</v>
      </c>
      <c r="K3" s="239" t="s">
        <v>57</v>
      </c>
    </row>
    <row r="4" spans="2:12" ht="44.25" customHeight="1" x14ac:dyDescent="0.25">
      <c r="B4" s="315">
        <v>1</v>
      </c>
      <c r="C4" s="311" t="s">
        <v>54</v>
      </c>
      <c r="D4" s="311" t="s">
        <v>63</v>
      </c>
      <c r="E4" s="312" t="s">
        <v>56</v>
      </c>
      <c r="F4" s="306" t="s">
        <v>59</v>
      </c>
      <c r="G4" s="13" t="s">
        <v>69</v>
      </c>
      <c r="H4" s="313">
        <f>(37383.582+34642.667+13232.23)</f>
        <v>85258.479000000007</v>
      </c>
      <c r="I4" s="313">
        <f>H4*10.7639</f>
        <v>917713.74210809998</v>
      </c>
      <c r="J4" s="310">
        <f>K4/I4</f>
        <v>6998.0070966873627</v>
      </c>
      <c r="K4" s="310">
        <f>(1300*468067)+(6335*917708)</f>
        <v>6422167280</v>
      </c>
    </row>
    <row r="5" spans="2:12" ht="70.5" customHeight="1" x14ac:dyDescent="0.25">
      <c r="B5" s="315"/>
      <c r="C5" s="311"/>
      <c r="D5" s="311"/>
      <c r="E5" s="312"/>
      <c r="F5" s="306"/>
      <c r="G5" s="12" t="s">
        <v>70</v>
      </c>
      <c r="H5" s="313"/>
      <c r="I5" s="313"/>
      <c r="J5" s="310"/>
      <c r="K5" s="310"/>
    </row>
    <row r="6" spans="2:12" ht="51.75" customHeight="1" x14ac:dyDescent="0.25">
      <c r="B6" s="315"/>
      <c r="C6" s="311"/>
      <c r="D6" s="311"/>
      <c r="E6" s="312"/>
      <c r="F6" s="306"/>
      <c r="G6" s="12" t="s">
        <v>68</v>
      </c>
      <c r="H6" s="313"/>
      <c r="I6" s="313"/>
      <c r="J6" s="310"/>
      <c r="K6" s="310"/>
      <c r="L6" s="207"/>
    </row>
    <row r="7" spans="2:12" ht="26.25" x14ac:dyDescent="0.25">
      <c r="B7" s="315"/>
      <c r="C7" s="311"/>
      <c r="D7" s="311"/>
      <c r="E7" s="312"/>
      <c r="F7" s="306"/>
      <c r="G7" s="12" t="s">
        <v>62</v>
      </c>
      <c r="H7" s="313"/>
      <c r="I7" s="313"/>
      <c r="J7" s="310"/>
      <c r="K7" s="310"/>
    </row>
    <row r="8" spans="2:12" ht="64.5" x14ac:dyDescent="0.25">
      <c r="B8" s="315"/>
      <c r="C8" s="311"/>
      <c r="D8" s="311"/>
      <c r="E8" s="312"/>
      <c r="F8" s="306"/>
      <c r="G8" s="12" t="s">
        <v>80</v>
      </c>
      <c r="H8" s="313"/>
      <c r="I8" s="313"/>
      <c r="J8" s="310"/>
      <c r="K8" s="310"/>
    </row>
    <row r="9" spans="2:12" ht="44.25" customHeight="1" x14ac:dyDescent="0.25">
      <c r="B9" s="315">
        <v>2</v>
      </c>
      <c r="C9" s="318" t="s">
        <v>78</v>
      </c>
      <c r="D9" s="306" t="s">
        <v>63</v>
      </c>
      <c r="E9" s="308" t="s">
        <v>58</v>
      </c>
      <c r="F9" s="306" t="s">
        <v>59</v>
      </c>
      <c r="G9" s="13" t="s">
        <v>60</v>
      </c>
      <c r="H9" s="313">
        <f>5259.41+4867+810.472</f>
        <v>10936.882</v>
      </c>
      <c r="I9" s="314">
        <f>H9*10.7639</f>
        <v>117723.5041598</v>
      </c>
      <c r="J9" s="310">
        <f>K9/I9</f>
        <v>4713.7189838211725</v>
      </c>
      <c r="K9" s="310">
        <f>(600*61846)+(4358*117729)+('rate bifucation'!C48+'rate bifucation'!C49)</f>
        <v>554915516.39999998</v>
      </c>
    </row>
    <row r="10" spans="2:12" ht="57.75" customHeight="1" x14ac:dyDescent="0.25">
      <c r="B10" s="315"/>
      <c r="C10" s="318"/>
      <c r="D10" s="306"/>
      <c r="E10" s="308"/>
      <c r="F10" s="306"/>
      <c r="G10" s="12" t="s">
        <v>71</v>
      </c>
      <c r="H10" s="313"/>
      <c r="I10" s="315"/>
      <c r="J10" s="310"/>
      <c r="K10" s="310"/>
    </row>
    <row r="11" spans="2:12" ht="47.25" customHeight="1" x14ac:dyDescent="0.25">
      <c r="B11" s="315"/>
      <c r="C11" s="318"/>
      <c r="D11" s="306"/>
      <c r="E11" s="308"/>
      <c r="F11" s="306"/>
      <c r="G11" s="12" t="s">
        <v>72</v>
      </c>
      <c r="H11" s="313"/>
      <c r="I11" s="315"/>
      <c r="J11" s="310"/>
      <c r="K11" s="310"/>
    </row>
    <row r="12" spans="2:12" ht="42.75" customHeight="1" x14ac:dyDescent="0.25">
      <c r="B12" s="315"/>
      <c r="C12" s="318"/>
      <c r="D12" s="306"/>
      <c r="E12" s="308"/>
      <c r="F12" s="306"/>
      <c r="G12" s="12" t="s">
        <v>61</v>
      </c>
      <c r="H12" s="313"/>
      <c r="I12" s="315"/>
      <c r="J12" s="310"/>
      <c r="K12" s="310"/>
    </row>
    <row r="13" spans="2:12" ht="53.25" customHeight="1" x14ac:dyDescent="0.25">
      <c r="B13" s="315"/>
      <c r="C13" s="318"/>
      <c r="D13" s="306"/>
      <c r="E13" s="308"/>
      <c r="F13" s="306"/>
      <c r="G13" s="12" t="s">
        <v>73</v>
      </c>
      <c r="H13" s="313"/>
      <c r="I13" s="315"/>
      <c r="J13" s="310"/>
      <c r="K13" s="310"/>
    </row>
    <row r="14" spans="2:12" ht="56.25" customHeight="1" x14ac:dyDescent="0.25">
      <c r="B14" s="315"/>
      <c r="C14" s="318"/>
      <c r="D14" s="306"/>
      <c r="E14" s="308"/>
      <c r="F14" s="306"/>
      <c r="G14" s="12" t="s">
        <v>80</v>
      </c>
      <c r="H14" s="313"/>
      <c r="I14" s="315"/>
      <c r="J14" s="310"/>
      <c r="K14" s="310"/>
    </row>
    <row r="15" spans="2:12" ht="66" customHeight="1" x14ac:dyDescent="0.25">
      <c r="B15" s="315">
        <v>3</v>
      </c>
      <c r="C15" s="318" t="s">
        <v>64</v>
      </c>
      <c r="D15" s="306" t="s">
        <v>66</v>
      </c>
      <c r="E15" s="308" t="s">
        <v>67</v>
      </c>
      <c r="F15" s="306" t="s">
        <v>59</v>
      </c>
      <c r="G15" s="12" t="s">
        <v>77</v>
      </c>
      <c r="H15" s="306">
        <f>4535.502+3933.09</f>
        <v>8468.5920000000006</v>
      </c>
      <c r="I15" s="309">
        <f>H15*10.7639</f>
        <v>91155.077428799996</v>
      </c>
      <c r="J15" s="305">
        <f>K15/I15</f>
        <v>6569.5435393354974</v>
      </c>
      <c r="K15" s="304">
        <f>(450*70807)+(6220*91155)</f>
        <v>598847250</v>
      </c>
    </row>
    <row r="16" spans="2:12" ht="66.75" customHeight="1" x14ac:dyDescent="0.25">
      <c r="B16" s="315"/>
      <c r="C16" s="318"/>
      <c r="D16" s="306"/>
      <c r="E16" s="308"/>
      <c r="F16" s="306"/>
      <c r="G16" s="12" t="s">
        <v>76</v>
      </c>
      <c r="H16" s="306"/>
      <c r="I16" s="309"/>
      <c r="J16" s="305"/>
      <c r="K16" s="304"/>
    </row>
    <row r="17" spans="2:14" ht="39.75" customHeight="1" x14ac:dyDescent="0.25">
      <c r="B17" s="315"/>
      <c r="C17" s="318"/>
      <c r="D17" s="306"/>
      <c r="E17" s="308"/>
      <c r="F17" s="306"/>
      <c r="G17" s="12" t="s">
        <v>65</v>
      </c>
      <c r="H17" s="306"/>
      <c r="I17" s="309"/>
      <c r="J17" s="305"/>
      <c r="K17" s="304"/>
    </row>
    <row r="18" spans="2:14" ht="79.5" customHeight="1" x14ac:dyDescent="0.25">
      <c r="B18" s="315"/>
      <c r="C18" s="318"/>
      <c r="D18" s="306"/>
      <c r="E18" s="308"/>
      <c r="F18" s="306"/>
      <c r="G18" s="12" t="s">
        <v>79</v>
      </c>
      <c r="H18" s="306"/>
      <c r="I18" s="309"/>
      <c r="J18" s="305"/>
      <c r="K18" s="304"/>
    </row>
    <row r="19" spans="2:14" ht="39" x14ac:dyDescent="0.25">
      <c r="B19" s="315"/>
      <c r="C19" s="318"/>
      <c r="D19" s="306"/>
      <c r="E19" s="308"/>
      <c r="F19" s="306"/>
      <c r="G19" s="12" t="s">
        <v>68</v>
      </c>
      <c r="H19" s="306"/>
      <c r="I19" s="309"/>
      <c r="J19" s="305"/>
      <c r="K19" s="304"/>
    </row>
    <row r="20" spans="2:14" ht="49.5" customHeight="1" x14ac:dyDescent="0.25">
      <c r="B20" s="315"/>
      <c r="C20" s="318"/>
      <c r="D20" s="306"/>
      <c r="E20" s="308"/>
      <c r="F20" s="306"/>
      <c r="G20" s="12" t="s">
        <v>74</v>
      </c>
      <c r="H20" s="306"/>
      <c r="I20" s="309"/>
      <c r="J20" s="305"/>
      <c r="K20" s="304"/>
    </row>
    <row r="21" spans="2:14" ht="25.5" x14ac:dyDescent="0.25">
      <c r="B21" s="306">
        <v>4</v>
      </c>
      <c r="C21" s="307" t="s">
        <v>81</v>
      </c>
      <c r="D21" s="306" t="s">
        <v>85</v>
      </c>
      <c r="E21" s="308" t="s">
        <v>84</v>
      </c>
      <c r="F21" s="306" t="s">
        <v>59</v>
      </c>
      <c r="G21" s="21" t="s">
        <v>92</v>
      </c>
      <c r="H21" s="306">
        <f>2400.528</f>
        <v>2400.5279999999998</v>
      </c>
      <c r="I21" s="309">
        <f>H21*10.7639</f>
        <v>25839.043339199998</v>
      </c>
      <c r="J21" s="305">
        <f>K21/I21</f>
        <v>6682.1100043615506</v>
      </c>
      <c r="K21" s="305">
        <f>(450*26535)+(6220*25839)</f>
        <v>172659330</v>
      </c>
    </row>
    <row r="22" spans="2:14" ht="38.25" x14ac:dyDescent="0.25">
      <c r="B22" s="306"/>
      <c r="C22" s="307"/>
      <c r="D22" s="306"/>
      <c r="E22" s="308"/>
      <c r="F22" s="306"/>
      <c r="G22" s="18" t="s">
        <v>91</v>
      </c>
      <c r="H22" s="306"/>
      <c r="I22" s="309"/>
      <c r="J22" s="305"/>
      <c r="K22" s="305"/>
    </row>
    <row r="23" spans="2:14" ht="38.25" x14ac:dyDescent="0.25">
      <c r="B23" s="306"/>
      <c r="C23" s="307"/>
      <c r="D23" s="306"/>
      <c r="E23" s="308"/>
      <c r="F23" s="306"/>
      <c r="G23" s="18" t="s">
        <v>90</v>
      </c>
      <c r="H23" s="306"/>
      <c r="I23" s="309"/>
      <c r="J23" s="305"/>
      <c r="K23" s="305"/>
    </row>
    <row r="24" spans="2:14" ht="51" x14ac:dyDescent="0.25">
      <c r="B24" s="306"/>
      <c r="C24" s="307"/>
      <c r="D24" s="306"/>
      <c r="E24" s="308"/>
      <c r="F24" s="306"/>
      <c r="G24" s="18" t="s">
        <v>83</v>
      </c>
      <c r="H24" s="306"/>
      <c r="I24" s="309"/>
      <c r="J24" s="305"/>
      <c r="K24" s="305"/>
    </row>
    <row r="25" spans="2:14" ht="51" x14ac:dyDescent="0.25">
      <c r="B25" s="306"/>
      <c r="C25" s="307"/>
      <c r="D25" s="306"/>
      <c r="E25" s="308"/>
      <c r="F25" s="306"/>
      <c r="G25" s="18" t="s">
        <v>82</v>
      </c>
      <c r="H25" s="306"/>
      <c r="I25" s="309"/>
      <c r="J25" s="305"/>
      <c r="K25" s="305"/>
    </row>
    <row r="26" spans="2:14" ht="38.25" x14ac:dyDescent="0.25">
      <c r="B26" s="306"/>
      <c r="C26" s="307"/>
      <c r="D26" s="306"/>
      <c r="E26" s="308"/>
      <c r="F26" s="306"/>
      <c r="G26" s="18" t="s">
        <v>75</v>
      </c>
      <c r="H26" s="306"/>
      <c r="I26" s="309"/>
      <c r="J26" s="305"/>
      <c r="K26" s="305"/>
    </row>
    <row r="27" spans="2:14" ht="38.25" x14ac:dyDescent="0.25">
      <c r="B27" s="306"/>
      <c r="C27" s="307"/>
      <c r="D27" s="306"/>
      <c r="E27" s="308"/>
      <c r="F27" s="306"/>
      <c r="G27" s="18" t="s">
        <v>68</v>
      </c>
      <c r="H27" s="306"/>
      <c r="I27" s="309"/>
      <c r="J27" s="305"/>
      <c r="K27" s="305"/>
    </row>
    <row r="28" spans="2:14" ht="38.25" x14ac:dyDescent="0.25">
      <c r="B28" s="211">
        <v>5</v>
      </c>
      <c r="C28" s="212" t="s">
        <v>86</v>
      </c>
      <c r="D28" s="212" t="s">
        <v>87</v>
      </c>
      <c r="E28" s="214" t="s">
        <v>88</v>
      </c>
      <c r="F28" s="212" t="s">
        <v>59</v>
      </c>
      <c r="G28" s="22" t="s">
        <v>89</v>
      </c>
      <c r="H28" s="211">
        <f>1591.2</f>
        <v>1591.2</v>
      </c>
      <c r="I28" s="19">
        <f>H28*10.7639</f>
        <v>17127.517680000001</v>
      </c>
      <c r="J28" s="213">
        <f>K28/I28</f>
        <v>3001.7618992176103</v>
      </c>
      <c r="K28" s="20">
        <f>(350*17707)+(2640*17127)</f>
        <v>51412730</v>
      </c>
    </row>
    <row r="29" spans="2:14" ht="25.5" x14ac:dyDescent="0.25">
      <c r="B29" s="211">
        <v>6</v>
      </c>
      <c r="C29" s="212" t="s">
        <v>93</v>
      </c>
      <c r="D29" s="212" t="s">
        <v>94</v>
      </c>
      <c r="E29" s="214" t="s">
        <v>95</v>
      </c>
      <c r="F29" s="212" t="s">
        <v>59</v>
      </c>
      <c r="G29" s="212" t="s">
        <v>101</v>
      </c>
      <c r="H29" s="19">
        <v>504.48200000000003</v>
      </c>
      <c r="I29" s="19">
        <f>H29*10.7639</f>
        <v>5430.1937998000003</v>
      </c>
      <c r="J29" s="213">
        <v>2000</v>
      </c>
      <c r="K29" s="20">
        <f t="shared" ref="K29:K33" si="0">J29*I29</f>
        <v>10860387.5996</v>
      </c>
      <c r="M29">
        <v>25</v>
      </c>
      <c r="N29" t="s">
        <v>885</v>
      </c>
    </row>
    <row r="30" spans="2:14" ht="25.5" x14ac:dyDescent="0.25">
      <c r="B30" s="211">
        <v>7</v>
      </c>
      <c r="C30" s="212" t="s">
        <v>96</v>
      </c>
      <c r="D30" s="212" t="s">
        <v>87</v>
      </c>
      <c r="E30" s="214" t="s">
        <v>97</v>
      </c>
      <c r="F30" s="212" t="s">
        <v>59</v>
      </c>
      <c r="G30" s="212" t="s">
        <v>101</v>
      </c>
      <c r="H30" s="211">
        <v>10.89</v>
      </c>
      <c r="I30" s="19">
        <f>H30*10.7639</f>
        <v>117.21887100000001</v>
      </c>
      <c r="J30" s="213">
        <v>1400</v>
      </c>
      <c r="K30" s="20">
        <f t="shared" si="0"/>
        <v>164106.41940000001</v>
      </c>
    </row>
    <row r="31" spans="2:14" ht="25.5" x14ac:dyDescent="0.25">
      <c r="B31" s="211">
        <v>8</v>
      </c>
      <c r="C31" s="211" t="s">
        <v>98</v>
      </c>
      <c r="D31" s="212" t="s">
        <v>87</v>
      </c>
      <c r="E31" s="214" t="s">
        <v>97</v>
      </c>
      <c r="F31" s="212" t="s">
        <v>59</v>
      </c>
      <c r="G31" s="212" t="s">
        <v>101</v>
      </c>
      <c r="H31" s="211">
        <v>473.46</v>
      </c>
      <c r="I31" s="19">
        <f t="shared" ref="I31:I33" si="1">H31*10.7639</f>
        <v>5096.2760939999998</v>
      </c>
      <c r="J31" s="213">
        <v>1500</v>
      </c>
      <c r="K31" s="20">
        <f t="shared" si="0"/>
        <v>7644414.1409999998</v>
      </c>
    </row>
    <row r="32" spans="2:14" ht="25.5" x14ac:dyDescent="0.25">
      <c r="B32" s="211">
        <v>9</v>
      </c>
      <c r="C32" s="211" t="s">
        <v>99</v>
      </c>
      <c r="D32" s="212" t="s">
        <v>87</v>
      </c>
      <c r="E32" s="214" t="s">
        <v>97</v>
      </c>
      <c r="F32" s="212" t="s">
        <v>59</v>
      </c>
      <c r="G32" s="212" t="s">
        <v>101</v>
      </c>
      <c r="H32" s="211">
        <v>40.799999999999997</v>
      </c>
      <c r="I32" s="19">
        <f t="shared" si="1"/>
        <v>439.16711999999995</v>
      </c>
      <c r="J32" s="213">
        <v>1500</v>
      </c>
      <c r="K32" s="20">
        <f t="shared" si="0"/>
        <v>658750.67999999993</v>
      </c>
    </row>
    <row r="33" spans="2:12" ht="25.5" x14ac:dyDescent="0.25">
      <c r="B33" s="211">
        <v>10</v>
      </c>
      <c r="C33" s="211" t="s">
        <v>100</v>
      </c>
      <c r="D33" s="212" t="s">
        <v>87</v>
      </c>
      <c r="E33" s="214" t="s">
        <v>97</v>
      </c>
      <c r="F33" s="212" t="s">
        <v>59</v>
      </c>
      <c r="G33" s="212" t="s">
        <v>101</v>
      </c>
      <c r="H33" s="211">
        <v>40.799999999999997</v>
      </c>
      <c r="I33" s="19">
        <f t="shared" si="1"/>
        <v>439.16711999999995</v>
      </c>
      <c r="J33" s="213">
        <v>1500</v>
      </c>
      <c r="K33" s="20">
        <f t="shared" si="0"/>
        <v>658750.67999999993</v>
      </c>
    </row>
    <row r="34" spans="2:12" x14ac:dyDescent="0.25">
      <c r="B34" s="294" t="s">
        <v>21</v>
      </c>
      <c r="C34" s="294"/>
      <c r="D34" s="294"/>
      <c r="E34" s="294"/>
      <c r="F34" s="294"/>
      <c r="G34" s="294"/>
      <c r="H34" s="236">
        <f>SUM(H4:H33)</f>
        <v>109726.11300000003</v>
      </c>
      <c r="I34" s="236">
        <f>SUM(I4:I33)</f>
        <v>1181080.9077207004</v>
      </c>
      <c r="J34" s="237"/>
      <c r="K34" s="238">
        <f>SUM(K4:K33)</f>
        <v>7819988515.9200001</v>
      </c>
      <c r="L34" s="235">
        <f>K34/10^7</f>
        <v>781.99885159200005</v>
      </c>
    </row>
    <row r="35" spans="2:12" x14ac:dyDescent="0.25">
      <c r="B35" s="222">
        <v>11</v>
      </c>
      <c r="C35" s="298" t="s">
        <v>915</v>
      </c>
      <c r="D35" s="299"/>
      <c r="E35" s="299"/>
      <c r="F35" s="299"/>
      <c r="G35" s="300"/>
      <c r="H35" s="236"/>
      <c r="I35" s="236"/>
      <c r="J35" s="237"/>
      <c r="K35" s="238">
        <f>K34*0.12</f>
        <v>938398621.91040003</v>
      </c>
      <c r="L35" s="235"/>
    </row>
    <row r="36" spans="2:12" x14ac:dyDescent="0.25">
      <c r="B36" s="294" t="s">
        <v>916</v>
      </c>
      <c r="C36" s="294"/>
      <c r="D36" s="294"/>
      <c r="E36" s="294"/>
      <c r="F36" s="294"/>
      <c r="G36" s="294"/>
      <c r="H36" s="236"/>
      <c r="I36" s="236"/>
      <c r="J36" s="237"/>
      <c r="K36" s="238">
        <f>SUM(K34:K35)</f>
        <v>8758387137.8304005</v>
      </c>
      <c r="L36" s="235">
        <f>K36/10^7</f>
        <v>875.83871378304002</v>
      </c>
    </row>
    <row r="37" spans="2:12" x14ac:dyDescent="0.25">
      <c r="B37" s="316" t="s">
        <v>910</v>
      </c>
      <c r="C37" s="316"/>
      <c r="D37" s="316"/>
      <c r="E37" s="316"/>
      <c r="F37" s="316"/>
      <c r="G37" s="316"/>
      <c r="H37" s="316"/>
      <c r="I37" s="316"/>
      <c r="J37" s="316"/>
      <c r="K37" s="316"/>
    </row>
    <row r="38" spans="2:12" x14ac:dyDescent="0.25">
      <c r="B38" s="317" t="s">
        <v>911</v>
      </c>
      <c r="C38" s="317"/>
      <c r="D38" s="317"/>
      <c r="E38" s="317"/>
      <c r="F38" s="317"/>
      <c r="G38" s="317"/>
      <c r="H38" s="317"/>
      <c r="I38" s="317"/>
      <c r="J38" s="317"/>
      <c r="K38" s="317"/>
    </row>
    <row r="39" spans="2:12" x14ac:dyDescent="0.25">
      <c r="B39" s="14"/>
      <c r="C39" s="15"/>
      <c r="D39" s="15"/>
      <c r="E39" s="15"/>
      <c r="F39" s="15"/>
      <c r="G39" s="16"/>
      <c r="H39" s="15"/>
      <c r="I39" s="15"/>
      <c r="J39" s="17"/>
      <c r="K39" s="15"/>
    </row>
    <row r="40" spans="2:12" x14ac:dyDescent="0.25">
      <c r="B40" s="14"/>
      <c r="C40" s="15"/>
      <c r="D40" s="15"/>
      <c r="E40" s="15"/>
      <c r="F40" s="15"/>
      <c r="G40" s="16"/>
      <c r="H40" s="15"/>
      <c r="I40" s="15"/>
      <c r="J40" s="17"/>
      <c r="K40" s="15"/>
    </row>
  </sheetData>
  <mergeCells count="42">
    <mergeCell ref="B2:K2"/>
    <mergeCell ref="B37:K37"/>
    <mergeCell ref="B38:K38"/>
    <mergeCell ref="B21:B27"/>
    <mergeCell ref="H21:H27"/>
    <mergeCell ref="B34:G34"/>
    <mergeCell ref="K9:K14"/>
    <mergeCell ref="J15:J20"/>
    <mergeCell ref="B4:B8"/>
    <mergeCell ref="H4:H8"/>
    <mergeCell ref="B9:B14"/>
    <mergeCell ref="H9:H14"/>
    <mergeCell ref="B15:B20"/>
    <mergeCell ref="H15:H20"/>
    <mergeCell ref="C9:C14"/>
    <mergeCell ref="J4:J8"/>
    <mergeCell ref="C4:C8"/>
    <mergeCell ref="F15:F20"/>
    <mergeCell ref="E15:E20"/>
    <mergeCell ref="D15:D20"/>
    <mergeCell ref="C15:C20"/>
    <mergeCell ref="I15:I20"/>
    <mergeCell ref="D4:D8"/>
    <mergeCell ref="E4:E8"/>
    <mergeCell ref="I4:I8"/>
    <mergeCell ref="I9:I14"/>
    <mergeCell ref="J9:J14"/>
    <mergeCell ref="C35:G35"/>
    <mergeCell ref="B36:G36"/>
    <mergeCell ref="K15:K20"/>
    <mergeCell ref="J21:J27"/>
    <mergeCell ref="K21:K27"/>
    <mergeCell ref="D21:D27"/>
    <mergeCell ref="C21:C27"/>
    <mergeCell ref="E21:E27"/>
    <mergeCell ref="F21:F27"/>
    <mergeCell ref="I21:I27"/>
    <mergeCell ref="K4:K8"/>
    <mergeCell ref="F9:F14"/>
    <mergeCell ref="E9:E14"/>
    <mergeCell ref="D9:D14"/>
    <mergeCell ref="F4:F8"/>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O13"/>
  <sheetViews>
    <sheetView workbookViewId="0">
      <selection activeCell="I19" sqref="I19"/>
    </sheetView>
  </sheetViews>
  <sheetFormatPr defaultRowHeight="15" x14ac:dyDescent="0.25"/>
  <cols>
    <col min="3" max="3" width="30.85546875" bestFit="1" customWidth="1"/>
    <col min="6" max="6" width="17.7109375" bestFit="1" customWidth="1"/>
    <col min="7" max="7" width="10.42578125" bestFit="1" customWidth="1"/>
    <col min="8" max="8" width="19.5703125" bestFit="1" customWidth="1"/>
    <col min="10" max="10" width="18.5703125" bestFit="1" customWidth="1"/>
    <col min="14" max="14" width="12.42578125" bestFit="1" customWidth="1"/>
    <col min="15" max="15" width="10.42578125" bestFit="1" customWidth="1"/>
  </cols>
  <sheetData>
    <row r="6" spans="1:15" x14ac:dyDescent="0.25">
      <c r="C6" s="278" t="s">
        <v>415</v>
      </c>
      <c r="D6" s="278"/>
      <c r="E6" s="278"/>
      <c r="F6" s="278"/>
      <c r="G6" s="278"/>
      <c r="H6" s="278"/>
    </row>
    <row r="8" spans="1:15" x14ac:dyDescent="0.25">
      <c r="B8" t="s">
        <v>38</v>
      </c>
      <c r="C8" t="s">
        <v>40</v>
      </c>
      <c r="E8" t="s">
        <v>25</v>
      </c>
      <c r="G8" t="s">
        <v>37</v>
      </c>
      <c r="H8" t="s">
        <v>44</v>
      </c>
    </row>
    <row r="9" spans="1:15" x14ac:dyDescent="0.25">
      <c r="A9" t="s">
        <v>45</v>
      </c>
      <c r="B9" t="s">
        <v>39</v>
      </c>
      <c r="C9" t="s">
        <v>41</v>
      </c>
      <c r="E9">
        <v>1</v>
      </c>
      <c r="F9" t="s">
        <v>36</v>
      </c>
      <c r="G9" s="10">
        <v>43171</v>
      </c>
      <c r="H9" s="11">
        <v>12398711980</v>
      </c>
      <c r="J9" s="11"/>
      <c r="N9" t="s">
        <v>42</v>
      </c>
      <c r="O9" s="10">
        <v>42921</v>
      </c>
    </row>
    <row r="10" spans="1:15" x14ac:dyDescent="0.25">
      <c r="E10">
        <v>2</v>
      </c>
      <c r="F10" t="s">
        <v>46</v>
      </c>
      <c r="G10" s="10">
        <v>43405</v>
      </c>
      <c r="H10" s="11">
        <v>14478084000</v>
      </c>
      <c r="N10" t="s">
        <v>43</v>
      </c>
      <c r="O10" s="10">
        <v>43343</v>
      </c>
    </row>
    <row r="11" spans="1:15" x14ac:dyDescent="0.25">
      <c r="E11">
        <v>3</v>
      </c>
      <c r="F11" t="s">
        <v>47</v>
      </c>
      <c r="G11" s="10">
        <v>43612</v>
      </c>
      <c r="H11" s="11">
        <v>14957670000</v>
      </c>
    </row>
    <row r="12" spans="1:15" x14ac:dyDescent="0.25">
      <c r="E12">
        <v>4</v>
      </c>
      <c r="F12" t="s">
        <v>48</v>
      </c>
      <c r="G12" s="10">
        <v>43753</v>
      </c>
      <c r="H12" s="87">
        <v>15953285376</v>
      </c>
      <c r="J12" s="11"/>
    </row>
    <row r="13" spans="1:15" x14ac:dyDescent="0.25">
      <c r="H13" s="11"/>
    </row>
  </sheetData>
  <mergeCells count="1">
    <mergeCell ref="C6:H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5:U20"/>
  <sheetViews>
    <sheetView workbookViewId="0">
      <selection activeCell="Q11" sqref="Q11"/>
    </sheetView>
  </sheetViews>
  <sheetFormatPr defaultRowHeight="15" x14ac:dyDescent="0.25"/>
  <cols>
    <col min="4" max="4" width="13.28515625" bestFit="1" customWidth="1"/>
    <col min="5" max="10" width="7.5703125" bestFit="1" customWidth="1"/>
    <col min="11" max="14" width="8" bestFit="1" customWidth="1"/>
    <col min="15" max="15" width="6" bestFit="1" customWidth="1"/>
  </cols>
  <sheetData>
    <row r="5" spans="4:21" x14ac:dyDescent="0.25">
      <c r="D5" s="74"/>
      <c r="E5" s="319" t="s">
        <v>427</v>
      </c>
      <c r="F5" s="319"/>
      <c r="G5" s="319"/>
      <c r="H5" s="319" t="s">
        <v>428</v>
      </c>
      <c r="I5" s="319"/>
      <c r="J5" s="319"/>
      <c r="K5" s="319"/>
      <c r="L5" s="319" t="s">
        <v>429</v>
      </c>
      <c r="M5" s="319"/>
      <c r="N5" s="319"/>
      <c r="O5" s="75" t="s">
        <v>21</v>
      </c>
    </row>
    <row r="6" spans="4:21" x14ac:dyDescent="0.25">
      <c r="D6" s="76" t="s">
        <v>430</v>
      </c>
      <c r="E6" s="77" t="s">
        <v>431</v>
      </c>
      <c r="F6" s="77" t="s">
        <v>432</v>
      </c>
      <c r="G6" s="77" t="s">
        <v>433</v>
      </c>
      <c r="H6" s="77" t="s">
        <v>434</v>
      </c>
      <c r="I6" s="77" t="s">
        <v>435</v>
      </c>
      <c r="J6" s="76" t="s">
        <v>436</v>
      </c>
      <c r="K6" s="76" t="s">
        <v>437</v>
      </c>
      <c r="L6" s="76" t="s">
        <v>438</v>
      </c>
      <c r="M6" s="76" t="s">
        <v>439</v>
      </c>
      <c r="N6" s="76" t="s">
        <v>440</v>
      </c>
      <c r="O6" s="78"/>
    </row>
    <row r="7" spans="4:21" x14ac:dyDescent="0.25">
      <c r="D7" s="65" t="s">
        <v>441</v>
      </c>
      <c r="E7" s="66"/>
      <c r="F7" s="66"/>
      <c r="G7" s="66"/>
      <c r="H7" s="66"/>
      <c r="I7" s="66"/>
      <c r="J7" s="67">
        <v>110</v>
      </c>
      <c r="K7" s="67" t="s">
        <v>442</v>
      </c>
      <c r="L7" s="67" t="s">
        <v>442</v>
      </c>
      <c r="M7" s="67" t="s">
        <v>442</v>
      </c>
      <c r="N7" s="67" t="s">
        <v>442</v>
      </c>
      <c r="O7" s="79">
        <f>SUM(E7:N7)</f>
        <v>110</v>
      </c>
    </row>
    <row r="8" spans="4:21" x14ac:dyDescent="0.25">
      <c r="D8" s="65" t="s">
        <v>148</v>
      </c>
      <c r="E8" s="66"/>
      <c r="F8" s="66">
        <v>52</v>
      </c>
      <c r="G8" s="66">
        <v>122</v>
      </c>
      <c r="H8" s="66">
        <v>4</v>
      </c>
      <c r="I8" s="66">
        <v>6</v>
      </c>
      <c r="J8" s="67">
        <v>7</v>
      </c>
      <c r="K8" s="67">
        <v>1505</v>
      </c>
      <c r="L8" s="67">
        <v>276</v>
      </c>
      <c r="M8" s="67" t="s">
        <v>442</v>
      </c>
      <c r="N8" s="67" t="s">
        <v>442</v>
      </c>
      <c r="O8" s="79">
        <f>SUM(E8:N8)</f>
        <v>1972</v>
      </c>
      <c r="U8">
        <v>359</v>
      </c>
    </row>
    <row r="9" spans="4:21" x14ac:dyDescent="0.25">
      <c r="D9" s="65" t="s">
        <v>443</v>
      </c>
      <c r="E9" s="66">
        <v>1</v>
      </c>
      <c r="F9" s="66">
        <v>238</v>
      </c>
      <c r="G9" s="66">
        <v>65</v>
      </c>
      <c r="H9" s="66">
        <v>56</v>
      </c>
      <c r="I9" s="66">
        <v>84</v>
      </c>
      <c r="J9" s="67">
        <v>84</v>
      </c>
      <c r="K9" s="67">
        <v>586</v>
      </c>
      <c r="L9" s="68">
        <v>746</v>
      </c>
      <c r="M9" s="68">
        <v>61</v>
      </c>
      <c r="N9" s="67"/>
      <c r="O9" s="79">
        <f t="shared" ref="O9:O12" si="0">SUM(E9:N9)</f>
        <v>1921</v>
      </c>
      <c r="Q9">
        <f>O9+O10+O12</f>
        <v>2475</v>
      </c>
      <c r="U9">
        <f>U8-182</f>
        <v>177</v>
      </c>
    </row>
    <row r="10" spans="4:21" x14ac:dyDescent="0.25">
      <c r="D10" s="65" t="s">
        <v>444</v>
      </c>
      <c r="E10" s="66"/>
      <c r="F10" s="66">
        <v>7</v>
      </c>
      <c r="G10" s="66">
        <v>6</v>
      </c>
      <c r="H10" s="66">
        <v>1</v>
      </c>
      <c r="I10" s="66">
        <v>3</v>
      </c>
      <c r="J10" s="67">
        <v>2</v>
      </c>
      <c r="K10" s="67">
        <v>364</v>
      </c>
      <c r="L10" s="67">
        <v>135</v>
      </c>
      <c r="M10" s="68">
        <v>16</v>
      </c>
      <c r="N10" s="67"/>
      <c r="O10" s="79">
        <f t="shared" si="0"/>
        <v>534</v>
      </c>
    </row>
    <row r="11" spans="4:21" x14ac:dyDescent="0.25">
      <c r="D11" s="65" t="s">
        <v>136</v>
      </c>
      <c r="E11" s="66">
        <v>9</v>
      </c>
      <c r="F11" s="66">
        <v>17</v>
      </c>
      <c r="G11" s="66">
        <v>43</v>
      </c>
      <c r="H11" s="66">
        <v>58</v>
      </c>
      <c r="I11" s="66">
        <v>41</v>
      </c>
      <c r="J11" s="67">
        <v>9</v>
      </c>
      <c r="K11" s="67" t="s">
        <v>445</v>
      </c>
      <c r="L11" s="67">
        <v>67</v>
      </c>
      <c r="M11" s="68">
        <v>60</v>
      </c>
      <c r="N11" s="67">
        <v>55</v>
      </c>
      <c r="O11" s="79">
        <f t="shared" si="0"/>
        <v>359</v>
      </c>
    </row>
    <row r="12" spans="4:21" x14ac:dyDescent="0.25">
      <c r="D12" s="65" t="s">
        <v>446</v>
      </c>
      <c r="E12" s="69"/>
      <c r="F12" s="66">
        <v>9</v>
      </c>
      <c r="G12" s="66">
        <v>2</v>
      </c>
      <c r="H12" s="66">
        <v>2</v>
      </c>
      <c r="I12" s="66">
        <v>4</v>
      </c>
      <c r="J12" s="67">
        <v>3</v>
      </c>
      <c r="K12" s="67"/>
      <c r="L12" s="67"/>
      <c r="M12" s="67"/>
      <c r="N12" s="67"/>
      <c r="O12" s="79">
        <f t="shared" si="0"/>
        <v>20</v>
      </c>
    </row>
    <row r="13" spans="4:21" x14ac:dyDescent="0.25">
      <c r="D13" s="64" t="s">
        <v>21</v>
      </c>
      <c r="E13" s="70">
        <v>10</v>
      </c>
      <c r="F13" s="70">
        <v>323</v>
      </c>
      <c r="G13" s="70">
        <v>238</v>
      </c>
      <c r="H13" s="70">
        <v>121</v>
      </c>
      <c r="I13" s="70">
        <v>138</v>
      </c>
      <c r="J13" s="71">
        <v>215</v>
      </c>
      <c r="K13" s="72">
        <v>2454</v>
      </c>
      <c r="L13" s="72">
        <v>1224</v>
      </c>
      <c r="M13" s="71">
        <v>137</v>
      </c>
      <c r="N13" s="71">
        <v>55</v>
      </c>
      <c r="O13" s="73">
        <v>4915</v>
      </c>
    </row>
    <row r="20" spans="14:14" x14ac:dyDescent="0.25">
      <c r="N20" t="s">
        <v>192</v>
      </c>
    </row>
  </sheetData>
  <mergeCells count="3">
    <mergeCell ref="E5:G5"/>
    <mergeCell ref="H5:K5"/>
    <mergeCell ref="L5:N5"/>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68"/>
  <sheetViews>
    <sheetView workbookViewId="0">
      <selection sqref="A1:XFD1048576"/>
    </sheetView>
  </sheetViews>
  <sheetFormatPr defaultRowHeight="15" x14ac:dyDescent="0.25"/>
  <cols>
    <col min="1" max="1" width="2" style="102" customWidth="1"/>
    <col min="2" max="2" width="11.42578125" style="104" bestFit="1" customWidth="1"/>
    <col min="3" max="3" width="13" style="104" bestFit="1" customWidth="1"/>
    <col min="4" max="4" width="12.5703125" style="104" bestFit="1" customWidth="1"/>
    <col min="5" max="5" width="17.42578125" style="104" bestFit="1" customWidth="1"/>
    <col min="6" max="6" width="20.7109375" style="104" bestFit="1" customWidth="1"/>
    <col min="7" max="7" width="17.7109375" style="104" bestFit="1" customWidth="1"/>
    <col min="8" max="8" width="29.85546875" style="104" bestFit="1" customWidth="1"/>
    <col min="9" max="9" width="20" style="104" bestFit="1" customWidth="1"/>
    <col min="10" max="10" width="28" style="104" bestFit="1" customWidth="1"/>
    <col min="11" max="11" width="13.140625" style="102" bestFit="1" customWidth="1"/>
    <col min="12" max="16384" width="9.140625" style="102"/>
  </cols>
  <sheetData>
    <row r="2" spans="2:10" ht="23.25" x14ac:dyDescent="0.25">
      <c r="B2" s="320" t="s">
        <v>516</v>
      </c>
      <c r="C2" s="320"/>
      <c r="D2" s="320"/>
      <c r="E2" s="320"/>
      <c r="F2" s="320"/>
      <c r="G2" s="320"/>
      <c r="H2" s="320"/>
      <c r="I2" s="320"/>
      <c r="J2" s="320"/>
    </row>
    <row r="4" spans="2:10" ht="17.25" x14ac:dyDescent="0.25">
      <c r="B4" s="103" t="s">
        <v>102</v>
      </c>
      <c r="C4" s="103" t="s">
        <v>517</v>
      </c>
      <c r="D4" s="103" t="s">
        <v>518</v>
      </c>
      <c r="E4" s="103" t="s">
        <v>519</v>
      </c>
      <c r="F4" s="103" t="s">
        <v>520</v>
      </c>
      <c r="G4" s="103" t="s">
        <v>521</v>
      </c>
      <c r="H4" s="103" t="s">
        <v>522</v>
      </c>
      <c r="I4" s="103" t="s">
        <v>523</v>
      </c>
      <c r="J4" s="103" t="s">
        <v>524</v>
      </c>
    </row>
    <row r="5" spans="2:10" x14ac:dyDescent="0.25">
      <c r="B5" s="104">
        <v>1</v>
      </c>
      <c r="C5" s="104" t="s">
        <v>525</v>
      </c>
      <c r="D5" s="104" t="s">
        <v>526</v>
      </c>
      <c r="E5" s="104">
        <v>1</v>
      </c>
      <c r="F5" s="104" t="s">
        <v>527</v>
      </c>
      <c r="G5" s="104">
        <v>40.1</v>
      </c>
      <c r="H5" s="104">
        <f>3.14*((E5/2)^2)*1.6%</f>
        <v>1.256E-2</v>
      </c>
      <c r="I5" s="104">
        <f>H5*G5</f>
        <v>0.50365599999999999</v>
      </c>
      <c r="J5" s="104">
        <f>3.14*((E5/2)^2)*G5</f>
        <v>31.478500000000004</v>
      </c>
    </row>
    <row r="6" spans="2:10" x14ac:dyDescent="0.25">
      <c r="B6" s="104">
        <v>2</v>
      </c>
      <c r="C6" s="104" t="s">
        <v>528</v>
      </c>
      <c r="D6" s="104" t="s">
        <v>526</v>
      </c>
      <c r="E6" s="104">
        <v>1</v>
      </c>
      <c r="F6" s="104" t="s">
        <v>527</v>
      </c>
      <c r="G6" s="104">
        <v>40.1</v>
      </c>
      <c r="H6" s="104">
        <f t="shared" ref="H6:H69" si="0">3.14*((E6/2)^2)*1.6%</f>
        <v>1.256E-2</v>
      </c>
      <c r="I6" s="104">
        <f t="shared" ref="I6:I69" si="1">H6*G6</f>
        <v>0.50365599999999999</v>
      </c>
      <c r="J6" s="104">
        <f t="shared" ref="J6:J69" si="2">3.14*((E6/2)^2)*G6</f>
        <v>31.478500000000004</v>
      </c>
    </row>
    <row r="7" spans="2:10" x14ac:dyDescent="0.25">
      <c r="B7" s="104">
        <v>3</v>
      </c>
      <c r="C7" s="104" t="s">
        <v>529</v>
      </c>
      <c r="D7" s="104" t="s">
        <v>526</v>
      </c>
      <c r="E7" s="104">
        <v>1</v>
      </c>
      <c r="F7" s="104" t="s">
        <v>527</v>
      </c>
      <c r="G7" s="104">
        <v>40.1</v>
      </c>
      <c r="H7" s="104">
        <f t="shared" si="0"/>
        <v>1.256E-2</v>
      </c>
      <c r="I7" s="104">
        <f t="shared" si="1"/>
        <v>0.50365599999999999</v>
      </c>
      <c r="J7" s="104">
        <f t="shared" si="2"/>
        <v>31.478500000000004</v>
      </c>
    </row>
    <row r="8" spans="2:10" x14ac:dyDescent="0.25">
      <c r="B8" s="104">
        <v>4</v>
      </c>
      <c r="C8" s="104" t="s">
        <v>530</v>
      </c>
      <c r="D8" s="104" t="s">
        <v>526</v>
      </c>
      <c r="E8" s="104">
        <v>1</v>
      </c>
      <c r="F8" s="104" t="s">
        <v>527</v>
      </c>
      <c r="G8" s="104">
        <v>40.1</v>
      </c>
      <c r="H8" s="104">
        <f t="shared" si="0"/>
        <v>1.256E-2</v>
      </c>
      <c r="I8" s="104">
        <f t="shared" si="1"/>
        <v>0.50365599999999999</v>
      </c>
      <c r="J8" s="104">
        <f t="shared" si="2"/>
        <v>31.478500000000004</v>
      </c>
    </row>
    <row r="9" spans="2:10" x14ac:dyDescent="0.25">
      <c r="B9" s="104">
        <v>5</v>
      </c>
      <c r="C9" s="104" t="s">
        <v>531</v>
      </c>
      <c r="D9" s="104" t="s">
        <v>526</v>
      </c>
      <c r="E9" s="104">
        <v>1</v>
      </c>
      <c r="F9" s="104" t="s">
        <v>527</v>
      </c>
      <c r="G9" s="104">
        <v>40.1</v>
      </c>
      <c r="H9" s="104">
        <f t="shared" si="0"/>
        <v>1.256E-2</v>
      </c>
      <c r="I9" s="104">
        <f t="shared" si="1"/>
        <v>0.50365599999999999</v>
      </c>
      <c r="J9" s="104">
        <f t="shared" si="2"/>
        <v>31.478500000000004</v>
      </c>
    </row>
    <row r="10" spans="2:10" x14ac:dyDescent="0.25">
      <c r="B10" s="104">
        <v>6</v>
      </c>
      <c r="C10" s="104" t="s">
        <v>532</v>
      </c>
      <c r="D10" s="104" t="s">
        <v>526</v>
      </c>
      <c r="E10" s="104">
        <v>1</v>
      </c>
      <c r="F10" s="104" t="s">
        <v>527</v>
      </c>
      <c r="G10" s="104">
        <v>40.1</v>
      </c>
      <c r="H10" s="104">
        <f t="shared" si="0"/>
        <v>1.256E-2</v>
      </c>
      <c r="I10" s="104">
        <f t="shared" si="1"/>
        <v>0.50365599999999999</v>
      </c>
      <c r="J10" s="104">
        <f t="shared" si="2"/>
        <v>31.478500000000004</v>
      </c>
    </row>
    <row r="11" spans="2:10" x14ac:dyDescent="0.25">
      <c r="B11" s="104">
        <v>7</v>
      </c>
      <c r="C11" s="104" t="s">
        <v>533</v>
      </c>
      <c r="D11" s="104" t="s">
        <v>526</v>
      </c>
      <c r="E11" s="104">
        <v>1</v>
      </c>
      <c r="F11" s="104" t="s">
        <v>527</v>
      </c>
      <c r="G11" s="104">
        <v>40.1</v>
      </c>
      <c r="H11" s="104">
        <f t="shared" si="0"/>
        <v>1.256E-2</v>
      </c>
      <c r="I11" s="104">
        <f t="shared" si="1"/>
        <v>0.50365599999999999</v>
      </c>
      <c r="J11" s="104">
        <f t="shared" si="2"/>
        <v>31.478500000000004</v>
      </c>
    </row>
    <row r="12" spans="2:10" x14ac:dyDescent="0.25">
      <c r="B12" s="104">
        <v>8</v>
      </c>
      <c r="C12" s="104" t="s">
        <v>534</v>
      </c>
      <c r="D12" s="104" t="s">
        <v>526</v>
      </c>
      <c r="E12" s="104">
        <v>1</v>
      </c>
      <c r="F12" s="104" t="s">
        <v>527</v>
      </c>
      <c r="G12" s="104">
        <v>40.1</v>
      </c>
      <c r="H12" s="104">
        <f t="shared" si="0"/>
        <v>1.256E-2</v>
      </c>
      <c r="I12" s="104">
        <f t="shared" si="1"/>
        <v>0.50365599999999999</v>
      </c>
      <c r="J12" s="104">
        <f t="shared" si="2"/>
        <v>31.478500000000004</v>
      </c>
    </row>
    <row r="13" spans="2:10" x14ac:dyDescent="0.25">
      <c r="B13" s="104">
        <v>9</v>
      </c>
      <c r="C13" s="104" t="s">
        <v>535</v>
      </c>
      <c r="D13" s="104" t="s">
        <v>526</v>
      </c>
      <c r="E13" s="104">
        <v>1</v>
      </c>
      <c r="F13" s="104" t="s">
        <v>527</v>
      </c>
      <c r="G13" s="104">
        <v>40.1</v>
      </c>
      <c r="H13" s="104">
        <f t="shared" si="0"/>
        <v>1.256E-2</v>
      </c>
      <c r="I13" s="104">
        <f t="shared" si="1"/>
        <v>0.50365599999999999</v>
      </c>
      <c r="J13" s="104">
        <f t="shared" si="2"/>
        <v>31.478500000000004</v>
      </c>
    </row>
    <row r="14" spans="2:10" x14ac:dyDescent="0.25">
      <c r="B14" s="104">
        <v>10</v>
      </c>
      <c r="C14" s="104" t="s">
        <v>536</v>
      </c>
      <c r="D14" s="104" t="s">
        <v>526</v>
      </c>
      <c r="E14" s="104">
        <v>1</v>
      </c>
      <c r="F14" s="104" t="s">
        <v>527</v>
      </c>
      <c r="G14" s="104">
        <v>40.1</v>
      </c>
      <c r="H14" s="104">
        <f t="shared" si="0"/>
        <v>1.256E-2</v>
      </c>
      <c r="I14" s="104">
        <f t="shared" si="1"/>
        <v>0.50365599999999999</v>
      </c>
      <c r="J14" s="104">
        <f t="shared" si="2"/>
        <v>31.478500000000004</v>
      </c>
    </row>
    <row r="15" spans="2:10" x14ac:dyDescent="0.25">
      <c r="B15" s="104">
        <v>11</v>
      </c>
      <c r="C15" s="104" t="s">
        <v>537</v>
      </c>
      <c r="D15" s="104" t="s">
        <v>526</v>
      </c>
      <c r="E15" s="104">
        <v>1</v>
      </c>
      <c r="F15" s="104" t="s">
        <v>527</v>
      </c>
      <c r="G15" s="104">
        <v>40.1</v>
      </c>
      <c r="H15" s="104">
        <f t="shared" si="0"/>
        <v>1.256E-2</v>
      </c>
      <c r="I15" s="104">
        <f t="shared" si="1"/>
        <v>0.50365599999999999</v>
      </c>
      <c r="J15" s="104">
        <f t="shared" si="2"/>
        <v>31.478500000000004</v>
      </c>
    </row>
    <row r="16" spans="2:10" x14ac:dyDescent="0.25">
      <c r="B16" s="104">
        <v>12</v>
      </c>
      <c r="C16" s="104" t="s">
        <v>538</v>
      </c>
      <c r="D16" s="104" t="s">
        <v>526</v>
      </c>
      <c r="E16" s="104">
        <v>1</v>
      </c>
      <c r="F16" s="104" t="s">
        <v>527</v>
      </c>
      <c r="G16" s="104">
        <v>40.1</v>
      </c>
      <c r="H16" s="104">
        <f t="shared" si="0"/>
        <v>1.256E-2</v>
      </c>
      <c r="I16" s="104">
        <f t="shared" si="1"/>
        <v>0.50365599999999999</v>
      </c>
      <c r="J16" s="104">
        <f t="shared" si="2"/>
        <v>31.478500000000004</v>
      </c>
    </row>
    <row r="17" spans="2:10" x14ac:dyDescent="0.25">
      <c r="B17" s="104">
        <v>13</v>
      </c>
      <c r="C17" s="104" t="s">
        <v>539</v>
      </c>
      <c r="D17" s="104" t="s">
        <v>526</v>
      </c>
      <c r="E17" s="104">
        <v>1</v>
      </c>
      <c r="F17" s="104" t="s">
        <v>527</v>
      </c>
      <c r="G17" s="104">
        <v>40.1</v>
      </c>
      <c r="H17" s="104">
        <f t="shared" si="0"/>
        <v>1.256E-2</v>
      </c>
      <c r="I17" s="104">
        <f t="shared" si="1"/>
        <v>0.50365599999999999</v>
      </c>
      <c r="J17" s="104">
        <f t="shared" si="2"/>
        <v>31.478500000000004</v>
      </c>
    </row>
    <row r="18" spans="2:10" x14ac:dyDescent="0.25">
      <c r="B18" s="104">
        <v>14</v>
      </c>
      <c r="C18" s="104" t="s">
        <v>540</v>
      </c>
      <c r="D18" s="104" t="s">
        <v>526</v>
      </c>
      <c r="E18" s="104">
        <v>1</v>
      </c>
      <c r="F18" s="104" t="s">
        <v>527</v>
      </c>
      <c r="G18" s="104">
        <v>40.1</v>
      </c>
      <c r="H18" s="104">
        <f t="shared" si="0"/>
        <v>1.256E-2</v>
      </c>
      <c r="I18" s="104">
        <f t="shared" si="1"/>
        <v>0.50365599999999999</v>
      </c>
      <c r="J18" s="104">
        <f t="shared" si="2"/>
        <v>31.478500000000004</v>
      </c>
    </row>
    <row r="19" spans="2:10" x14ac:dyDescent="0.25">
      <c r="B19" s="104">
        <v>15</v>
      </c>
      <c r="C19" s="104" t="s">
        <v>541</v>
      </c>
      <c r="D19" s="104" t="s">
        <v>526</v>
      </c>
      <c r="E19" s="104">
        <v>1</v>
      </c>
      <c r="F19" s="104" t="s">
        <v>527</v>
      </c>
      <c r="G19" s="104">
        <v>40.1</v>
      </c>
      <c r="H19" s="104">
        <f t="shared" si="0"/>
        <v>1.256E-2</v>
      </c>
      <c r="I19" s="104">
        <f t="shared" si="1"/>
        <v>0.50365599999999999</v>
      </c>
      <c r="J19" s="104">
        <f t="shared" si="2"/>
        <v>31.478500000000004</v>
      </c>
    </row>
    <row r="20" spans="2:10" x14ac:dyDescent="0.25">
      <c r="B20" s="104">
        <v>16</v>
      </c>
      <c r="C20" s="104" t="s">
        <v>542</v>
      </c>
      <c r="D20" s="104" t="s">
        <v>526</v>
      </c>
      <c r="E20" s="104">
        <v>1</v>
      </c>
      <c r="F20" s="104" t="s">
        <v>527</v>
      </c>
      <c r="G20" s="104">
        <v>40.1</v>
      </c>
      <c r="H20" s="104">
        <f t="shared" si="0"/>
        <v>1.256E-2</v>
      </c>
      <c r="I20" s="104">
        <f t="shared" si="1"/>
        <v>0.50365599999999999</v>
      </c>
      <c r="J20" s="104">
        <f t="shared" si="2"/>
        <v>31.478500000000004</v>
      </c>
    </row>
    <row r="21" spans="2:10" x14ac:dyDescent="0.25">
      <c r="B21" s="104">
        <v>17</v>
      </c>
      <c r="C21" s="104" t="s">
        <v>543</v>
      </c>
      <c r="D21" s="104" t="s">
        <v>526</v>
      </c>
      <c r="E21" s="104">
        <v>1</v>
      </c>
      <c r="F21" s="104" t="s">
        <v>527</v>
      </c>
      <c r="G21" s="104">
        <v>40.1</v>
      </c>
      <c r="H21" s="104">
        <f t="shared" si="0"/>
        <v>1.256E-2</v>
      </c>
      <c r="I21" s="104">
        <f t="shared" si="1"/>
        <v>0.50365599999999999</v>
      </c>
      <c r="J21" s="104">
        <f t="shared" si="2"/>
        <v>31.478500000000004</v>
      </c>
    </row>
    <row r="22" spans="2:10" x14ac:dyDescent="0.25">
      <c r="B22" s="104">
        <v>18</v>
      </c>
      <c r="C22" s="104" t="s">
        <v>544</v>
      </c>
      <c r="D22" s="104" t="s">
        <v>526</v>
      </c>
      <c r="E22" s="104">
        <v>1</v>
      </c>
      <c r="F22" s="104" t="s">
        <v>527</v>
      </c>
      <c r="G22" s="104">
        <v>40.1</v>
      </c>
      <c r="H22" s="104">
        <f t="shared" si="0"/>
        <v>1.256E-2</v>
      </c>
      <c r="I22" s="104">
        <f t="shared" si="1"/>
        <v>0.50365599999999999</v>
      </c>
      <c r="J22" s="104">
        <f t="shared" si="2"/>
        <v>31.478500000000004</v>
      </c>
    </row>
    <row r="23" spans="2:10" x14ac:dyDescent="0.25">
      <c r="B23" s="104">
        <v>19</v>
      </c>
      <c r="C23" s="104" t="s">
        <v>545</v>
      </c>
      <c r="D23" s="104" t="s">
        <v>526</v>
      </c>
      <c r="E23" s="104">
        <v>1</v>
      </c>
      <c r="F23" s="104" t="s">
        <v>527</v>
      </c>
      <c r="G23" s="104">
        <v>40.1</v>
      </c>
      <c r="H23" s="104">
        <f t="shared" si="0"/>
        <v>1.256E-2</v>
      </c>
      <c r="I23" s="104">
        <f t="shared" si="1"/>
        <v>0.50365599999999999</v>
      </c>
      <c r="J23" s="104">
        <f t="shared" si="2"/>
        <v>31.478500000000004</v>
      </c>
    </row>
    <row r="24" spans="2:10" x14ac:dyDescent="0.25">
      <c r="B24" s="104">
        <v>20</v>
      </c>
      <c r="C24" s="104" t="s">
        <v>546</v>
      </c>
      <c r="D24" s="104" t="s">
        <v>526</v>
      </c>
      <c r="E24" s="104">
        <v>1</v>
      </c>
      <c r="F24" s="104" t="s">
        <v>527</v>
      </c>
      <c r="G24" s="104">
        <v>40.1</v>
      </c>
      <c r="H24" s="104">
        <f t="shared" si="0"/>
        <v>1.256E-2</v>
      </c>
      <c r="I24" s="104">
        <f t="shared" si="1"/>
        <v>0.50365599999999999</v>
      </c>
      <c r="J24" s="104">
        <f t="shared" si="2"/>
        <v>31.478500000000004</v>
      </c>
    </row>
    <row r="25" spans="2:10" x14ac:dyDescent="0.25">
      <c r="B25" s="104">
        <v>21</v>
      </c>
      <c r="C25" s="104" t="s">
        <v>547</v>
      </c>
      <c r="D25" s="104" t="s">
        <v>526</v>
      </c>
      <c r="E25" s="104">
        <v>1</v>
      </c>
      <c r="F25" s="104" t="s">
        <v>527</v>
      </c>
      <c r="G25" s="104">
        <v>40.1</v>
      </c>
      <c r="H25" s="104">
        <f t="shared" si="0"/>
        <v>1.256E-2</v>
      </c>
      <c r="I25" s="104">
        <f t="shared" si="1"/>
        <v>0.50365599999999999</v>
      </c>
      <c r="J25" s="104">
        <f t="shared" si="2"/>
        <v>31.478500000000004</v>
      </c>
    </row>
    <row r="26" spans="2:10" x14ac:dyDescent="0.25">
      <c r="B26" s="104">
        <v>22</v>
      </c>
      <c r="C26" s="104" t="s">
        <v>548</v>
      </c>
      <c r="D26" s="104" t="s">
        <v>526</v>
      </c>
      <c r="E26" s="104">
        <v>1</v>
      </c>
      <c r="F26" s="104" t="s">
        <v>527</v>
      </c>
      <c r="G26" s="104">
        <v>40.1</v>
      </c>
      <c r="H26" s="104">
        <f t="shared" si="0"/>
        <v>1.256E-2</v>
      </c>
      <c r="I26" s="104">
        <f t="shared" si="1"/>
        <v>0.50365599999999999</v>
      </c>
      <c r="J26" s="104">
        <f t="shared" si="2"/>
        <v>31.478500000000004</v>
      </c>
    </row>
    <row r="27" spans="2:10" x14ac:dyDescent="0.25">
      <c r="B27" s="104">
        <v>23</v>
      </c>
      <c r="C27" s="104" t="s">
        <v>549</v>
      </c>
      <c r="D27" s="104" t="s">
        <v>526</v>
      </c>
      <c r="E27" s="104">
        <v>1</v>
      </c>
      <c r="F27" s="104" t="s">
        <v>527</v>
      </c>
      <c r="G27" s="104">
        <v>40.1</v>
      </c>
      <c r="H27" s="104">
        <f t="shared" si="0"/>
        <v>1.256E-2</v>
      </c>
      <c r="I27" s="104">
        <f t="shared" si="1"/>
        <v>0.50365599999999999</v>
      </c>
      <c r="J27" s="104">
        <f t="shared" si="2"/>
        <v>31.478500000000004</v>
      </c>
    </row>
    <row r="28" spans="2:10" x14ac:dyDescent="0.25">
      <c r="B28" s="104">
        <v>24</v>
      </c>
      <c r="C28" s="104" t="s">
        <v>550</v>
      </c>
      <c r="D28" s="104" t="s">
        <v>526</v>
      </c>
      <c r="E28" s="104">
        <v>1</v>
      </c>
      <c r="F28" s="104" t="s">
        <v>527</v>
      </c>
      <c r="G28" s="104">
        <v>40.1</v>
      </c>
      <c r="H28" s="104">
        <f t="shared" si="0"/>
        <v>1.256E-2</v>
      </c>
      <c r="I28" s="104">
        <f t="shared" si="1"/>
        <v>0.50365599999999999</v>
      </c>
      <c r="J28" s="104">
        <f t="shared" si="2"/>
        <v>31.478500000000004</v>
      </c>
    </row>
    <row r="29" spans="2:10" x14ac:dyDescent="0.25">
      <c r="B29" s="104">
        <v>25</v>
      </c>
      <c r="C29" s="104" t="s">
        <v>551</v>
      </c>
      <c r="D29" s="104" t="s">
        <v>526</v>
      </c>
      <c r="E29" s="104">
        <v>1</v>
      </c>
      <c r="F29" s="104" t="s">
        <v>527</v>
      </c>
      <c r="G29" s="104">
        <v>40.1</v>
      </c>
      <c r="H29" s="104">
        <f t="shared" si="0"/>
        <v>1.256E-2</v>
      </c>
      <c r="I29" s="104">
        <f t="shared" si="1"/>
        <v>0.50365599999999999</v>
      </c>
      <c r="J29" s="104">
        <f t="shared" si="2"/>
        <v>31.478500000000004</v>
      </c>
    </row>
    <row r="30" spans="2:10" x14ac:dyDescent="0.25">
      <c r="B30" s="104">
        <v>26</v>
      </c>
      <c r="C30" s="104" t="s">
        <v>552</v>
      </c>
      <c r="D30" s="104" t="s">
        <v>526</v>
      </c>
      <c r="E30" s="104">
        <v>1</v>
      </c>
      <c r="F30" s="104" t="s">
        <v>527</v>
      </c>
      <c r="G30" s="104">
        <v>40.1</v>
      </c>
      <c r="H30" s="104">
        <f t="shared" si="0"/>
        <v>1.256E-2</v>
      </c>
      <c r="I30" s="104">
        <f t="shared" si="1"/>
        <v>0.50365599999999999</v>
      </c>
      <c r="J30" s="104">
        <f t="shared" si="2"/>
        <v>31.478500000000004</v>
      </c>
    </row>
    <row r="31" spans="2:10" x14ac:dyDescent="0.25">
      <c r="B31" s="104">
        <v>27</v>
      </c>
      <c r="C31" s="104" t="s">
        <v>553</v>
      </c>
      <c r="D31" s="104" t="s">
        <v>526</v>
      </c>
      <c r="E31" s="104">
        <v>1</v>
      </c>
      <c r="F31" s="104" t="s">
        <v>527</v>
      </c>
      <c r="G31" s="104">
        <v>40.1</v>
      </c>
      <c r="H31" s="104">
        <f t="shared" si="0"/>
        <v>1.256E-2</v>
      </c>
      <c r="I31" s="104">
        <f t="shared" si="1"/>
        <v>0.50365599999999999</v>
      </c>
      <c r="J31" s="104">
        <f t="shared" si="2"/>
        <v>31.478500000000004</v>
      </c>
    </row>
    <row r="32" spans="2:10" x14ac:dyDescent="0.25">
      <c r="B32" s="104">
        <v>28</v>
      </c>
      <c r="C32" s="104" t="s">
        <v>554</v>
      </c>
      <c r="D32" s="104" t="s">
        <v>526</v>
      </c>
      <c r="E32" s="104">
        <v>1</v>
      </c>
      <c r="F32" s="104" t="s">
        <v>527</v>
      </c>
      <c r="G32" s="104">
        <v>40.1</v>
      </c>
      <c r="H32" s="104">
        <f t="shared" si="0"/>
        <v>1.256E-2</v>
      </c>
      <c r="I32" s="104">
        <f t="shared" si="1"/>
        <v>0.50365599999999999</v>
      </c>
      <c r="J32" s="104">
        <f t="shared" si="2"/>
        <v>31.478500000000004</v>
      </c>
    </row>
    <row r="33" spans="2:10" x14ac:dyDescent="0.25">
      <c r="B33" s="104">
        <v>29</v>
      </c>
      <c r="C33" s="104" t="s">
        <v>555</v>
      </c>
      <c r="D33" s="104" t="s">
        <v>526</v>
      </c>
      <c r="E33" s="104">
        <v>1</v>
      </c>
      <c r="F33" s="104" t="s">
        <v>527</v>
      </c>
      <c r="G33" s="104">
        <v>40.1</v>
      </c>
      <c r="H33" s="104">
        <f t="shared" si="0"/>
        <v>1.256E-2</v>
      </c>
      <c r="I33" s="104">
        <f t="shared" si="1"/>
        <v>0.50365599999999999</v>
      </c>
      <c r="J33" s="104">
        <f t="shared" si="2"/>
        <v>31.478500000000004</v>
      </c>
    </row>
    <row r="34" spans="2:10" x14ac:dyDescent="0.25">
      <c r="B34" s="104">
        <v>30</v>
      </c>
      <c r="C34" s="104" t="s">
        <v>556</v>
      </c>
      <c r="D34" s="104" t="s">
        <v>526</v>
      </c>
      <c r="E34" s="104">
        <v>1</v>
      </c>
      <c r="F34" s="104" t="s">
        <v>527</v>
      </c>
      <c r="G34" s="104">
        <v>40.1</v>
      </c>
      <c r="H34" s="104">
        <f t="shared" si="0"/>
        <v>1.256E-2</v>
      </c>
      <c r="I34" s="104">
        <f t="shared" si="1"/>
        <v>0.50365599999999999</v>
      </c>
      <c r="J34" s="104">
        <f t="shared" si="2"/>
        <v>31.478500000000004</v>
      </c>
    </row>
    <row r="35" spans="2:10" x14ac:dyDescent="0.25">
      <c r="B35" s="104">
        <v>31</v>
      </c>
      <c r="C35" s="104" t="s">
        <v>557</v>
      </c>
      <c r="D35" s="104" t="s">
        <v>526</v>
      </c>
      <c r="E35" s="104">
        <v>1</v>
      </c>
      <c r="F35" s="104" t="s">
        <v>527</v>
      </c>
      <c r="G35" s="104">
        <v>40.1</v>
      </c>
      <c r="H35" s="104">
        <f t="shared" si="0"/>
        <v>1.256E-2</v>
      </c>
      <c r="I35" s="104">
        <f t="shared" si="1"/>
        <v>0.50365599999999999</v>
      </c>
      <c r="J35" s="104">
        <f t="shared" si="2"/>
        <v>31.478500000000004</v>
      </c>
    </row>
    <row r="36" spans="2:10" x14ac:dyDescent="0.25">
      <c r="B36" s="104">
        <v>32</v>
      </c>
      <c r="C36" s="104" t="s">
        <v>558</v>
      </c>
      <c r="D36" s="104" t="s">
        <v>526</v>
      </c>
      <c r="E36" s="104">
        <v>1</v>
      </c>
      <c r="F36" s="104" t="s">
        <v>527</v>
      </c>
      <c r="G36" s="104">
        <v>40.1</v>
      </c>
      <c r="H36" s="104">
        <f t="shared" si="0"/>
        <v>1.256E-2</v>
      </c>
      <c r="I36" s="104">
        <f t="shared" si="1"/>
        <v>0.50365599999999999</v>
      </c>
      <c r="J36" s="104">
        <f t="shared" si="2"/>
        <v>31.478500000000004</v>
      </c>
    </row>
    <row r="37" spans="2:10" x14ac:dyDescent="0.25">
      <c r="B37" s="104">
        <v>33</v>
      </c>
      <c r="C37" s="104" t="s">
        <v>559</v>
      </c>
      <c r="D37" s="104" t="s">
        <v>526</v>
      </c>
      <c r="E37" s="104">
        <v>1</v>
      </c>
      <c r="F37" s="104" t="s">
        <v>527</v>
      </c>
      <c r="G37" s="104">
        <v>40.1</v>
      </c>
      <c r="H37" s="104">
        <f t="shared" si="0"/>
        <v>1.256E-2</v>
      </c>
      <c r="I37" s="104">
        <f t="shared" si="1"/>
        <v>0.50365599999999999</v>
      </c>
      <c r="J37" s="104">
        <f t="shared" si="2"/>
        <v>31.478500000000004</v>
      </c>
    </row>
    <row r="38" spans="2:10" x14ac:dyDescent="0.25">
      <c r="B38" s="104">
        <v>34</v>
      </c>
      <c r="C38" s="104" t="s">
        <v>560</v>
      </c>
      <c r="D38" s="104" t="s">
        <v>526</v>
      </c>
      <c r="E38" s="104">
        <v>1</v>
      </c>
      <c r="F38" s="104" t="s">
        <v>527</v>
      </c>
      <c r="G38" s="104">
        <v>40.1</v>
      </c>
      <c r="H38" s="104">
        <f t="shared" si="0"/>
        <v>1.256E-2</v>
      </c>
      <c r="I38" s="104">
        <f t="shared" si="1"/>
        <v>0.50365599999999999</v>
      </c>
      <c r="J38" s="104">
        <f t="shared" si="2"/>
        <v>31.478500000000004</v>
      </c>
    </row>
    <row r="39" spans="2:10" x14ac:dyDescent="0.25">
      <c r="B39" s="104">
        <v>35</v>
      </c>
      <c r="C39" s="104" t="s">
        <v>561</v>
      </c>
      <c r="D39" s="104" t="s">
        <v>526</v>
      </c>
      <c r="E39" s="104">
        <v>1</v>
      </c>
      <c r="F39" s="104" t="s">
        <v>527</v>
      </c>
      <c r="G39" s="104">
        <v>40.1</v>
      </c>
      <c r="H39" s="104">
        <f t="shared" si="0"/>
        <v>1.256E-2</v>
      </c>
      <c r="I39" s="104">
        <f t="shared" si="1"/>
        <v>0.50365599999999999</v>
      </c>
      <c r="J39" s="104">
        <f t="shared" si="2"/>
        <v>31.478500000000004</v>
      </c>
    </row>
    <row r="40" spans="2:10" x14ac:dyDescent="0.25">
      <c r="B40" s="104">
        <v>36</v>
      </c>
      <c r="C40" s="104" t="s">
        <v>562</v>
      </c>
      <c r="D40" s="104" t="s">
        <v>526</v>
      </c>
      <c r="E40" s="104">
        <v>1</v>
      </c>
      <c r="F40" s="104" t="s">
        <v>527</v>
      </c>
      <c r="G40" s="104">
        <v>40.1</v>
      </c>
      <c r="H40" s="104">
        <f t="shared" si="0"/>
        <v>1.256E-2</v>
      </c>
      <c r="I40" s="104">
        <f t="shared" si="1"/>
        <v>0.50365599999999999</v>
      </c>
      <c r="J40" s="104">
        <f t="shared" si="2"/>
        <v>31.478500000000004</v>
      </c>
    </row>
    <row r="41" spans="2:10" x14ac:dyDescent="0.25">
      <c r="B41" s="104">
        <v>37</v>
      </c>
      <c r="C41" s="104" t="s">
        <v>563</v>
      </c>
      <c r="D41" s="104" t="s">
        <v>526</v>
      </c>
      <c r="E41" s="104">
        <v>1</v>
      </c>
      <c r="F41" s="104" t="s">
        <v>527</v>
      </c>
      <c r="G41" s="104">
        <v>40.1</v>
      </c>
      <c r="H41" s="104">
        <f t="shared" si="0"/>
        <v>1.256E-2</v>
      </c>
      <c r="I41" s="104">
        <f t="shared" si="1"/>
        <v>0.50365599999999999</v>
      </c>
      <c r="J41" s="104">
        <f t="shared" si="2"/>
        <v>31.478500000000004</v>
      </c>
    </row>
    <row r="42" spans="2:10" x14ac:dyDescent="0.25">
      <c r="B42" s="104">
        <v>38</v>
      </c>
      <c r="C42" s="104" t="s">
        <v>564</v>
      </c>
      <c r="D42" s="104" t="s">
        <v>565</v>
      </c>
      <c r="E42" s="104">
        <v>0.75</v>
      </c>
      <c r="F42" s="104" t="s">
        <v>527</v>
      </c>
      <c r="G42" s="104">
        <f>37.1</f>
        <v>37.1</v>
      </c>
      <c r="H42" s="104">
        <f t="shared" si="0"/>
        <v>7.065000000000001E-3</v>
      </c>
      <c r="I42" s="104">
        <f t="shared" si="1"/>
        <v>0.26211150000000005</v>
      </c>
      <c r="J42" s="104">
        <f t="shared" si="2"/>
        <v>16.381968750000002</v>
      </c>
    </row>
    <row r="43" spans="2:10" x14ac:dyDescent="0.25">
      <c r="B43" s="104">
        <v>39</v>
      </c>
      <c r="C43" s="104" t="s">
        <v>566</v>
      </c>
      <c r="D43" s="104" t="s">
        <v>526</v>
      </c>
      <c r="E43" s="104">
        <v>1</v>
      </c>
      <c r="F43" s="104" t="s">
        <v>527</v>
      </c>
      <c r="G43" s="104">
        <v>40.1</v>
      </c>
      <c r="H43" s="104">
        <f t="shared" si="0"/>
        <v>1.256E-2</v>
      </c>
      <c r="I43" s="104">
        <f t="shared" si="1"/>
        <v>0.50365599999999999</v>
      </c>
      <c r="J43" s="104">
        <f t="shared" si="2"/>
        <v>31.478500000000004</v>
      </c>
    </row>
    <row r="44" spans="2:10" x14ac:dyDescent="0.25">
      <c r="B44" s="104">
        <v>40</v>
      </c>
      <c r="C44" s="104" t="s">
        <v>567</v>
      </c>
      <c r="D44" s="104" t="s">
        <v>568</v>
      </c>
      <c r="E44" s="104">
        <f>1*2</f>
        <v>2</v>
      </c>
      <c r="F44" s="104" t="s">
        <v>527</v>
      </c>
      <c r="G44" s="104">
        <f>37.1*2</f>
        <v>74.2</v>
      </c>
      <c r="H44" s="104">
        <f t="shared" si="0"/>
        <v>5.024E-2</v>
      </c>
      <c r="I44" s="104">
        <f t="shared" si="1"/>
        <v>3.727808</v>
      </c>
      <c r="J44" s="104">
        <f t="shared" si="2"/>
        <v>232.98800000000003</v>
      </c>
    </row>
    <row r="45" spans="2:10" x14ac:dyDescent="0.25">
      <c r="B45" s="104">
        <v>41</v>
      </c>
      <c r="C45" s="104" t="s">
        <v>569</v>
      </c>
      <c r="D45" s="104" t="s">
        <v>568</v>
      </c>
      <c r="E45" s="104">
        <f t="shared" ref="E45" si="3">1*2</f>
        <v>2</v>
      </c>
      <c r="F45" s="104" t="s">
        <v>527</v>
      </c>
      <c r="G45" s="104">
        <f t="shared" ref="G45:G73" si="4">37.1*2</f>
        <v>74.2</v>
      </c>
      <c r="H45" s="104">
        <f t="shared" si="0"/>
        <v>5.024E-2</v>
      </c>
      <c r="I45" s="104">
        <f t="shared" si="1"/>
        <v>3.727808</v>
      </c>
      <c r="J45" s="104">
        <f t="shared" si="2"/>
        <v>232.98800000000003</v>
      </c>
    </row>
    <row r="46" spans="2:10" x14ac:dyDescent="0.25">
      <c r="B46" s="104">
        <v>42</v>
      </c>
      <c r="C46" s="104" t="s">
        <v>570</v>
      </c>
      <c r="D46" s="104" t="s">
        <v>571</v>
      </c>
      <c r="E46" s="104">
        <f>0.75*2</f>
        <v>1.5</v>
      </c>
      <c r="F46" s="104" t="s">
        <v>527</v>
      </c>
      <c r="G46" s="104">
        <f t="shared" si="4"/>
        <v>74.2</v>
      </c>
      <c r="H46" s="104">
        <f t="shared" si="0"/>
        <v>2.8260000000000004E-2</v>
      </c>
      <c r="I46" s="104">
        <f t="shared" si="1"/>
        <v>2.0968920000000004</v>
      </c>
      <c r="J46" s="104">
        <f t="shared" si="2"/>
        <v>131.05575000000002</v>
      </c>
    </row>
    <row r="47" spans="2:10" x14ac:dyDescent="0.25">
      <c r="B47" s="104">
        <v>43</v>
      </c>
      <c r="C47" s="104" t="s">
        <v>572</v>
      </c>
      <c r="D47" s="104" t="s">
        <v>571</v>
      </c>
      <c r="E47" s="104">
        <f t="shared" ref="E47:E73" si="5">0.75*2</f>
        <v>1.5</v>
      </c>
      <c r="F47" s="104" t="s">
        <v>527</v>
      </c>
      <c r="G47" s="104">
        <f t="shared" si="4"/>
        <v>74.2</v>
      </c>
      <c r="H47" s="104">
        <f t="shared" si="0"/>
        <v>2.8260000000000004E-2</v>
      </c>
      <c r="I47" s="104">
        <f t="shared" si="1"/>
        <v>2.0968920000000004</v>
      </c>
      <c r="J47" s="104">
        <f t="shared" si="2"/>
        <v>131.05575000000002</v>
      </c>
    </row>
    <row r="48" spans="2:10" x14ac:dyDescent="0.25">
      <c r="B48" s="104">
        <v>44</v>
      </c>
      <c r="C48" s="104" t="s">
        <v>573</v>
      </c>
      <c r="D48" s="104" t="s">
        <v>571</v>
      </c>
      <c r="E48" s="104">
        <f t="shared" si="5"/>
        <v>1.5</v>
      </c>
      <c r="F48" s="104" t="s">
        <v>527</v>
      </c>
      <c r="G48" s="104">
        <f t="shared" si="4"/>
        <v>74.2</v>
      </c>
      <c r="H48" s="104">
        <f t="shared" si="0"/>
        <v>2.8260000000000004E-2</v>
      </c>
      <c r="I48" s="104">
        <f t="shared" si="1"/>
        <v>2.0968920000000004</v>
      </c>
      <c r="J48" s="104">
        <f t="shared" si="2"/>
        <v>131.05575000000002</v>
      </c>
    </row>
    <row r="49" spans="2:10" x14ac:dyDescent="0.25">
      <c r="B49" s="104">
        <v>45</v>
      </c>
      <c r="C49" s="104" t="s">
        <v>574</v>
      </c>
      <c r="D49" s="104" t="s">
        <v>571</v>
      </c>
      <c r="E49" s="104">
        <f t="shared" si="5"/>
        <v>1.5</v>
      </c>
      <c r="F49" s="104" t="s">
        <v>527</v>
      </c>
      <c r="G49" s="104">
        <f t="shared" si="4"/>
        <v>74.2</v>
      </c>
      <c r="H49" s="104">
        <f t="shared" si="0"/>
        <v>2.8260000000000004E-2</v>
      </c>
      <c r="I49" s="104">
        <f t="shared" si="1"/>
        <v>2.0968920000000004</v>
      </c>
      <c r="J49" s="104">
        <f t="shared" si="2"/>
        <v>131.05575000000002</v>
      </c>
    </row>
    <row r="50" spans="2:10" x14ac:dyDescent="0.25">
      <c r="B50" s="104">
        <v>46</v>
      </c>
      <c r="C50" s="104" t="s">
        <v>575</v>
      </c>
      <c r="D50" s="104" t="s">
        <v>571</v>
      </c>
      <c r="E50" s="104">
        <f t="shared" si="5"/>
        <v>1.5</v>
      </c>
      <c r="F50" s="104" t="s">
        <v>527</v>
      </c>
      <c r="G50" s="104">
        <f t="shared" si="4"/>
        <v>74.2</v>
      </c>
      <c r="H50" s="104">
        <f t="shared" si="0"/>
        <v>2.8260000000000004E-2</v>
      </c>
      <c r="I50" s="104">
        <f t="shared" si="1"/>
        <v>2.0968920000000004</v>
      </c>
      <c r="J50" s="104">
        <f t="shared" si="2"/>
        <v>131.05575000000002</v>
      </c>
    </row>
    <row r="51" spans="2:10" x14ac:dyDescent="0.25">
      <c r="B51" s="104">
        <v>47</v>
      </c>
      <c r="C51" s="104" t="s">
        <v>576</v>
      </c>
      <c r="D51" s="104" t="s">
        <v>571</v>
      </c>
      <c r="E51" s="104">
        <f t="shared" si="5"/>
        <v>1.5</v>
      </c>
      <c r="F51" s="104" t="s">
        <v>527</v>
      </c>
      <c r="G51" s="104">
        <f t="shared" si="4"/>
        <v>74.2</v>
      </c>
      <c r="H51" s="104">
        <f t="shared" si="0"/>
        <v>2.8260000000000004E-2</v>
      </c>
      <c r="I51" s="104">
        <f t="shared" si="1"/>
        <v>2.0968920000000004</v>
      </c>
      <c r="J51" s="104">
        <f t="shared" si="2"/>
        <v>131.05575000000002</v>
      </c>
    </row>
    <row r="52" spans="2:10" x14ac:dyDescent="0.25">
      <c r="B52" s="104">
        <v>48</v>
      </c>
      <c r="C52" s="104" t="s">
        <v>577</v>
      </c>
      <c r="D52" s="104" t="s">
        <v>571</v>
      </c>
      <c r="E52" s="104">
        <f t="shared" si="5"/>
        <v>1.5</v>
      </c>
      <c r="F52" s="104" t="s">
        <v>527</v>
      </c>
      <c r="G52" s="104">
        <f t="shared" si="4"/>
        <v>74.2</v>
      </c>
      <c r="H52" s="104">
        <f t="shared" si="0"/>
        <v>2.8260000000000004E-2</v>
      </c>
      <c r="I52" s="104">
        <f t="shared" si="1"/>
        <v>2.0968920000000004</v>
      </c>
      <c r="J52" s="104">
        <f t="shared" si="2"/>
        <v>131.05575000000002</v>
      </c>
    </row>
    <row r="53" spans="2:10" x14ac:dyDescent="0.25">
      <c r="B53" s="104">
        <v>49</v>
      </c>
      <c r="C53" s="104" t="s">
        <v>578</v>
      </c>
      <c r="D53" s="104" t="s">
        <v>571</v>
      </c>
      <c r="E53" s="104">
        <f t="shared" si="5"/>
        <v>1.5</v>
      </c>
      <c r="F53" s="104" t="s">
        <v>527</v>
      </c>
      <c r="G53" s="104">
        <f t="shared" si="4"/>
        <v>74.2</v>
      </c>
      <c r="H53" s="104">
        <f t="shared" si="0"/>
        <v>2.8260000000000004E-2</v>
      </c>
      <c r="I53" s="104">
        <f t="shared" si="1"/>
        <v>2.0968920000000004</v>
      </c>
      <c r="J53" s="104">
        <f t="shared" si="2"/>
        <v>131.05575000000002</v>
      </c>
    </row>
    <row r="54" spans="2:10" x14ac:dyDescent="0.25">
      <c r="B54" s="104">
        <v>50</v>
      </c>
      <c r="C54" s="104" t="s">
        <v>579</v>
      </c>
      <c r="D54" s="104" t="s">
        <v>571</v>
      </c>
      <c r="E54" s="104">
        <f t="shared" si="5"/>
        <v>1.5</v>
      </c>
      <c r="F54" s="104" t="s">
        <v>527</v>
      </c>
      <c r="G54" s="104">
        <f t="shared" si="4"/>
        <v>74.2</v>
      </c>
      <c r="H54" s="104">
        <f t="shared" si="0"/>
        <v>2.8260000000000004E-2</v>
      </c>
      <c r="I54" s="104">
        <f t="shared" si="1"/>
        <v>2.0968920000000004</v>
      </c>
      <c r="J54" s="104">
        <f t="shared" si="2"/>
        <v>131.05575000000002</v>
      </c>
    </row>
    <row r="55" spans="2:10" x14ac:dyDescent="0.25">
      <c r="B55" s="104">
        <v>51</v>
      </c>
      <c r="C55" s="104" t="s">
        <v>580</v>
      </c>
      <c r="D55" s="104" t="s">
        <v>571</v>
      </c>
      <c r="E55" s="104">
        <f t="shared" si="5"/>
        <v>1.5</v>
      </c>
      <c r="F55" s="104" t="s">
        <v>527</v>
      </c>
      <c r="G55" s="104">
        <f t="shared" si="4"/>
        <v>74.2</v>
      </c>
      <c r="H55" s="104">
        <f t="shared" si="0"/>
        <v>2.8260000000000004E-2</v>
      </c>
      <c r="I55" s="104">
        <f t="shared" si="1"/>
        <v>2.0968920000000004</v>
      </c>
      <c r="J55" s="104">
        <f t="shared" si="2"/>
        <v>131.05575000000002</v>
      </c>
    </row>
    <row r="56" spans="2:10" x14ac:dyDescent="0.25">
      <c r="B56" s="104">
        <v>52</v>
      </c>
      <c r="C56" s="104" t="s">
        <v>581</v>
      </c>
      <c r="D56" s="104" t="s">
        <v>571</v>
      </c>
      <c r="E56" s="104">
        <f t="shared" si="5"/>
        <v>1.5</v>
      </c>
      <c r="F56" s="104" t="s">
        <v>527</v>
      </c>
      <c r="G56" s="104">
        <f t="shared" si="4"/>
        <v>74.2</v>
      </c>
      <c r="H56" s="104">
        <f t="shared" si="0"/>
        <v>2.8260000000000004E-2</v>
      </c>
      <c r="I56" s="104">
        <f t="shared" si="1"/>
        <v>2.0968920000000004</v>
      </c>
      <c r="J56" s="104">
        <f t="shared" si="2"/>
        <v>131.05575000000002</v>
      </c>
    </row>
    <row r="57" spans="2:10" x14ac:dyDescent="0.25">
      <c r="B57" s="104">
        <v>53</v>
      </c>
      <c r="C57" s="104" t="s">
        <v>582</v>
      </c>
      <c r="D57" s="104" t="s">
        <v>571</v>
      </c>
      <c r="E57" s="104">
        <f t="shared" si="5"/>
        <v>1.5</v>
      </c>
      <c r="F57" s="104" t="s">
        <v>527</v>
      </c>
      <c r="G57" s="104">
        <f t="shared" si="4"/>
        <v>74.2</v>
      </c>
      <c r="H57" s="104">
        <f t="shared" si="0"/>
        <v>2.8260000000000004E-2</v>
      </c>
      <c r="I57" s="104">
        <f t="shared" si="1"/>
        <v>2.0968920000000004</v>
      </c>
      <c r="J57" s="104">
        <f t="shared" si="2"/>
        <v>131.05575000000002</v>
      </c>
    </row>
    <row r="58" spans="2:10" x14ac:dyDescent="0.25">
      <c r="B58" s="104">
        <v>54</v>
      </c>
      <c r="C58" s="104" t="s">
        <v>583</v>
      </c>
      <c r="D58" s="104" t="s">
        <v>571</v>
      </c>
      <c r="E58" s="104">
        <f t="shared" si="5"/>
        <v>1.5</v>
      </c>
      <c r="F58" s="104" t="s">
        <v>527</v>
      </c>
      <c r="G58" s="104">
        <f t="shared" si="4"/>
        <v>74.2</v>
      </c>
      <c r="H58" s="104">
        <f t="shared" si="0"/>
        <v>2.8260000000000004E-2</v>
      </c>
      <c r="I58" s="104">
        <f t="shared" si="1"/>
        <v>2.0968920000000004</v>
      </c>
      <c r="J58" s="104">
        <f t="shared" si="2"/>
        <v>131.05575000000002</v>
      </c>
    </row>
    <row r="59" spans="2:10" x14ac:dyDescent="0.25">
      <c r="B59" s="104">
        <v>55</v>
      </c>
      <c r="C59" s="104" t="s">
        <v>584</v>
      </c>
      <c r="D59" s="104" t="s">
        <v>571</v>
      </c>
      <c r="E59" s="104">
        <f t="shared" si="5"/>
        <v>1.5</v>
      </c>
      <c r="F59" s="104" t="s">
        <v>527</v>
      </c>
      <c r="G59" s="104">
        <f t="shared" si="4"/>
        <v>74.2</v>
      </c>
      <c r="H59" s="104">
        <f t="shared" si="0"/>
        <v>2.8260000000000004E-2</v>
      </c>
      <c r="I59" s="104">
        <f t="shared" si="1"/>
        <v>2.0968920000000004</v>
      </c>
      <c r="J59" s="104">
        <f t="shared" si="2"/>
        <v>131.05575000000002</v>
      </c>
    </row>
    <row r="60" spans="2:10" x14ac:dyDescent="0.25">
      <c r="B60" s="104">
        <v>56</v>
      </c>
      <c r="C60" s="104" t="s">
        <v>585</v>
      </c>
      <c r="D60" s="104" t="s">
        <v>571</v>
      </c>
      <c r="E60" s="104">
        <f t="shared" si="5"/>
        <v>1.5</v>
      </c>
      <c r="F60" s="104" t="s">
        <v>527</v>
      </c>
      <c r="G60" s="104">
        <f t="shared" si="4"/>
        <v>74.2</v>
      </c>
      <c r="H60" s="104">
        <f t="shared" si="0"/>
        <v>2.8260000000000004E-2</v>
      </c>
      <c r="I60" s="104">
        <f t="shared" si="1"/>
        <v>2.0968920000000004</v>
      </c>
      <c r="J60" s="104">
        <f t="shared" si="2"/>
        <v>131.05575000000002</v>
      </c>
    </row>
    <row r="61" spans="2:10" x14ac:dyDescent="0.25">
      <c r="B61" s="104">
        <v>57</v>
      </c>
      <c r="C61" s="104" t="s">
        <v>586</v>
      </c>
      <c r="D61" s="104" t="s">
        <v>571</v>
      </c>
      <c r="E61" s="104">
        <f t="shared" si="5"/>
        <v>1.5</v>
      </c>
      <c r="F61" s="104" t="s">
        <v>527</v>
      </c>
      <c r="G61" s="104">
        <f t="shared" si="4"/>
        <v>74.2</v>
      </c>
      <c r="H61" s="104">
        <f t="shared" si="0"/>
        <v>2.8260000000000004E-2</v>
      </c>
      <c r="I61" s="104">
        <f t="shared" si="1"/>
        <v>2.0968920000000004</v>
      </c>
      <c r="J61" s="104">
        <f t="shared" si="2"/>
        <v>131.05575000000002</v>
      </c>
    </row>
    <row r="62" spans="2:10" x14ac:dyDescent="0.25">
      <c r="B62" s="104">
        <v>58</v>
      </c>
      <c r="C62" s="104" t="s">
        <v>587</v>
      </c>
      <c r="D62" s="104" t="s">
        <v>571</v>
      </c>
      <c r="E62" s="104">
        <f t="shared" si="5"/>
        <v>1.5</v>
      </c>
      <c r="F62" s="104" t="s">
        <v>527</v>
      </c>
      <c r="G62" s="104">
        <f t="shared" si="4"/>
        <v>74.2</v>
      </c>
      <c r="H62" s="104">
        <f t="shared" si="0"/>
        <v>2.8260000000000004E-2</v>
      </c>
      <c r="I62" s="104">
        <f t="shared" si="1"/>
        <v>2.0968920000000004</v>
      </c>
      <c r="J62" s="104">
        <f t="shared" si="2"/>
        <v>131.05575000000002</v>
      </c>
    </row>
    <row r="63" spans="2:10" x14ac:dyDescent="0.25">
      <c r="B63" s="104">
        <v>59</v>
      </c>
      <c r="C63" s="104" t="s">
        <v>588</v>
      </c>
      <c r="D63" s="104" t="s">
        <v>571</v>
      </c>
      <c r="E63" s="104">
        <f t="shared" si="5"/>
        <v>1.5</v>
      </c>
      <c r="F63" s="104" t="s">
        <v>527</v>
      </c>
      <c r="G63" s="104">
        <f t="shared" si="4"/>
        <v>74.2</v>
      </c>
      <c r="H63" s="104">
        <f t="shared" si="0"/>
        <v>2.8260000000000004E-2</v>
      </c>
      <c r="I63" s="104">
        <f t="shared" si="1"/>
        <v>2.0968920000000004</v>
      </c>
      <c r="J63" s="104">
        <f t="shared" si="2"/>
        <v>131.05575000000002</v>
      </c>
    </row>
    <row r="64" spans="2:10" x14ac:dyDescent="0.25">
      <c r="B64" s="104">
        <v>60</v>
      </c>
      <c r="C64" s="104" t="s">
        <v>589</v>
      </c>
      <c r="D64" s="104" t="s">
        <v>571</v>
      </c>
      <c r="E64" s="104">
        <f t="shared" si="5"/>
        <v>1.5</v>
      </c>
      <c r="F64" s="104" t="s">
        <v>527</v>
      </c>
      <c r="G64" s="104">
        <f t="shared" si="4"/>
        <v>74.2</v>
      </c>
      <c r="H64" s="104">
        <f t="shared" si="0"/>
        <v>2.8260000000000004E-2</v>
      </c>
      <c r="I64" s="104">
        <f t="shared" si="1"/>
        <v>2.0968920000000004</v>
      </c>
      <c r="J64" s="104">
        <f t="shared" si="2"/>
        <v>131.05575000000002</v>
      </c>
    </row>
    <row r="65" spans="2:10" x14ac:dyDescent="0.25">
      <c r="B65" s="104">
        <v>61</v>
      </c>
      <c r="C65" s="104" t="s">
        <v>590</v>
      </c>
      <c r="D65" s="104" t="s">
        <v>571</v>
      </c>
      <c r="E65" s="104">
        <f t="shared" si="5"/>
        <v>1.5</v>
      </c>
      <c r="F65" s="104" t="s">
        <v>527</v>
      </c>
      <c r="G65" s="104">
        <f t="shared" si="4"/>
        <v>74.2</v>
      </c>
      <c r="H65" s="104">
        <f t="shared" si="0"/>
        <v>2.8260000000000004E-2</v>
      </c>
      <c r="I65" s="104">
        <f t="shared" si="1"/>
        <v>2.0968920000000004</v>
      </c>
      <c r="J65" s="104">
        <f t="shared" si="2"/>
        <v>131.05575000000002</v>
      </c>
    </row>
    <row r="66" spans="2:10" x14ac:dyDescent="0.25">
      <c r="B66" s="104">
        <v>62</v>
      </c>
      <c r="C66" s="104" t="s">
        <v>591</v>
      </c>
      <c r="D66" s="104" t="s">
        <v>571</v>
      </c>
      <c r="E66" s="104">
        <f t="shared" si="5"/>
        <v>1.5</v>
      </c>
      <c r="F66" s="104" t="s">
        <v>527</v>
      </c>
      <c r="G66" s="104">
        <f t="shared" si="4"/>
        <v>74.2</v>
      </c>
      <c r="H66" s="104">
        <f t="shared" si="0"/>
        <v>2.8260000000000004E-2</v>
      </c>
      <c r="I66" s="104">
        <f t="shared" si="1"/>
        <v>2.0968920000000004</v>
      </c>
      <c r="J66" s="104">
        <f t="shared" si="2"/>
        <v>131.05575000000002</v>
      </c>
    </row>
    <row r="67" spans="2:10" x14ac:dyDescent="0.25">
      <c r="B67" s="104">
        <v>63</v>
      </c>
      <c r="C67" s="104" t="s">
        <v>592</v>
      </c>
      <c r="D67" s="104" t="s">
        <v>571</v>
      </c>
      <c r="E67" s="104">
        <f t="shared" si="5"/>
        <v>1.5</v>
      </c>
      <c r="F67" s="104" t="s">
        <v>527</v>
      </c>
      <c r="G67" s="104">
        <f t="shared" si="4"/>
        <v>74.2</v>
      </c>
      <c r="H67" s="104">
        <f t="shared" si="0"/>
        <v>2.8260000000000004E-2</v>
      </c>
      <c r="I67" s="104">
        <f t="shared" si="1"/>
        <v>2.0968920000000004</v>
      </c>
      <c r="J67" s="104">
        <f t="shared" si="2"/>
        <v>131.05575000000002</v>
      </c>
    </row>
    <row r="68" spans="2:10" x14ac:dyDescent="0.25">
      <c r="B68" s="104">
        <v>64</v>
      </c>
      <c r="C68" s="104" t="s">
        <v>593</v>
      </c>
      <c r="D68" s="104" t="s">
        <v>571</v>
      </c>
      <c r="E68" s="104">
        <f t="shared" si="5"/>
        <v>1.5</v>
      </c>
      <c r="F68" s="104" t="s">
        <v>527</v>
      </c>
      <c r="G68" s="104">
        <f t="shared" si="4"/>
        <v>74.2</v>
      </c>
      <c r="H68" s="104">
        <f t="shared" si="0"/>
        <v>2.8260000000000004E-2</v>
      </c>
      <c r="I68" s="104">
        <f t="shared" si="1"/>
        <v>2.0968920000000004</v>
      </c>
      <c r="J68" s="104">
        <f t="shared" si="2"/>
        <v>131.05575000000002</v>
      </c>
    </row>
    <row r="69" spans="2:10" x14ac:dyDescent="0.25">
      <c r="B69" s="104">
        <v>65</v>
      </c>
      <c r="C69" s="104" t="s">
        <v>594</v>
      </c>
      <c r="D69" s="104" t="s">
        <v>571</v>
      </c>
      <c r="E69" s="104">
        <f t="shared" si="5"/>
        <v>1.5</v>
      </c>
      <c r="F69" s="104" t="s">
        <v>527</v>
      </c>
      <c r="G69" s="104">
        <f t="shared" si="4"/>
        <v>74.2</v>
      </c>
      <c r="H69" s="104">
        <f t="shared" si="0"/>
        <v>2.8260000000000004E-2</v>
      </c>
      <c r="I69" s="104">
        <f t="shared" si="1"/>
        <v>2.0968920000000004</v>
      </c>
      <c r="J69" s="104">
        <f t="shared" si="2"/>
        <v>131.05575000000002</v>
      </c>
    </row>
    <row r="70" spans="2:10" x14ac:dyDescent="0.25">
      <c r="B70" s="104">
        <v>66</v>
      </c>
      <c r="C70" s="104" t="s">
        <v>595</v>
      </c>
      <c r="D70" s="104" t="s">
        <v>571</v>
      </c>
      <c r="E70" s="104">
        <f t="shared" si="5"/>
        <v>1.5</v>
      </c>
      <c r="F70" s="104" t="s">
        <v>527</v>
      </c>
      <c r="G70" s="104">
        <f t="shared" si="4"/>
        <v>74.2</v>
      </c>
      <c r="H70" s="104">
        <f t="shared" ref="H70:H133" si="6">3.14*((E70/2)^2)*1.6%</f>
        <v>2.8260000000000004E-2</v>
      </c>
      <c r="I70" s="104">
        <f t="shared" ref="I70:I133" si="7">H70*G70</f>
        <v>2.0968920000000004</v>
      </c>
      <c r="J70" s="104">
        <f t="shared" ref="J70:J74" si="8">3.14*((E70/2)^2)*G70</f>
        <v>131.05575000000002</v>
      </c>
    </row>
    <row r="71" spans="2:10" x14ac:dyDescent="0.25">
      <c r="B71" s="104">
        <v>67</v>
      </c>
      <c r="C71" s="104" t="s">
        <v>596</v>
      </c>
      <c r="D71" s="104" t="s">
        <v>571</v>
      </c>
      <c r="E71" s="104">
        <f t="shared" si="5"/>
        <v>1.5</v>
      </c>
      <c r="F71" s="104" t="s">
        <v>527</v>
      </c>
      <c r="G71" s="104">
        <f t="shared" si="4"/>
        <v>74.2</v>
      </c>
      <c r="H71" s="104">
        <f t="shared" si="6"/>
        <v>2.8260000000000004E-2</v>
      </c>
      <c r="I71" s="104">
        <f t="shared" si="7"/>
        <v>2.0968920000000004</v>
      </c>
      <c r="J71" s="104">
        <f t="shared" si="8"/>
        <v>131.05575000000002</v>
      </c>
    </row>
    <row r="72" spans="2:10" x14ac:dyDescent="0.25">
      <c r="B72" s="104">
        <v>68</v>
      </c>
      <c r="C72" s="104" t="s">
        <v>597</v>
      </c>
      <c r="D72" s="104" t="s">
        <v>571</v>
      </c>
      <c r="E72" s="104">
        <f t="shared" si="5"/>
        <v>1.5</v>
      </c>
      <c r="F72" s="104" t="s">
        <v>527</v>
      </c>
      <c r="G72" s="104">
        <f t="shared" si="4"/>
        <v>74.2</v>
      </c>
      <c r="H72" s="104">
        <f t="shared" si="6"/>
        <v>2.8260000000000004E-2</v>
      </c>
      <c r="I72" s="104">
        <f t="shared" si="7"/>
        <v>2.0968920000000004</v>
      </c>
      <c r="J72" s="104">
        <f t="shared" si="8"/>
        <v>131.05575000000002</v>
      </c>
    </row>
    <row r="73" spans="2:10" x14ac:dyDescent="0.25">
      <c r="B73" s="104">
        <v>69</v>
      </c>
      <c r="C73" s="104" t="s">
        <v>598</v>
      </c>
      <c r="D73" s="104" t="s">
        <v>571</v>
      </c>
      <c r="E73" s="104">
        <f t="shared" si="5"/>
        <v>1.5</v>
      </c>
      <c r="F73" s="104" t="s">
        <v>527</v>
      </c>
      <c r="G73" s="104">
        <f t="shared" si="4"/>
        <v>74.2</v>
      </c>
      <c r="H73" s="104">
        <f t="shared" si="6"/>
        <v>2.8260000000000004E-2</v>
      </c>
      <c r="I73" s="104">
        <f t="shared" si="7"/>
        <v>2.0968920000000004</v>
      </c>
      <c r="J73" s="104">
        <f t="shared" si="8"/>
        <v>131.05575000000002</v>
      </c>
    </row>
    <row r="74" spans="2:10" x14ac:dyDescent="0.25">
      <c r="B74" s="104">
        <v>70</v>
      </c>
      <c r="C74" s="104" t="s">
        <v>599</v>
      </c>
      <c r="D74" s="104" t="s">
        <v>568</v>
      </c>
      <c r="E74" s="104">
        <f>1*2</f>
        <v>2</v>
      </c>
      <c r="F74" s="104" t="s">
        <v>600</v>
      </c>
      <c r="G74" s="104">
        <f>37.1*2</f>
        <v>74.2</v>
      </c>
      <c r="H74" s="104">
        <f t="shared" si="6"/>
        <v>5.024E-2</v>
      </c>
      <c r="I74" s="104">
        <f t="shared" si="7"/>
        <v>3.727808</v>
      </c>
      <c r="J74" s="104">
        <f t="shared" si="8"/>
        <v>232.98800000000003</v>
      </c>
    </row>
    <row r="75" spans="2:10" x14ac:dyDescent="0.25">
      <c r="B75" s="104">
        <v>71</v>
      </c>
      <c r="C75" s="104" t="s">
        <v>601</v>
      </c>
      <c r="D75" s="104" t="s">
        <v>568</v>
      </c>
      <c r="E75" s="104">
        <f t="shared" ref="E75:E77" si="9">1*2</f>
        <v>2</v>
      </c>
      <c r="F75" s="104" t="s">
        <v>600</v>
      </c>
      <c r="G75" s="104">
        <f t="shared" ref="G75:G78" si="10">37.1*2</f>
        <v>74.2</v>
      </c>
      <c r="H75" s="104">
        <f t="shared" si="6"/>
        <v>5.024E-2</v>
      </c>
      <c r="I75" s="104">
        <f t="shared" si="7"/>
        <v>3.727808</v>
      </c>
      <c r="J75" s="104">
        <f>3.14*((E75/2)^2)*G75</f>
        <v>232.98800000000003</v>
      </c>
    </row>
    <row r="76" spans="2:10" x14ac:dyDescent="0.25">
      <c r="B76" s="104">
        <v>72</v>
      </c>
      <c r="C76" s="104" t="s">
        <v>602</v>
      </c>
      <c r="D76" s="104" t="s">
        <v>568</v>
      </c>
      <c r="E76" s="104">
        <f t="shared" si="9"/>
        <v>2</v>
      </c>
      <c r="F76" s="104" t="s">
        <v>600</v>
      </c>
      <c r="G76" s="104">
        <f t="shared" si="10"/>
        <v>74.2</v>
      </c>
      <c r="H76" s="104">
        <f t="shared" si="6"/>
        <v>5.024E-2</v>
      </c>
      <c r="I76" s="104">
        <f t="shared" si="7"/>
        <v>3.727808</v>
      </c>
      <c r="J76" s="104">
        <f>3.14*((E76/2)^2)*G76</f>
        <v>232.98800000000003</v>
      </c>
    </row>
    <row r="77" spans="2:10" x14ac:dyDescent="0.25">
      <c r="B77" s="104">
        <v>73</v>
      </c>
      <c r="C77" s="104" t="s">
        <v>603</v>
      </c>
      <c r="D77" s="104" t="s">
        <v>568</v>
      </c>
      <c r="E77" s="104">
        <f t="shared" si="9"/>
        <v>2</v>
      </c>
      <c r="F77" s="104" t="s">
        <v>600</v>
      </c>
      <c r="G77" s="104">
        <f t="shared" si="10"/>
        <v>74.2</v>
      </c>
      <c r="H77" s="104">
        <f t="shared" si="6"/>
        <v>5.024E-2</v>
      </c>
      <c r="I77" s="104">
        <f t="shared" si="7"/>
        <v>3.727808</v>
      </c>
      <c r="J77" s="104">
        <f>3.14*((E77/2)^2)*G77</f>
        <v>232.98800000000003</v>
      </c>
    </row>
    <row r="78" spans="2:10" x14ac:dyDescent="0.25">
      <c r="B78" s="104">
        <v>74</v>
      </c>
      <c r="C78" s="104" t="s">
        <v>604</v>
      </c>
      <c r="D78" s="104" t="s">
        <v>571</v>
      </c>
      <c r="E78" s="104">
        <f t="shared" ref="E78" si="11">0.75*2</f>
        <v>1.5</v>
      </c>
      <c r="F78" s="104" t="s">
        <v>527</v>
      </c>
      <c r="G78" s="104">
        <f t="shared" si="10"/>
        <v>74.2</v>
      </c>
      <c r="H78" s="104">
        <f t="shared" si="6"/>
        <v>2.8260000000000004E-2</v>
      </c>
      <c r="I78" s="104">
        <f t="shared" si="7"/>
        <v>2.0968920000000004</v>
      </c>
      <c r="J78" s="104">
        <f>3.14*((E78/2)^2)*G78</f>
        <v>131.05575000000002</v>
      </c>
    </row>
    <row r="79" spans="2:10" x14ac:dyDescent="0.25">
      <c r="B79" s="104">
        <v>75</v>
      </c>
      <c r="C79" s="104" t="s">
        <v>605</v>
      </c>
      <c r="D79" s="104" t="s">
        <v>565</v>
      </c>
      <c r="E79" s="104">
        <v>0.75</v>
      </c>
      <c r="F79" s="104" t="s">
        <v>527</v>
      </c>
      <c r="G79" s="104">
        <f>37.1</f>
        <v>37.1</v>
      </c>
      <c r="H79" s="104">
        <f t="shared" si="6"/>
        <v>7.065000000000001E-3</v>
      </c>
      <c r="I79" s="104">
        <f t="shared" si="7"/>
        <v>0.26211150000000005</v>
      </c>
      <c r="J79" s="104">
        <f>3.14*((E79/2)^2)*G79</f>
        <v>16.381968750000002</v>
      </c>
    </row>
    <row r="80" spans="2:10" x14ac:dyDescent="0.25">
      <c r="B80" s="104">
        <v>76</v>
      </c>
      <c r="C80" s="104" t="s">
        <v>606</v>
      </c>
      <c r="D80" s="104" t="s">
        <v>526</v>
      </c>
      <c r="E80" s="104">
        <v>1</v>
      </c>
      <c r="F80" s="104" t="s">
        <v>527</v>
      </c>
      <c r="G80" s="104">
        <v>40.1</v>
      </c>
      <c r="H80" s="104">
        <f t="shared" si="6"/>
        <v>1.256E-2</v>
      </c>
      <c r="I80" s="104">
        <f t="shared" si="7"/>
        <v>0.50365599999999999</v>
      </c>
      <c r="J80" s="104">
        <f t="shared" ref="J80:J99" si="12">3.14*((E80/2)^2)*G80</f>
        <v>31.478500000000004</v>
      </c>
    </row>
    <row r="81" spans="2:10" x14ac:dyDescent="0.25">
      <c r="B81" s="104">
        <v>77</v>
      </c>
      <c r="C81" s="104" t="s">
        <v>607</v>
      </c>
      <c r="D81" s="104" t="s">
        <v>526</v>
      </c>
      <c r="E81" s="104">
        <v>1</v>
      </c>
      <c r="F81" s="104" t="s">
        <v>527</v>
      </c>
      <c r="G81" s="104">
        <v>40.1</v>
      </c>
      <c r="H81" s="104">
        <f t="shared" si="6"/>
        <v>1.256E-2</v>
      </c>
      <c r="I81" s="104">
        <f t="shared" si="7"/>
        <v>0.50365599999999999</v>
      </c>
      <c r="J81" s="104">
        <f t="shared" si="12"/>
        <v>31.478500000000004</v>
      </c>
    </row>
    <row r="82" spans="2:10" x14ac:dyDescent="0.25">
      <c r="B82" s="104">
        <v>78</v>
      </c>
      <c r="C82" s="104" t="s">
        <v>608</v>
      </c>
      <c r="D82" s="104" t="s">
        <v>526</v>
      </c>
      <c r="E82" s="104">
        <v>1</v>
      </c>
      <c r="F82" s="104" t="s">
        <v>527</v>
      </c>
      <c r="G82" s="104">
        <v>40.1</v>
      </c>
      <c r="H82" s="104">
        <f t="shared" si="6"/>
        <v>1.256E-2</v>
      </c>
      <c r="I82" s="104">
        <f t="shared" si="7"/>
        <v>0.50365599999999999</v>
      </c>
      <c r="J82" s="104">
        <f t="shared" si="12"/>
        <v>31.478500000000004</v>
      </c>
    </row>
    <row r="83" spans="2:10" x14ac:dyDescent="0.25">
      <c r="B83" s="104">
        <v>79</v>
      </c>
      <c r="C83" s="104" t="s">
        <v>609</v>
      </c>
      <c r="D83" s="104" t="s">
        <v>526</v>
      </c>
      <c r="E83" s="104">
        <v>1</v>
      </c>
      <c r="F83" s="104" t="s">
        <v>527</v>
      </c>
      <c r="G83" s="104">
        <v>40.1</v>
      </c>
      <c r="H83" s="104">
        <f t="shared" si="6"/>
        <v>1.256E-2</v>
      </c>
      <c r="I83" s="104">
        <f t="shared" si="7"/>
        <v>0.50365599999999999</v>
      </c>
      <c r="J83" s="104">
        <f t="shared" si="12"/>
        <v>31.478500000000004</v>
      </c>
    </row>
    <row r="84" spans="2:10" x14ac:dyDescent="0.25">
      <c r="B84" s="104">
        <v>80</v>
      </c>
      <c r="C84" s="104" t="s">
        <v>610</v>
      </c>
      <c r="D84" s="104" t="s">
        <v>526</v>
      </c>
      <c r="E84" s="104">
        <v>1</v>
      </c>
      <c r="F84" s="104" t="s">
        <v>527</v>
      </c>
      <c r="G84" s="104">
        <v>40.1</v>
      </c>
      <c r="H84" s="104">
        <f t="shared" si="6"/>
        <v>1.256E-2</v>
      </c>
      <c r="I84" s="104">
        <f t="shared" si="7"/>
        <v>0.50365599999999999</v>
      </c>
      <c r="J84" s="104">
        <f t="shared" si="12"/>
        <v>31.478500000000004</v>
      </c>
    </row>
    <row r="85" spans="2:10" x14ac:dyDescent="0.25">
      <c r="B85" s="104">
        <v>81</v>
      </c>
      <c r="C85" s="104" t="s">
        <v>611</v>
      </c>
      <c r="D85" s="104" t="s">
        <v>526</v>
      </c>
      <c r="E85" s="104">
        <v>1</v>
      </c>
      <c r="F85" s="104" t="s">
        <v>527</v>
      </c>
      <c r="G85" s="104">
        <v>40.1</v>
      </c>
      <c r="H85" s="104">
        <f t="shared" si="6"/>
        <v>1.256E-2</v>
      </c>
      <c r="I85" s="104">
        <f t="shared" si="7"/>
        <v>0.50365599999999999</v>
      </c>
      <c r="J85" s="104">
        <f t="shared" si="12"/>
        <v>31.478500000000004</v>
      </c>
    </row>
    <row r="86" spans="2:10" x14ac:dyDescent="0.25">
      <c r="B86" s="104">
        <v>82</v>
      </c>
      <c r="C86" s="104" t="s">
        <v>612</v>
      </c>
      <c r="D86" s="104" t="s">
        <v>571</v>
      </c>
      <c r="E86" s="104">
        <f t="shared" ref="E86:E95" si="13">0.75*2</f>
        <v>1.5</v>
      </c>
      <c r="F86" s="104" t="s">
        <v>527</v>
      </c>
      <c r="G86" s="104">
        <f t="shared" ref="G86:G100" si="14">37.1*2</f>
        <v>74.2</v>
      </c>
      <c r="H86" s="104">
        <f t="shared" si="6"/>
        <v>2.8260000000000004E-2</v>
      </c>
      <c r="I86" s="104">
        <f t="shared" si="7"/>
        <v>2.0968920000000004</v>
      </c>
      <c r="J86" s="104">
        <f t="shared" si="12"/>
        <v>131.05575000000002</v>
      </c>
    </row>
    <row r="87" spans="2:10" x14ac:dyDescent="0.25">
      <c r="B87" s="104">
        <v>83</v>
      </c>
      <c r="C87" s="104" t="s">
        <v>613</v>
      </c>
      <c r="D87" s="104" t="s">
        <v>571</v>
      </c>
      <c r="E87" s="104">
        <f t="shared" si="13"/>
        <v>1.5</v>
      </c>
      <c r="F87" s="104" t="s">
        <v>527</v>
      </c>
      <c r="G87" s="104">
        <f t="shared" si="14"/>
        <v>74.2</v>
      </c>
      <c r="H87" s="104">
        <f t="shared" si="6"/>
        <v>2.8260000000000004E-2</v>
      </c>
      <c r="I87" s="104">
        <f t="shared" si="7"/>
        <v>2.0968920000000004</v>
      </c>
      <c r="J87" s="104">
        <f t="shared" si="12"/>
        <v>131.05575000000002</v>
      </c>
    </row>
    <row r="88" spans="2:10" x14ac:dyDescent="0.25">
      <c r="B88" s="104">
        <v>84</v>
      </c>
      <c r="C88" s="104" t="s">
        <v>614</v>
      </c>
      <c r="D88" s="104" t="s">
        <v>571</v>
      </c>
      <c r="E88" s="104">
        <f t="shared" si="13"/>
        <v>1.5</v>
      </c>
      <c r="F88" s="104" t="s">
        <v>527</v>
      </c>
      <c r="G88" s="104">
        <f t="shared" si="14"/>
        <v>74.2</v>
      </c>
      <c r="H88" s="104">
        <f t="shared" si="6"/>
        <v>2.8260000000000004E-2</v>
      </c>
      <c r="I88" s="104">
        <f t="shared" si="7"/>
        <v>2.0968920000000004</v>
      </c>
      <c r="J88" s="104">
        <f t="shared" si="12"/>
        <v>131.05575000000002</v>
      </c>
    </row>
    <row r="89" spans="2:10" x14ac:dyDescent="0.25">
      <c r="B89" s="104">
        <v>85</v>
      </c>
      <c r="C89" s="104" t="s">
        <v>615</v>
      </c>
      <c r="D89" s="104" t="s">
        <v>571</v>
      </c>
      <c r="E89" s="104">
        <f t="shared" si="13"/>
        <v>1.5</v>
      </c>
      <c r="F89" s="104" t="s">
        <v>527</v>
      </c>
      <c r="G89" s="104">
        <f t="shared" si="14"/>
        <v>74.2</v>
      </c>
      <c r="H89" s="104">
        <f t="shared" si="6"/>
        <v>2.8260000000000004E-2</v>
      </c>
      <c r="I89" s="104">
        <f t="shared" si="7"/>
        <v>2.0968920000000004</v>
      </c>
      <c r="J89" s="104">
        <f t="shared" si="12"/>
        <v>131.05575000000002</v>
      </c>
    </row>
    <row r="90" spans="2:10" x14ac:dyDescent="0.25">
      <c r="B90" s="104">
        <v>86</v>
      </c>
      <c r="C90" s="104" t="s">
        <v>616</v>
      </c>
      <c r="D90" s="104" t="s">
        <v>571</v>
      </c>
      <c r="E90" s="104">
        <f t="shared" si="13"/>
        <v>1.5</v>
      </c>
      <c r="F90" s="104" t="s">
        <v>527</v>
      </c>
      <c r="G90" s="104">
        <f t="shared" si="14"/>
        <v>74.2</v>
      </c>
      <c r="H90" s="104">
        <f t="shared" si="6"/>
        <v>2.8260000000000004E-2</v>
      </c>
      <c r="I90" s="104">
        <f t="shared" si="7"/>
        <v>2.0968920000000004</v>
      </c>
      <c r="J90" s="104">
        <f t="shared" si="12"/>
        <v>131.05575000000002</v>
      </c>
    </row>
    <row r="91" spans="2:10" x14ac:dyDescent="0.25">
      <c r="B91" s="104">
        <v>87</v>
      </c>
      <c r="C91" s="104" t="s">
        <v>617</v>
      </c>
      <c r="D91" s="104" t="s">
        <v>571</v>
      </c>
      <c r="E91" s="104">
        <f t="shared" si="13"/>
        <v>1.5</v>
      </c>
      <c r="F91" s="104" t="s">
        <v>527</v>
      </c>
      <c r="G91" s="104">
        <f t="shared" si="14"/>
        <v>74.2</v>
      </c>
      <c r="H91" s="104">
        <f t="shared" si="6"/>
        <v>2.8260000000000004E-2</v>
      </c>
      <c r="I91" s="104">
        <f t="shared" si="7"/>
        <v>2.0968920000000004</v>
      </c>
      <c r="J91" s="104">
        <f t="shared" si="12"/>
        <v>131.05575000000002</v>
      </c>
    </row>
    <row r="92" spans="2:10" x14ac:dyDescent="0.25">
      <c r="B92" s="104">
        <v>88</v>
      </c>
      <c r="C92" s="104" t="s">
        <v>618</v>
      </c>
      <c r="D92" s="104" t="s">
        <v>571</v>
      </c>
      <c r="E92" s="104">
        <f t="shared" si="13"/>
        <v>1.5</v>
      </c>
      <c r="F92" s="104" t="s">
        <v>527</v>
      </c>
      <c r="G92" s="104">
        <f t="shared" si="14"/>
        <v>74.2</v>
      </c>
      <c r="H92" s="104">
        <f t="shared" si="6"/>
        <v>2.8260000000000004E-2</v>
      </c>
      <c r="I92" s="104">
        <f t="shared" si="7"/>
        <v>2.0968920000000004</v>
      </c>
      <c r="J92" s="104">
        <f t="shared" si="12"/>
        <v>131.05575000000002</v>
      </c>
    </row>
    <row r="93" spans="2:10" x14ac:dyDescent="0.25">
      <c r="B93" s="104">
        <v>89</v>
      </c>
      <c r="C93" s="104" t="s">
        <v>619</v>
      </c>
      <c r="D93" s="104" t="s">
        <v>571</v>
      </c>
      <c r="E93" s="104">
        <f t="shared" si="13"/>
        <v>1.5</v>
      </c>
      <c r="F93" s="104" t="s">
        <v>527</v>
      </c>
      <c r="G93" s="104">
        <f t="shared" si="14"/>
        <v>74.2</v>
      </c>
      <c r="H93" s="104">
        <f t="shared" si="6"/>
        <v>2.8260000000000004E-2</v>
      </c>
      <c r="I93" s="104">
        <f t="shared" si="7"/>
        <v>2.0968920000000004</v>
      </c>
      <c r="J93" s="104">
        <f t="shared" si="12"/>
        <v>131.05575000000002</v>
      </c>
    </row>
    <row r="94" spans="2:10" x14ac:dyDescent="0.25">
      <c r="B94" s="104">
        <v>90</v>
      </c>
      <c r="C94" s="104" t="s">
        <v>620</v>
      </c>
      <c r="D94" s="104" t="s">
        <v>571</v>
      </c>
      <c r="E94" s="104">
        <f t="shared" si="13"/>
        <v>1.5</v>
      </c>
      <c r="F94" s="104" t="s">
        <v>527</v>
      </c>
      <c r="G94" s="104">
        <f t="shared" si="14"/>
        <v>74.2</v>
      </c>
      <c r="H94" s="104">
        <f t="shared" si="6"/>
        <v>2.8260000000000004E-2</v>
      </c>
      <c r="I94" s="104">
        <f t="shared" si="7"/>
        <v>2.0968920000000004</v>
      </c>
      <c r="J94" s="104">
        <f t="shared" si="12"/>
        <v>131.05575000000002</v>
      </c>
    </row>
    <row r="95" spans="2:10" x14ac:dyDescent="0.25">
      <c r="B95" s="104">
        <v>91</v>
      </c>
      <c r="C95" s="104" t="s">
        <v>621</v>
      </c>
      <c r="D95" s="104" t="s">
        <v>571</v>
      </c>
      <c r="E95" s="104">
        <f t="shared" si="13"/>
        <v>1.5</v>
      </c>
      <c r="F95" s="104" t="s">
        <v>527</v>
      </c>
      <c r="G95" s="104">
        <f t="shared" si="14"/>
        <v>74.2</v>
      </c>
      <c r="H95" s="104">
        <f t="shared" si="6"/>
        <v>2.8260000000000004E-2</v>
      </c>
      <c r="I95" s="104">
        <f t="shared" si="7"/>
        <v>2.0968920000000004</v>
      </c>
      <c r="J95" s="104">
        <f t="shared" si="12"/>
        <v>131.05575000000002</v>
      </c>
    </row>
    <row r="96" spans="2:10" x14ac:dyDescent="0.25">
      <c r="B96" s="104">
        <v>92</v>
      </c>
      <c r="C96" s="104" t="s">
        <v>622</v>
      </c>
      <c r="D96" s="104" t="s">
        <v>568</v>
      </c>
      <c r="E96" s="104">
        <f t="shared" ref="E96:E99" si="15">1*2</f>
        <v>2</v>
      </c>
      <c r="F96" s="104" t="s">
        <v>600</v>
      </c>
      <c r="G96" s="104">
        <f t="shared" si="14"/>
        <v>74.2</v>
      </c>
      <c r="H96" s="104">
        <f t="shared" si="6"/>
        <v>5.024E-2</v>
      </c>
      <c r="I96" s="104">
        <f t="shared" si="7"/>
        <v>3.727808</v>
      </c>
      <c r="J96" s="104">
        <f t="shared" si="12"/>
        <v>232.98800000000003</v>
      </c>
    </row>
    <row r="97" spans="2:10" x14ac:dyDescent="0.25">
      <c r="B97" s="104">
        <v>93</v>
      </c>
      <c r="C97" s="104" t="s">
        <v>623</v>
      </c>
      <c r="D97" s="104" t="s">
        <v>568</v>
      </c>
      <c r="E97" s="104">
        <f t="shared" si="15"/>
        <v>2</v>
      </c>
      <c r="F97" s="104" t="s">
        <v>600</v>
      </c>
      <c r="G97" s="104">
        <f t="shared" si="14"/>
        <v>74.2</v>
      </c>
      <c r="H97" s="104">
        <f t="shared" si="6"/>
        <v>5.024E-2</v>
      </c>
      <c r="I97" s="104">
        <f t="shared" si="7"/>
        <v>3.727808</v>
      </c>
      <c r="J97" s="104">
        <f t="shared" si="12"/>
        <v>232.98800000000003</v>
      </c>
    </row>
    <row r="98" spans="2:10" x14ac:dyDescent="0.25">
      <c r="B98" s="104">
        <v>94</v>
      </c>
      <c r="C98" s="104" t="s">
        <v>624</v>
      </c>
      <c r="D98" s="104" t="s">
        <v>568</v>
      </c>
      <c r="E98" s="104">
        <f t="shared" si="15"/>
        <v>2</v>
      </c>
      <c r="F98" s="104" t="s">
        <v>600</v>
      </c>
      <c r="G98" s="104">
        <f t="shared" si="14"/>
        <v>74.2</v>
      </c>
      <c r="H98" s="104">
        <f t="shared" si="6"/>
        <v>5.024E-2</v>
      </c>
      <c r="I98" s="104">
        <f t="shared" si="7"/>
        <v>3.727808</v>
      </c>
      <c r="J98" s="104">
        <f t="shared" si="12"/>
        <v>232.98800000000003</v>
      </c>
    </row>
    <row r="99" spans="2:10" x14ac:dyDescent="0.25">
      <c r="B99" s="104">
        <v>95</v>
      </c>
      <c r="C99" s="104" t="s">
        <v>625</v>
      </c>
      <c r="D99" s="104" t="s">
        <v>568</v>
      </c>
      <c r="E99" s="104">
        <f t="shared" si="15"/>
        <v>2</v>
      </c>
      <c r="F99" s="104" t="s">
        <v>600</v>
      </c>
      <c r="G99" s="104">
        <f t="shared" si="14"/>
        <v>74.2</v>
      </c>
      <c r="H99" s="104">
        <f t="shared" si="6"/>
        <v>5.024E-2</v>
      </c>
      <c r="I99" s="104">
        <f t="shared" si="7"/>
        <v>3.727808</v>
      </c>
      <c r="J99" s="104">
        <f t="shared" si="12"/>
        <v>232.98800000000003</v>
      </c>
    </row>
    <row r="100" spans="2:10" x14ac:dyDescent="0.25">
      <c r="B100" s="104">
        <v>96</v>
      </c>
      <c r="C100" s="104" t="s">
        <v>626</v>
      </c>
      <c r="D100" s="104" t="s">
        <v>571</v>
      </c>
      <c r="E100" s="104">
        <f t="shared" ref="E100" si="16">0.75*2</f>
        <v>1.5</v>
      </c>
      <c r="F100" s="104" t="s">
        <v>527</v>
      </c>
      <c r="G100" s="104">
        <f t="shared" si="14"/>
        <v>74.2</v>
      </c>
      <c r="H100" s="104">
        <f t="shared" si="6"/>
        <v>2.8260000000000004E-2</v>
      </c>
      <c r="I100" s="104">
        <f t="shared" si="7"/>
        <v>2.0968920000000004</v>
      </c>
      <c r="J100" s="104">
        <f>3.14*((E100/2)^2)*G100</f>
        <v>131.05575000000002</v>
      </c>
    </row>
    <row r="101" spans="2:10" x14ac:dyDescent="0.25">
      <c r="B101" s="104">
        <v>97</v>
      </c>
      <c r="C101" s="104" t="s">
        <v>627</v>
      </c>
      <c r="D101" s="104" t="s">
        <v>565</v>
      </c>
      <c r="E101" s="104">
        <v>0.75</v>
      </c>
      <c r="F101" s="104" t="s">
        <v>527</v>
      </c>
      <c r="G101" s="104">
        <f>37.1</f>
        <v>37.1</v>
      </c>
      <c r="H101" s="104">
        <f t="shared" si="6"/>
        <v>7.065000000000001E-3</v>
      </c>
      <c r="I101" s="104">
        <f t="shared" si="7"/>
        <v>0.26211150000000005</v>
      </c>
      <c r="J101" s="104">
        <f>3.14*((E101/2)^2)*G101</f>
        <v>16.381968750000002</v>
      </c>
    </row>
    <row r="102" spans="2:10" x14ac:dyDescent="0.25">
      <c r="B102" s="104">
        <v>98</v>
      </c>
      <c r="C102" s="104" t="s">
        <v>628</v>
      </c>
      <c r="D102" s="104" t="s">
        <v>565</v>
      </c>
      <c r="E102" s="104">
        <v>0.75</v>
      </c>
      <c r="F102" s="104" t="s">
        <v>527</v>
      </c>
      <c r="G102" s="104">
        <v>37.1</v>
      </c>
      <c r="H102" s="104">
        <f t="shared" si="6"/>
        <v>7.065000000000001E-3</v>
      </c>
      <c r="I102" s="104">
        <f t="shared" si="7"/>
        <v>0.26211150000000005</v>
      </c>
      <c r="J102" s="104">
        <f>3.14*((E102/2)^2)*G102</f>
        <v>16.381968750000002</v>
      </c>
    </row>
    <row r="103" spans="2:10" x14ac:dyDescent="0.25">
      <c r="B103" s="104">
        <v>99</v>
      </c>
      <c r="C103" s="104" t="s">
        <v>629</v>
      </c>
      <c r="D103" s="104" t="s">
        <v>565</v>
      </c>
      <c r="E103" s="104">
        <v>0.75</v>
      </c>
      <c r="F103" s="104" t="s">
        <v>527</v>
      </c>
      <c r="G103" s="104">
        <v>37.1</v>
      </c>
      <c r="H103" s="104">
        <f t="shared" si="6"/>
        <v>7.065000000000001E-3</v>
      </c>
      <c r="I103" s="104">
        <f t="shared" si="7"/>
        <v>0.26211150000000005</v>
      </c>
      <c r="J103" s="104">
        <f t="shared" ref="J103:J166" si="17">3.14*((E103/2)^2)*G103</f>
        <v>16.381968750000002</v>
      </c>
    </row>
    <row r="104" spans="2:10" x14ac:dyDescent="0.25">
      <c r="B104" s="104">
        <v>100</v>
      </c>
      <c r="C104" s="104" t="s">
        <v>630</v>
      </c>
      <c r="D104" s="104" t="s">
        <v>565</v>
      </c>
      <c r="E104" s="104">
        <v>0.75</v>
      </c>
      <c r="F104" s="104" t="s">
        <v>527</v>
      </c>
      <c r="G104" s="104">
        <v>37.1</v>
      </c>
      <c r="H104" s="104">
        <f t="shared" si="6"/>
        <v>7.065000000000001E-3</v>
      </c>
      <c r="I104" s="104">
        <f t="shared" si="7"/>
        <v>0.26211150000000005</v>
      </c>
      <c r="J104" s="104">
        <f t="shared" si="17"/>
        <v>16.381968750000002</v>
      </c>
    </row>
    <row r="105" spans="2:10" x14ac:dyDescent="0.25">
      <c r="B105" s="104">
        <v>101</v>
      </c>
      <c r="C105" s="104" t="s">
        <v>631</v>
      </c>
      <c r="D105" s="104" t="s">
        <v>565</v>
      </c>
      <c r="E105" s="104">
        <v>0.75</v>
      </c>
      <c r="F105" s="104" t="s">
        <v>527</v>
      </c>
      <c r="G105" s="104">
        <v>37.1</v>
      </c>
      <c r="H105" s="104">
        <f t="shared" si="6"/>
        <v>7.065000000000001E-3</v>
      </c>
      <c r="I105" s="104">
        <f t="shared" si="7"/>
        <v>0.26211150000000005</v>
      </c>
      <c r="J105" s="104">
        <f t="shared" si="17"/>
        <v>16.381968750000002</v>
      </c>
    </row>
    <row r="106" spans="2:10" x14ac:dyDescent="0.25">
      <c r="B106" s="104">
        <v>102</v>
      </c>
      <c r="C106" s="104" t="s">
        <v>632</v>
      </c>
      <c r="D106" s="104" t="s">
        <v>565</v>
      </c>
      <c r="E106" s="104">
        <v>0.75</v>
      </c>
      <c r="F106" s="104" t="s">
        <v>527</v>
      </c>
      <c r="G106" s="104">
        <v>37.1</v>
      </c>
      <c r="H106" s="104">
        <f t="shared" si="6"/>
        <v>7.065000000000001E-3</v>
      </c>
      <c r="I106" s="104">
        <f t="shared" si="7"/>
        <v>0.26211150000000005</v>
      </c>
      <c r="J106" s="104">
        <f t="shared" si="17"/>
        <v>16.381968750000002</v>
      </c>
    </row>
    <row r="107" spans="2:10" x14ac:dyDescent="0.25">
      <c r="B107" s="104">
        <v>103</v>
      </c>
      <c r="C107" s="104" t="s">
        <v>633</v>
      </c>
      <c r="D107" s="104" t="s">
        <v>526</v>
      </c>
      <c r="E107" s="104">
        <v>1</v>
      </c>
      <c r="F107" s="104" t="s">
        <v>527</v>
      </c>
      <c r="G107" s="104">
        <v>40.1</v>
      </c>
      <c r="H107" s="104">
        <f t="shared" si="6"/>
        <v>1.256E-2</v>
      </c>
      <c r="I107" s="104">
        <f t="shared" si="7"/>
        <v>0.50365599999999999</v>
      </c>
      <c r="J107" s="104">
        <f t="shared" si="17"/>
        <v>31.478500000000004</v>
      </c>
    </row>
    <row r="108" spans="2:10" x14ac:dyDescent="0.25">
      <c r="B108" s="104">
        <v>104</v>
      </c>
      <c r="C108" s="104" t="s">
        <v>634</v>
      </c>
      <c r="D108" s="104" t="s">
        <v>526</v>
      </c>
      <c r="E108" s="104">
        <v>1</v>
      </c>
      <c r="F108" s="104" t="s">
        <v>527</v>
      </c>
      <c r="G108" s="104">
        <v>40.1</v>
      </c>
      <c r="H108" s="104">
        <f t="shared" si="6"/>
        <v>1.256E-2</v>
      </c>
      <c r="I108" s="104">
        <f t="shared" si="7"/>
        <v>0.50365599999999999</v>
      </c>
      <c r="J108" s="104">
        <f t="shared" si="17"/>
        <v>31.478500000000004</v>
      </c>
    </row>
    <row r="109" spans="2:10" x14ac:dyDescent="0.25">
      <c r="B109" s="104">
        <v>105</v>
      </c>
      <c r="C109" s="104" t="s">
        <v>635</v>
      </c>
      <c r="D109" s="104" t="s">
        <v>526</v>
      </c>
      <c r="E109" s="104">
        <v>1</v>
      </c>
      <c r="F109" s="104" t="s">
        <v>527</v>
      </c>
      <c r="G109" s="104">
        <v>40.1</v>
      </c>
      <c r="H109" s="104">
        <f t="shared" si="6"/>
        <v>1.256E-2</v>
      </c>
      <c r="I109" s="104">
        <f t="shared" si="7"/>
        <v>0.50365599999999999</v>
      </c>
      <c r="J109" s="104">
        <f t="shared" si="17"/>
        <v>31.478500000000004</v>
      </c>
    </row>
    <row r="110" spans="2:10" x14ac:dyDescent="0.25">
      <c r="B110" s="104">
        <v>106</v>
      </c>
      <c r="C110" s="104" t="s">
        <v>636</v>
      </c>
      <c r="D110" s="104" t="s">
        <v>526</v>
      </c>
      <c r="E110" s="104">
        <v>1</v>
      </c>
      <c r="F110" s="104" t="s">
        <v>527</v>
      </c>
      <c r="G110" s="104">
        <v>40.1</v>
      </c>
      <c r="H110" s="104">
        <f t="shared" si="6"/>
        <v>1.256E-2</v>
      </c>
      <c r="I110" s="104">
        <f t="shared" si="7"/>
        <v>0.50365599999999999</v>
      </c>
      <c r="J110" s="104">
        <f t="shared" si="17"/>
        <v>31.478500000000004</v>
      </c>
    </row>
    <row r="111" spans="2:10" x14ac:dyDescent="0.25">
      <c r="B111" s="104">
        <v>107</v>
      </c>
      <c r="C111" s="104" t="s">
        <v>637</v>
      </c>
      <c r="D111" s="104" t="s">
        <v>526</v>
      </c>
      <c r="E111" s="104">
        <v>1</v>
      </c>
      <c r="F111" s="104" t="s">
        <v>527</v>
      </c>
      <c r="G111" s="104">
        <v>40.1</v>
      </c>
      <c r="H111" s="104">
        <f t="shared" si="6"/>
        <v>1.256E-2</v>
      </c>
      <c r="I111" s="104">
        <f t="shared" si="7"/>
        <v>0.50365599999999999</v>
      </c>
      <c r="J111" s="104">
        <f t="shared" si="17"/>
        <v>31.478500000000004</v>
      </c>
    </row>
    <row r="112" spans="2:10" x14ac:dyDescent="0.25">
      <c r="B112" s="104">
        <v>108</v>
      </c>
      <c r="C112" s="104" t="s">
        <v>638</v>
      </c>
      <c r="D112" s="104" t="s">
        <v>526</v>
      </c>
      <c r="E112" s="104">
        <v>1</v>
      </c>
      <c r="F112" s="104" t="s">
        <v>527</v>
      </c>
      <c r="G112" s="104">
        <v>40.1</v>
      </c>
      <c r="H112" s="104">
        <f t="shared" si="6"/>
        <v>1.256E-2</v>
      </c>
      <c r="I112" s="104">
        <f t="shared" si="7"/>
        <v>0.50365599999999999</v>
      </c>
      <c r="J112" s="104">
        <f t="shared" si="17"/>
        <v>31.478500000000004</v>
      </c>
    </row>
    <row r="113" spans="2:10" x14ac:dyDescent="0.25">
      <c r="B113" s="104">
        <v>109</v>
      </c>
      <c r="C113" s="104" t="s">
        <v>639</v>
      </c>
      <c r="D113" s="104" t="s">
        <v>526</v>
      </c>
      <c r="E113" s="104">
        <v>1</v>
      </c>
      <c r="F113" s="104" t="s">
        <v>527</v>
      </c>
      <c r="G113" s="104">
        <v>40.1</v>
      </c>
      <c r="H113" s="104">
        <f t="shared" si="6"/>
        <v>1.256E-2</v>
      </c>
      <c r="I113" s="104">
        <f t="shared" si="7"/>
        <v>0.50365599999999999</v>
      </c>
      <c r="J113" s="104">
        <f t="shared" si="17"/>
        <v>31.478500000000004</v>
      </c>
    </row>
    <row r="114" spans="2:10" x14ac:dyDescent="0.25">
      <c r="B114" s="104">
        <v>110</v>
      </c>
      <c r="C114" s="104" t="s">
        <v>640</v>
      </c>
      <c r="D114" s="104" t="s">
        <v>526</v>
      </c>
      <c r="E114" s="104">
        <v>1</v>
      </c>
      <c r="F114" s="104" t="s">
        <v>527</v>
      </c>
      <c r="G114" s="104">
        <v>40.1</v>
      </c>
      <c r="H114" s="104">
        <f t="shared" si="6"/>
        <v>1.256E-2</v>
      </c>
      <c r="I114" s="104">
        <f t="shared" si="7"/>
        <v>0.50365599999999999</v>
      </c>
      <c r="J114" s="104">
        <f t="shared" si="17"/>
        <v>31.478500000000004</v>
      </c>
    </row>
    <row r="115" spans="2:10" x14ac:dyDescent="0.25">
      <c r="B115" s="104">
        <v>111</v>
      </c>
      <c r="C115" s="104" t="s">
        <v>641</v>
      </c>
      <c r="D115" s="104" t="s">
        <v>526</v>
      </c>
      <c r="E115" s="104">
        <v>1</v>
      </c>
      <c r="F115" s="104" t="s">
        <v>527</v>
      </c>
      <c r="G115" s="104">
        <v>40.1</v>
      </c>
      <c r="H115" s="104">
        <f t="shared" si="6"/>
        <v>1.256E-2</v>
      </c>
      <c r="I115" s="104">
        <f t="shared" si="7"/>
        <v>0.50365599999999999</v>
      </c>
      <c r="J115" s="104">
        <f t="shared" si="17"/>
        <v>31.478500000000004</v>
      </c>
    </row>
    <row r="116" spans="2:10" x14ac:dyDescent="0.25">
      <c r="B116" s="104">
        <v>112</v>
      </c>
      <c r="C116" s="104" t="s">
        <v>642</v>
      </c>
      <c r="D116" s="104" t="s">
        <v>526</v>
      </c>
      <c r="E116" s="104">
        <v>1</v>
      </c>
      <c r="F116" s="104" t="s">
        <v>527</v>
      </c>
      <c r="G116" s="104">
        <v>40.1</v>
      </c>
      <c r="H116" s="104">
        <f t="shared" si="6"/>
        <v>1.256E-2</v>
      </c>
      <c r="I116" s="104">
        <f t="shared" si="7"/>
        <v>0.50365599999999999</v>
      </c>
      <c r="J116" s="104">
        <f t="shared" si="17"/>
        <v>31.478500000000004</v>
      </c>
    </row>
    <row r="117" spans="2:10" x14ac:dyDescent="0.25">
      <c r="B117" s="104">
        <v>113</v>
      </c>
      <c r="C117" s="104" t="s">
        <v>643</v>
      </c>
      <c r="D117" s="104" t="s">
        <v>568</v>
      </c>
      <c r="E117" s="104">
        <f t="shared" ref="E117:E120" si="18">1*2</f>
        <v>2</v>
      </c>
      <c r="F117" s="104" t="s">
        <v>600</v>
      </c>
      <c r="G117" s="104">
        <f t="shared" ref="G117:G121" si="19">37.1*2</f>
        <v>74.2</v>
      </c>
      <c r="H117" s="104">
        <f t="shared" si="6"/>
        <v>5.024E-2</v>
      </c>
      <c r="I117" s="104">
        <f t="shared" si="7"/>
        <v>3.727808</v>
      </c>
      <c r="J117" s="104">
        <f t="shared" si="17"/>
        <v>232.98800000000003</v>
      </c>
    </row>
    <row r="118" spans="2:10" x14ac:dyDescent="0.25">
      <c r="B118" s="104">
        <v>114</v>
      </c>
      <c r="C118" s="104" t="s">
        <v>644</v>
      </c>
      <c r="D118" s="104" t="s">
        <v>568</v>
      </c>
      <c r="E118" s="104">
        <f t="shared" si="18"/>
        <v>2</v>
      </c>
      <c r="F118" s="104" t="s">
        <v>600</v>
      </c>
      <c r="G118" s="104">
        <f t="shared" si="19"/>
        <v>74.2</v>
      </c>
      <c r="H118" s="104">
        <f t="shared" si="6"/>
        <v>5.024E-2</v>
      </c>
      <c r="I118" s="104">
        <f t="shared" si="7"/>
        <v>3.727808</v>
      </c>
      <c r="J118" s="104">
        <f t="shared" si="17"/>
        <v>232.98800000000003</v>
      </c>
    </row>
    <row r="119" spans="2:10" x14ac:dyDescent="0.25">
      <c r="B119" s="104">
        <v>115</v>
      </c>
      <c r="C119" s="104" t="s">
        <v>645</v>
      </c>
      <c r="D119" s="104" t="s">
        <v>568</v>
      </c>
      <c r="E119" s="104">
        <f t="shared" si="18"/>
        <v>2</v>
      </c>
      <c r="F119" s="104" t="s">
        <v>600</v>
      </c>
      <c r="G119" s="104">
        <f t="shared" si="19"/>
        <v>74.2</v>
      </c>
      <c r="H119" s="104">
        <f t="shared" si="6"/>
        <v>5.024E-2</v>
      </c>
      <c r="I119" s="104">
        <f t="shared" si="7"/>
        <v>3.727808</v>
      </c>
      <c r="J119" s="104">
        <f t="shared" si="17"/>
        <v>232.98800000000003</v>
      </c>
    </row>
    <row r="120" spans="2:10" x14ac:dyDescent="0.25">
      <c r="B120" s="104">
        <v>116</v>
      </c>
      <c r="C120" s="104" t="s">
        <v>646</v>
      </c>
      <c r="D120" s="104" t="s">
        <v>568</v>
      </c>
      <c r="E120" s="104">
        <f t="shared" si="18"/>
        <v>2</v>
      </c>
      <c r="F120" s="104" t="s">
        <v>600</v>
      </c>
      <c r="G120" s="104">
        <f t="shared" si="19"/>
        <v>74.2</v>
      </c>
      <c r="H120" s="104">
        <f t="shared" si="6"/>
        <v>5.024E-2</v>
      </c>
      <c r="I120" s="104">
        <f t="shared" si="7"/>
        <v>3.727808</v>
      </c>
      <c r="J120" s="104">
        <f t="shared" si="17"/>
        <v>232.98800000000003</v>
      </c>
    </row>
    <row r="121" spans="2:10" x14ac:dyDescent="0.25">
      <c r="B121" s="104">
        <v>117</v>
      </c>
      <c r="C121" s="104" t="s">
        <v>647</v>
      </c>
      <c r="D121" s="104" t="s">
        <v>571</v>
      </c>
      <c r="E121" s="104">
        <f t="shared" ref="E121" si="20">0.75*2</f>
        <v>1.5</v>
      </c>
      <c r="F121" s="104" t="s">
        <v>527</v>
      </c>
      <c r="G121" s="104">
        <f t="shared" si="19"/>
        <v>74.2</v>
      </c>
      <c r="H121" s="104">
        <f t="shared" si="6"/>
        <v>2.8260000000000004E-2</v>
      </c>
      <c r="I121" s="104">
        <f t="shared" si="7"/>
        <v>2.0968920000000004</v>
      </c>
      <c r="J121" s="104">
        <f t="shared" si="17"/>
        <v>131.05575000000002</v>
      </c>
    </row>
    <row r="122" spans="2:10" x14ac:dyDescent="0.25">
      <c r="B122" s="104">
        <v>118</v>
      </c>
      <c r="C122" s="104" t="s">
        <v>648</v>
      </c>
      <c r="D122" s="104" t="s">
        <v>565</v>
      </c>
      <c r="E122" s="104">
        <v>0.75</v>
      </c>
      <c r="F122" s="104" t="s">
        <v>527</v>
      </c>
      <c r="G122" s="104">
        <f>37.1</f>
        <v>37.1</v>
      </c>
      <c r="H122" s="104">
        <f t="shared" si="6"/>
        <v>7.065000000000001E-3</v>
      </c>
      <c r="I122" s="104">
        <f t="shared" si="7"/>
        <v>0.26211150000000005</v>
      </c>
      <c r="J122" s="104">
        <f t="shared" si="17"/>
        <v>16.381968750000002</v>
      </c>
    </row>
    <row r="123" spans="2:10" x14ac:dyDescent="0.25">
      <c r="B123" s="104">
        <v>119</v>
      </c>
      <c r="C123" s="104" t="s">
        <v>649</v>
      </c>
      <c r="D123" s="104" t="s">
        <v>565</v>
      </c>
      <c r="E123" s="104">
        <v>0.75</v>
      </c>
      <c r="F123" s="104" t="s">
        <v>527</v>
      </c>
      <c r="G123" s="104">
        <v>37.1</v>
      </c>
      <c r="H123" s="104">
        <f t="shared" si="6"/>
        <v>7.065000000000001E-3</v>
      </c>
      <c r="I123" s="104">
        <f t="shared" si="7"/>
        <v>0.26211150000000005</v>
      </c>
      <c r="J123" s="104">
        <f t="shared" si="17"/>
        <v>16.381968750000002</v>
      </c>
    </row>
    <row r="124" spans="2:10" x14ac:dyDescent="0.25">
      <c r="B124" s="104">
        <v>120</v>
      </c>
      <c r="C124" s="104" t="s">
        <v>650</v>
      </c>
      <c r="D124" s="104" t="s">
        <v>565</v>
      </c>
      <c r="E124" s="104">
        <v>0.75</v>
      </c>
      <c r="F124" s="104" t="s">
        <v>527</v>
      </c>
      <c r="G124" s="104">
        <v>37.1</v>
      </c>
      <c r="H124" s="104">
        <f t="shared" si="6"/>
        <v>7.065000000000001E-3</v>
      </c>
      <c r="I124" s="104">
        <f t="shared" si="7"/>
        <v>0.26211150000000005</v>
      </c>
      <c r="J124" s="104">
        <f t="shared" si="17"/>
        <v>16.381968750000002</v>
      </c>
    </row>
    <row r="125" spans="2:10" x14ac:dyDescent="0.25">
      <c r="B125" s="104">
        <v>121</v>
      </c>
      <c r="C125" s="104" t="s">
        <v>651</v>
      </c>
      <c r="D125" s="104" t="s">
        <v>565</v>
      </c>
      <c r="E125" s="104">
        <v>0.75</v>
      </c>
      <c r="F125" s="104" t="s">
        <v>527</v>
      </c>
      <c r="G125" s="104">
        <v>37.1</v>
      </c>
      <c r="H125" s="104">
        <f t="shared" si="6"/>
        <v>7.065000000000001E-3</v>
      </c>
      <c r="I125" s="104">
        <f t="shared" si="7"/>
        <v>0.26211150000000005</v>
      </c>
      <c r="J125" s="104">
        <f t="shared" si="17"/>
        <v>16.381968750000002</v>
      </c>
    </row>
    <row r="126" spans="2:10" x14ac:dyDescent="0.25">
      <c r="B126" s="104">
        <v>122</v>
      </c>
      <c r="C126" s="104" t="s">
        <v>652</v>
      </c>
      <c r="D126" s="104" t="s">
        <v>565</v>
      </c>
      <c r="E126" s="104">
        <v>0.75</v>
      </c>
      <c r="F126" s="104" t="s">
        <v>527</v>
      </c>
      <c r="G126" s="104">
        <v>37.1</v>
      </c>
      <c r="H126" s="104">
        <f t="shared" si="6"/>
        <v>7.065000000000001E-3</v>
      </c>
      <c r="I126" s="104">
        <f t="shared" si="7"/>
        <v>0.26211150000000005</v>
      </c>
      <c r="J126" s="104">
        <f t="shared" si="17"/>
        <v>16.381968750000002</v>
      </c>
    </row>
    <row r="127" spans="2:10" x14ac:dyDescent="0.25">
      <c r="B127" s="104">
        <v>123</v>
      </c>
      <c r="C127" s="104" t="s">
        <v>653</v>
      </c>
      <c r="D127" s="104" t="s">
        <v>526</v>
      </c>
      <c r="E127" s="104">
        <v>1</v>
      </c>
      <c r="F127" s="104" t="s">
        <v>527</v>
      </c>
      <c r="G127" s="104">
        <v>40.1</v>
      </c>
      <c r="H127" s="104">
        <f t="shared" si="6"/>
        <v>1.256E-2</v>
      </c>
      <c r="I127" s="104">
        <f t="shared" si="7"/>
        <v>0.50365599999999999</v>
      </c>
      <c r="J127" s="104">
        <f t="shared" si="17"/>
        <v>31.478500000000004</v>
      </c>
    </row>
    <row r="128" spans="2:10" x14ac:dyDescent="0.25">
      <c r="B128" s="104">
        <v>124</v>
      </c>
      <c r="C128" s="104" t="s">
        <v>654</v>
      </c>
      <c r="D128" s="104" t="s">
        <v>526</v>
      </c>
      <c r="E128" s="104">
        <v>1</v>
      </c>
      <c r="F128" s="104" t="s">
        <v>527</v>
      </c>
      <c r="G128" s="104">
        <v>40.1</v>
      </c>
      <c r="H128" s="104">
        <f t="shared" si="6"/>
        <v>1.256E-2</v>
      </c>
      <c r="I128" s="104">
        <f t="shared" si="7"/>
        <v>0.50365599999999999</v>
      </c>
      <c r="J128" s="104">
        <f t="shared" si="17"/>
        <v>31.478500000000004</v>
      </c>
    </row>
    <row r="129" spans="2:10" x14ac:dyDescent="0.25">
      <c r="B129" s="104">
        <v>125</v>
      </c>
      <c r="C129" s="104" t="s">
        <v>655</v>
      </c>
      <c r="D129" s="104" t="s">
        <v>526</v>
      </c>
      <c r="E129" s="104">
        <v>1</v>
      </c>
      <c r="F129" s="104" t="s">
        <v>527</v>
      </c>
      <c r="G129" s="104">
        <v>40.1</v>
      </c>
      <c r="H129" s="104">
        <f t="shared" si="6"/>
        <v>1.256E-2</v>
      </c>
      <c r="I129" s="104">
        <f t="shared" si="7"/>
        <v>0.50365599999999999</v>
      </c>
      <c r="J129" s="104">
        <f t="shared" si="17"/>
        <v>31.478500000000004</v>
      </c>
    </row>
    <row r="130" spans="2:10" x14ac:dyDescent="0.25">
      <c r="B130" s="104">
        <v>126</v>
      </c>
      <c r="C130" s="104" t="s">
        <v>656</v>
      </c>
      <c r="D130" s="104" t="s">
        <v>526</v>
      </c>
      <c r="E130" s="104">
        <v>1</v>
      </c>
      <c r="F130" s="104" t="s">
        <v>527</v>
      </c>
      <c r="G130" s="104">
        <v>40.1</v>
      </c>
      <c r="H130" s="104">
        <f t="shared" si="6"/>
        <v>1.256E-2</v>
      </c>
      <c r="I130" s="104">
        <f t="shared" si="7"/>
        <v>0.50365599999999999</v>
      </c>
      <c r="J130" s="104">
        <f t="shared" si="17"/>
        <v>31.478500000000004</v>
      </c>
    </row>
    <row r="131" spans="2:10" x14ac:dyDescent="0.25">
      <c r="B131" s="104">
        <v>127</v>
      </c>
      <c r="C131" s="104" t="s">
        <v>657</v>
      </c>
      <c r="D131" s="104" t="s">
        <v>526</v>
      </c>
      <c r="E131" s="104">
        <v>1</v>
      </c>
      <c r="F131" s="104" t="s">
        <v>527</v>
      </c>
      <c r="G131" s="104">
        <v>40.1</v>
      </c>
      <c r="H131" s="104">
        <f t="shared" si="6"/>
        <v>1.256E-2</v>
      </c>
      <c r="I131" s="104">
        <f t="shared" si="7"/>
        <v>0.50365599999999999</v>
      </c>
      <c r="J131" s="104">
        <f t="shared" si="17"/>
        <v>31.478500000000004</v>
      </c>
    </row>
    <row r="132" spans="2:10" x14ac:dyDescent="0.25">
      <c r="B132" s="104">
        <v>128</v>
      </c>
      <c r="C132" s="104" t="s">
        <v>658</v>
      </c>
      <c r="D132" s="104" t="s">
        <v>526</v>
      </c>
      <c r="E132" s="104">
        <v>1</v>
      </c>
      <c r="F132" s="104" t="s">
        <v>527</v>
      </c>
      <c r="G132" s="104">
        <v>40.1</v>
      </c>
      <c r="H132" s="104">
        <f t="shared" si="6"/>
        <v>1.256E-2</v>
      </c>
      <c r="I132" s="104">
        <f t="shared" si="7"/>
        <v>0.50365599999999999</v>
      </c>
      <c r="J132" s="104">
        <f t="shared" si="17"/>
        <v>31.478500000000004</v>
      </c>
    </row>
    <row r="133" spans="2:10" x14ac:dyDescent="0.25">
      <c r="B133" s="104">
        <v>129</v>
      </c>
      <c r="C133" s="104" t="s">
        <v>659</v>
      </c>
      <c r="D133" s="104" t="s">
        <v>526</v>
      </c>
      <c r="E133" s="104">
        <v>1</v>
      </c>
      <c r="F133" s="104" t="s">
        <v>527</v>
      </c>
      <c r="G133" s="104">
        <v>40.1</v>
      </c>
      <c r="H133" s="104">
        <f t="shared" si="6"/>
        <v>1.256E-2</v>
      </c>
      <c r="I133" s="104">
        <f t="shared" si="7"/>
        <v>0.50365599999999999</v>
      </c>
      <c r="J133" s="104">
        <f t="shared" si="17"/>
        <v>31.478500000000004</v>
      </c>
    </row>
    <row r="134" spans="2:10" x14ac:dyDescent="0.25">
      <c r="B134" s="104">
        <v>130</v>
      </c>
      <c r="C134" s="104" t="s">
        <v>660</v>
      </c>
      <c r="D134" s="104" t="s">
        <v>526</v>
      </c>
      <c r="E134" s="104">
        <v>1</v>
      </c>
      <c r="F134" s="104" t="s">
        <v>527</v>
      </c>
      <c r="G134" s="104">
        <v>40.1</v>
      </c>
      <c r="H134" s="104">
        <f t="shared" ref="H134:H197" si="21">3.14*((E134/2)^2)*1.6%</f>
        <v>1.256E-2</v>
      </c>
      <c r="I134" s="104">
        <f t="shared" ref="I134:I197" si="22">H134*G134</f>
        <v>0.50365599999999999</v>
      </c>
      <c r="J134" s="104">
        <f t="shared" si="17"/>
        <v>31.478500000000004</v>
      </c>
    </row>
    <row r="135" spans="2:10" x14ac:dyDescent="0.25">
      <c r="B135" s="104">
        <v>131</v>
      </c>
      <c r="C135" s="104" t="s">
        <v>661</v>
      </c>
      <c r="D135" s="104" t="s">
        <v>526</v>
      </c>
      <c r="E135" s="104">
        <v>1</v>
      </c>
      <c r="F135" s="104" t="s">
        <v>527</v>
      </c>
      <c r="G135" s="104">
        <v>40.1</v>
      </c>
      <c r="H135" s="104">
        <f t="shared" si="21"/>
        <v>1.256E-2</v>
      </c>
      <c r="I135" s="104">
        <f t="shared" si="22"/>
        <v>0.50365599999999999</v>
      </c>
      <c r="J135" s="104">
        <f t="shared" si="17"/>
        <v>31.478500000000004</v>
      </c>
    </row>
    <row r="136" spans="2:10" x14ac:dyDescent="0.25">
      <c r="B136" s="104">
        <v>132</v>
      </c>
      <c r="C136" s="104" t="s">
        <v>662</v>
      </c>
      <c r="D136" s="104" t="s">
        <v>526</v>
      </c>
      <c r="E136" s="104">
        <v>1</v>
      </c>
      <c r="F136" s="104" t="s">
        <v>527</v>
      </c>
      <c r="G136" s="104">
        <v>40.1</v>
      </c>
      <c r="H136" s="104">
        <f t="shared" si="21"/>
        <v>1.256E-2</v>
      </c>
      <c r="I136" s="104">
        <f t="shared" si="22"/>
        <v>0.50365599999999999</v>
      </c>
      <c r="J136" s="104">
        <f t="shared" si="17"/>
        <v>31.478500000000004</v>
      </c>
    </row>
    <row r="137" spans="2:10" x14ac:dyDescent="0.25">
      <c r="B137" s="104">
        <v>133</v>
      </c>
      <c r="C137" s="104" t="s">
        <v>663</v>
      </c>
      <c r="D137" s="104" t="s">
        <v>568</v>
      </c>
      <c r="E137" s="104">
        <f t="shared" ref="E137:E140" si="23">1*2</f>
        <v>2</v>
      </c>
      <c r="F137" s="104" t="s">
        <v>600</v>
      </c>
      <c r="G137" s="104">
        <f t="shared" ref="G137:G141" si="24">37.1*2</f>
        <v>74.2</v>
      </c>
      <c r="H137" s="104">
        <f t="shared" si="21"/>
        <v>5.024E-2</v>
      </c>
      <c r="I137" s="104">
        <f t="shared" si="22"/>
        <v>3.727808</v>
      </c>
      <c r="J137" s="104">
        <f t="shared" si="17"/>
        <v>232.98800000000003</v>
      </c>
    </row>
    <row r="138" spans="2:10" x14ac:dyDescent="0.25">
      <c r="B138" s="104">
        <v>134</v>
      </c>
      <c r="C138" s="104" t="s">
        <v>664</v>
      </c>
      <c r="D138" s="104" t="s">
        <v>568</v>
      </c>
      <c r="E138" s="104">
        <f t="shared" si="23"/>
        <v>2</v>
      </c>
      <c r="F138" s="104" t="s">
        <v>600</v>
      </c>
      <c r="G138" s="104">
        <f t="shared" si="24"/>
        <v>74.2</v>
      </c>
      <c r="H138" s="104">
        <f t="shared" si="21"/>
        <v>5.024E-2</v>
      </c>
      <c r="I138" s="104">
        <f t="shared" si="22"/>
        <v>3.727808</v>
      </c>
      <c r="J138" s="104">
        <f t="shared" si="17"/>
        <v>232.98800000000003</v>
      </c>
    </row>
    <row r="139" spans="2:10" x14ac:dyDescent="0.25">
      <c r="B139" s="104">
        <v>135</v>
      </c>
      <c r="C139" s="104" t="s">
        <v>665</v>
      </c>
      <c r="D139" s="104" t="s">
        <v>568</v>
      </c>
      <c r="E139" s="104">
        <f t="shared" si="23"/>
        <v>2</v>
      </c>
      <c r="F139" s="104" t="s">
        <v>600</v>
      </c>
      <c r="G139" s="104">
        <f t="shared" si="24"/>
        <v>74.2</v>
      </c>
      <c r="H139" s="104">
        <f t="shared" si="21"/>
        <v>5.024E-2</v>
      </c>
      <c r="I139" s="104">
        <f t="shared" si="22"/>
        <v>3.727808</v>
      </c>
      <c r="J139" s="104">
        <f t="shared" si="17"/>
        <v>232.98800000000003</v>
      </c>
    </row>
    <row r="140" spans="2:10" x14ac:dyDescent="0.25">
      <c r="B140" s="104">
        <v>136</v>
      </c>
      <c r="C140" s="104" t="s">
        <v>666</v>
      </c>
      <c r="D140" s="104" t="s">
        <v>568</v>
      </c>
      <c r="E140" s="104">
        <f t="shared" si="23"/>
        <v>2</v>
      </c>
      <c r="F140" s="104" t="s">
        <v>600</v>
      </c>
      <c r="G140" s="104">
        <f t="shared" si="24"/>
        <v>74.2</v>
      </c>
      <c r="H140" s="104">
        <f t="shared" si="21"/>
        <v>5.024E-2</v>
      </c>
      <c r="I140" s="104">
        <f t="shared" si="22"/>
        <v>3.727808</v>
      </c>
      <c r="J140" s="104">
        <f t="shared" si="17"/>
        <v>232.98800000000003</v>
      </c>
    </row>
    <row r="141" spans="2:10" x14ac:dyDescent="0.25">
      <c r="B141" s="104">
        <v>137</v>
      </c>
      <c r="C141" s="104" t="s">
        <v>667</v>
      </c>
      <c r="D141" s="104" t="s">
        <v>571</v>
      </c>
      <c r="E141" s="104">
        <f t="shared" ref="E141" si="25">0.75*2</f>
        <v>1.5</v>
      </c>
      <c r="F141" s="104" t="s">
        <v>527</v>
      </c>
      <c r="G141" s="104">
        <f t="shared" si="24"/>
        <v>74.2</v>
      </c>
      <c r="H141" s="104">
        <f t="shared" si="21"/>
        <v>2.8260000000000004E-2</v>
      </c>
      <c r="I141" s="104">
        <f t="shared" si="22"/>
        <v>2.0968920000000004</v>
      </c>
      <c r="J141" s="104">
        <f t="shared" si="17"/>
        <v>131.05575000000002</v>
      </c>
    </row>
    <row r="142" spans="2:10" x14ac:dyDescent="0.25">
      <c r="B142" s="104">
        <v>138</v>
      </c>
      <c r="C142" s="104" t="s">
        <v>668</v>
      </c>
      <c r="D142" s="104" t="s">
        <v>565</v>
      </c>
      <c r="E142" s="104">
        <v>0.75</v>
      </c>
      <c r="F142" s="104" t="s">
        <v>527</v>
      </c>
      <c r="G142" s="104">
        <v>37.1</v>
      </c>
      <c r="H142" s="104">
        <f t="shared" si="21"/>
        <v>7.065000000000001E-3</v>
      </c>
      <c r="I142" s="104">
        <f t="shared" si="22"/>
        <v>0.26211150000000005</v>
      </c>
      <c r="J142" s="104">
        <f t="shared" si="17"/>
        <v>16.381968750000002</v>
      </c>
    </row>
    <row r="143" spans="2:10" x14ac:dyDescent="0.25">
      <c r="B143" s="104">
        <v>139</v>
      </c>
      <c r="C143" s="104" t="s">
        <v>669</v>
      </c>
      <c r="D143" s="104" t="s">
        <v>526</v>
      </c>
      <c r="E143" s="104">
        <v>1</v>
      </c>
      <c r="F143" s="104" t="s">
        <v>527</v>
      </c>
      <c r="G143" s="104">
        <v>40.1</v>
      </c>
      <c r="H143" s="104">
        <f t="shared" si="21"/>
        <v>1.256E-2</v>
      </c>
      <c r="I143" s="104">
        <f t="shared" si="22"/>
        <v>0.50365599999999999</v>
      </c>
      <c r="J143" s="104">
        <f t="shared" si="17"/>
        <v>31.478500000000004</v>
      </c>
    </row>
    <row r="144" spans="2:10" x14ac:dyDescent="0.25">
      <c r="B144" s="104">
        <v>140</v>
      </c>
      <c r="C144" s="104" t="s">
        <v>670</v>
      </c>
      <c r="D144" s="104" t="s">
        <v>526</v>
      </c>
      <c r="E144" s="104">
        <v>1</v>
      </c>
      <c r="F144" s="104" t="s">
        <v>527</v>
      </c>
      <c r="G144" s="104">
        <v>40.1</v>
      </c>
      <c r="H144" s="104">
        <f t="shared" si="21"/>
        <v>1.256E-2</v>
      </c>
      <c r="I144" s="104">
        <f t="shared" si="22"/>
        <v>0.50365599999999999</v>
      </c>
      <c r="J144" s="104">
        <f t="shared" si="17"/>
        <v>31.478500000000004</v>
      </c>
    </row>
    <row r="145" spans="2:10" x14ac:dyDescent="0.25">
      <c r="B145" s="104">
        <v>141</v>
      </c>
      <c r="C145" s="104" t="s">
        <v>671</v>
      </c>
      <c r="D145" s="104" t="s">
        <v>526</v>
      </c>
      <c r="E145" s="104">
        <v>1</v>
      </c>
      <c r="F145" s="104" t="s">
        <v>527</v>
      </c>
      <c r="G145" s="104">
        <v>40.1</v>
      </c>
      <c r="H145" s="104">
        <f t="shared" si="21"/>
        <v>1.256E-2</v>
      </c>
      <c r="I145" s="104">
        <f t="shared" si="22"/>
        <v>0.50365599999999999</v>
      </c>
      <c r="J145" s="104">
        <f t="shared" si="17"/>
        <v>31.478500000000004</v>
      </c>
    </row>
    <row r="146" spans="2:10" x14ac:dyDescent="0.25">
      <c r="B146" s="104">
        <v>142</v>
      </c>
      <c r="C146" s="104" t="s">
        <v>672</v>
      </c>
      <c r="D146" s="104" t="s">
        <v>526</v>
      </c>
      <c r="E146" s="104">
        <v>1</v>
      </c>
      <c r="F146" s="104" t="s">
        <v>527</v>
      </c>
      <c r="G146" s="104">
        <v>40.1</v>
      </c>
      <c r="H146" s="104">
        <f t="shared" si="21"/>
        <v>1.256E-2</v>
      </c>
      <c r="I146" s="104">
        <f t="shared" si="22"/>
        <v>0.50365599999999999</v>
      </c>
      <c r="J146" s="104">
        <f t="shared" si="17"/>
        <v>31.478500000000004</v>
      </c>
    </row>
    <row r="147" spans="2:10" x14ac:dyDescent="0.25">
      <c r="B147" s="104">
        <v>143</v>
      </c>
      <c r="C147" s="104" t="s">
        <v>673</v>
      </c>
      <c r="D147" s="104" t="s">
        <v>526</v>
      </c>
      <c r="E147" s="104">
        <v>1</v>
      </c>
      <c r="F147" s="104" t="s">
        <v>527</v>
      </c>
      <c r="G147" s="104">
        <v>40.1</v>
      </c>
      <c r="H147" s="104">
        <f t="shared" si="21"/>
        <v>1.256E-2</v>
      </c>
      <c r="I147" s="104">
        <f t="shared" si="22"/>
        <v>0.50365599999999999</v>
      </c>
      <c r="J147" s="104">
        <f t="shared" si="17"/>
        <v>31.478500000000004</v>
      </c>
    </row>
    <row r="148" spans="2:10" x14ac:dyDescent="0.25">
      <c r="B148" s="104">
        <v>144</v>
      </c>
      <c r="C148" s="104" t="s">
        <v>674</v>
      </c>
      <c r="D148" s="104" t="s">
        <v>571</v>
      </c>
      <c r="E148" s="104">
        <f t="shared" ref="E148:E194" si="26">0.75*2</f>
        <v>1.5</v>
      </c>
      <c r="F148" s="104" t="s">
        <v>527</v>
      </c>
      <c r="G148" s="104">
        <f t="shared" ref="G148:G199" si="27">37.1*2</f>
        <v>74.2</v>
      </c>
      <c r="H148" s="104">
        <f t="shared" si="21"/>
        <v>2.8260000000000004E-2</v>
      </c>
      <c r="I148" s="104">
        <f t="shared" si="22"/>
        <v>2.0968920000000004</v>
      </c>
      <c r="J148" s="104">
        <f t="shared" si="17"/>
        <v>131.05575000000002</v>
      </c>
    </row>
    <row r="149" spans="2:10" x14ac:dyDescent="0.25">
      <c r="B149" s="104">
        <v>145</v>
      </c>
      <c r="C149" s="104" t="s">
        <v>675</v>
      </c>
      <c r="D149" s="104" t="s">
        <v>571</v>
      </c>
      <c r="E149" s="104">
        <f t="shared" si="26"/>
        <v>1.5</v>
      </c>
      <c r="F149" s="104" t="s">
        <v>527</v>
      </c>
      <c r="G149" s="104">
        <f t="shared" si="27"/>
        <v>74.2</v>
      </c>
      <c r="H149" s="104">
        <f t="shared" si="21"/>
        <v>2.8260000000000004E-2</v>
      </c>
      <c r="I149" s="104">
        <f t="shared" si="22"/>
        <v>2.0968920000000004</v>
      </c>
      <c r="J149" s="104">
        <f t="shared" si="17"/>
        <v>131.05575000000002</v>
      </c>
    </row>
    <row r="150" spans="2:10" x14ac:dyDescent="0.25">
      <c r="B150" s="104">
        <v>146</v>
      </c>
      <c r="C150" s="104" t="s">
        <v>676</v>
      </c>
      <c r="D150" s="104" t="s">
        <v>571</v>
      </c>
      <c r="E150" s="104">
        <f t="shared" si="26"/>
        <v>1.5</v>
      </c>
      <c r="F150" s="104" t="s">
        <v>527</v>
      </c>
      <c r="G150" s="104">
        <f t="shared" si="27"/>
        <v>74.2</v>
      </c>
      <c r="H150" s="104">
        <f t="shared" si="21"/>
        <v>2.8260000000000004E-2</v>
      </c>
      <c r="I150" s="104">
        <f t="shared" si="22"/>
        <v>2.0968920000000004</v>
      </c>
      <c r="J150" s="104">
        <f t="shared" si="17"/>
        <v>131.05575000000002</v>
      </c>
    </row>
    <row r="151" spans="2:10" x14ac:dyDescent="0.25">
      <c r="B151" s="104">
        <v>147</v>
      </c>
      <c r="C151" s="104" t="s">
        <v>677</v>
      </c>
      <c r="D151" s="104" t="s">
        <v>571</v>
      </c>
      <c r="E151" s="104">
        <f t="shared" si="26"/>
        <v>1.5</v>
      </c>
      <c r="F151" s="104" t="s">
        <v>527</v>
      </c>
      <c r="G151" s="104">
        <f t="shared" si="27"/>
        <v>74.2</v>
      </c>
      <c r="H151" s="104">
        <f t="shared" si="21"/>
        <v>2.8260000000000004E-2</v>
      </c>
      <c r="I151" s="104">
        <f t="shared" si="22"/>
        <v>2.0968920000000004</v>
      </c>
      <c r="J151" s="104">
        <f t="shared" si="17"/>
        <v>131.05575000000002</v>
      </c>
    </row>
    <row r="152" spans="2:10" x14ac:dyDescent="0.25">
      <c r="B152" s="104">
        <v>148</v>
      </c>
      <c r="C152" s="104" t="s">
        <v>678</v>
      </c>
      <c r="D152" s="104" t="s">
        <v>571</v>
      </c>
      <c r="E152" s="104">
        <f t="shared" si="26"/>
        <v>1.5</v>
      </c>
      <c r="F152" s="104" t="s">
        <v>527</v>
      </c>
      <c r="G152" s="104">
        <f t="shared" si="27"/>
        <v>74.2</v>
      </c>
      <c r="H152" s="104">
        <f t="shared" si="21"/>
        <v>2.8260000000000004E-2</v>
      </c>
      <c r="I152" s="104">
        <f t="shared" si="22"/>
        <v>2.0968920000000004</v>
      </c>
      <c r="J152" s="104">
        <f t="shared" si="17"/>
        <v>131.05575000000002</v>
      </c>
    </row>
    <row r="153" spans="2:10" x14ac:dyDescent="0.25">
      <c r="B153" s="104">
        <v>149</v>
      </c>
      <c r="C153" s="104" t="s">
        <v>679</v>
      </c>
      <c r="D153" s="104" t="s">
        <v>571</v>
      </c>
      <c r="E153" s="104">
        <f t="shared" si="26"/>
        <v>1.5</v>
      </c>
      <c r="F153" s="104" t="s">
        <v>527</v>
      </c>
      <c r="G153" s="104">
        <f t="shared" si="27"/>
        <v>74.2</v>
      </c>
      <c r="H153" s="104">
        <f t="shared" si="21"/>
        <v>2.8260000000000004E-2</v>
      </c>
      <c r="I153" s="104">
        <f t="shared" si="22"/>
        <v>2.0968920000000004</v>
      </c>
      <c r="J153" s="104">
        <f t="shared" si="17"/>
        <v>131.05575000000002</v>
      </c>
    </row>
    <row r="154" spans="2:10" x14ac:dyDescent="0.25">
      <c r="B154" s="104">
        <v>150</v>
      </c>
      <c r="C154" s="104" t="s">
        <v>680</v>
      </c>
      <c r="D154" s="104" t="s">
        <v>571</v>
      </c>
      <c r="E154" s="104">
        <f t="shared" si="26"/>
        <v>1.5</v>
      </c>
      <c r="F154" s="104" t="s">
        <v>527</v>
      </c>
      <c r="G154" s="104">
        <f t="shared" si="27"/>
        <v>74.2</v>
      </c>
      <c r="H154" s="104">
        <f t="shared" si="21"/>
        <v>2.8260000000000004E-2</v>
      </c>
      <c r="I154" s="104">
        <f t="shared" si="22"/>
        <v>2.0968920000000004</v>
      </c>
      <c r="J154" s="104">
        <f t="shared" si="17"/>
        <v>131.05575000000002</v>
      </c>
    </row>
    <row r="155" spans="2:10" x14ac:dyDescent="0.25">
      <c r="B155" s="104">
        <v>151</v>
      </c>
      <c r="C155" s="104" t="s">
        <v>681</v>
      </c>
      <c r="D155" s="104" t="s">
        <v>571</v>
      </c>
      <c r="E155" s="104">
        <f t="shared" si="26"/>
        <v>1.5</v>
      </c>
      <c r="F155" s="104" t="s">
        <v>527</v>
      </c>
      <c r="G155" s="104">
        <f t="shared" si="27"/>
        <v>74.2</v>
      </c>
      <c r="H155" s="104">
        <f t="shared" si="21"/>
        <v>2.8260000000000004E-2</v>
      </c>
      <c r="I155" s="104">
        <f t="shared" si="22"/>
        <v>2.0968920000000004</v>
      </c>
      <c r="J155" s="104">
        <f t="shared" si="17"/>
        <v>131.05575000000002</v>
      </c>
    </row>
    <row r="156" spans="2:10" x14ac:dyDescent="0.25">
      <c r="B156" s="104">
        <v>152</v>
      </c>
      <c r="C156" s="104" t="s">
        <v>682</v>
      </c>
      <c r="D156" s="104" t="s">
        <v>571</v>
      </c>
      <c r="E156" s="104">
        <f t="shared" si="26"/>
        <v>1.5</v>
      </c>
      <c r="F156" s="104" t="s">
        <v>527</v>
      </c>
      <c r="G156" s="104">
        <f t="shared" si="27"/>
        <v>74.2</v>
      </c>
      <c r="H156" s="104">
        <f t="shared" si="21"/>
        <v>2.8260000000000004E-2</v>
      </c>
      <c r="I156" s="104">
        <f t="shared" si="22"/>
        <v>2.0968920000000004</v>
      </c>
      <c r="J156" s="104">
        <f t="shared" si="17"/>
        <v>131.05575000000002</v>
      </c>
    </row>
    <row r="157" spans="2:10" x14ac:dyDescent="0.25">
      <c r="B157" s="104">
        <v>153</v>
      </c>
      <c r="C157" s="104" t="s">
        <v>683</v>
      </c>
      <c r="D157" s="104" t="s">
        <v>571</v>
      </c>
      <c r="E157" s="104">
        <f t="shared" si="26"/>
        <v>1.5</v>
      </c>
      <c r="F157" s="104" t="s">
        <v>527</v>
      </c>
      <c r="G157" s="104">
        <f t="shared" si="27"/>
        <v>74.2</v>
      </c>
      <c r="H157" s="104">
        <f t="shared" si="21"/>
        <v>2.8260000000000004E-2</v>
      </c>
      <c r="I157" s="104">
        <f t="shared" si="22"/>
        <v>2.0968920000000004</v>
      </c>
      <c r="J157" s="104">
        <f t="shared" si="17"/>
        <v>131.05575000000002</v>
      </c>
    </row>
    <row r="158" spans="2:10" x14ac:dyDescent="0.25">
      <c r="B158" s="104">
        <v>154</v>
      </c>
      <c r="C158" s="104" t="s">
        <v>684</v>
      </c>
      <c r="D158" s="104" t="s">
        <v>568</v>
      </c>
      <c r="E158" s="104">
        <f t="shared" ref="E158:E161" si="28">1*2</f>
        <v>2</v>
      </c>
      <c r="F158" s="104" t="s">
        <v>600</v>
      </c>
      <c r="G158" s="104">
        <f t="shared" si="27"/>
        <v>74.2</v>
      </c>
      <c r="H158" s="104">
        <f t="shared" si="21"/>
        <v>5.024E-2</v>
      </c>
      <c r="I158" s="104">
        <f t="shared" si="22"/>
        <v>3.727808</v>
      </c>
      <c r="J158" s="104">
        <f t="shared" si="17"/>
        <v>232.98800000000003</v>
      </c>
    </row>
    <row r="159" spans="2:10" x14ac:dyDescent="0.25">
      <c r="B159" s="104">
        <v>155</v>
      </c>
      <c r="C159" s="104" t="s">
        <v>685</v>
      </c>
      <c r="D159" s="104" t="s">
        <v>568</v>
      </c>
      <c r="E159" s="104">
        <f t="shared" si="28"/>
        <v>2</v>
      </c>
      <c r="F159" s="104" t="s">
        <v>600</v>
      </c>
      <c r="G159" s="104">
        <f t="shared" si="27"/>
        <v>74.2</v>
      </c>
      <c r="H159" s="104">
        <f t="shared" si="21"/>
        <v>5.024E-2</v>
      </c>
      <c r="I159" s="104">
        <f t="shared" si="22"/>
        <v>3.727808</v>
      </c>
      <c r="J159" s="104">
        <f t="shared" si="17"/>
        <v>232.98800000000003</v>
      </c>
    </row>
    <row r="160" spans="2:10" x14ac:dyDescent="0.25">
      <c r="B160" s="104">
        <v>156</v>
      </c>
      <c r="C160" s="104" t="s">
        <v>686</v>
      </c>
      <c r="D160" s="104" t="s">
        <v>568</v>
      </c>
      <c r="E160" s="104">
        <f t="shared" si="28"/>
        <v>2</v>
      </c>
      <c r="F160" s="104" t="s">
        <v>600</v>
      </c>
      <c r="G160" s="104">
        <f t="shared" si="27"/>
        <v>74.2</v>
      </c>
      <c r="H160" s="104">
        <f t="shared" si="21"/>
        <v>5.024E-2</v>
      </c>
      <c r="I160" s="104">
        <f t="shared" si="22"/>
        <v>3.727808</v>
      </c>
      <c r="J160" s="104">
        <f t="shared" si="17"/>
        <v>232.98800000000003</v>
      </c>
    </row>
    <row r="161" spans="2:10" x14ac:dyDescent="0.25">
      <c r="B161" s="104">
        <v>157</v>
      </c>
      <c r="C161" s="104" t="s">
        <v>687</v>
      </c>
      <c r="D161" s="104" t="s">
        <v>568</v>
      </c>
      <c r="E161" s="104">
        <f t="shared" si="28"/>
        <v>2</v>
      </c>
      <c r="F161" s="104" t="s">
        <v>600</v>
      </c>
      <c r="G161" s="104">
        <f t="shared" si="27"/>
        <v>74.2</v>
      </c>
      <c r="H161" s="104">
        <f t="shared" si="21"/>
        <v>5.024E-2</v>
      </c>
      <c r="I161" s="104">
        <f t="shared" si="22"/>
        <v>3.727808</v>
      </c>
      <c r="J161" s="104">
        <f t="shared" si="17"/>
        <v>232.98800000000003</v>
      </c>
    </row>
    <row r="162" spans="2:10" x14ac:dyDescent="0.25">
      <c r="B162" s="104">
        <v>158</v>
      </c>
      <c r="C162" s="104" t="s">
        <v>688</v>
      </c>
      <c r="D162" s="104" t="s">
        <v>571</v>
      </c>
      <c r="E162" s="104">
        <f t="shared" ref="E162" si="29">0.75*2</f>
        <v>1.5</v>
      </c>
      <c r="F162" s="104" t="s">
        <v>527</v>
      </c>
      <c r="G162" s="104">
        <f t="shared" si="27"/>
        <v>74.2</v>
      </c>
      <c r="H162" s="104">
        <f t="shared" si="21"/>
        <v>2.8260000000000004E-2</v>
      </c>
      <c r="I162" s="104">
        <f t="shared" si="22"/>
        <v>2.0968920000000004</v>
      </c>
      <c r="J162" s="104">
        <f t="shared" si="17"/>
        <v>131.05575000000002</v>
      </c>
    </row>
    <row r="163" spans="2:10" x14ac:dyDescent="0.25">
      <c r="B163" s="104">
        <v>159</v>
      </c>
      <c r="C163" s="104" t="s">
        <v>689</v>
      </c>
      <c r="D163" s="104" t="s">
        <v>565</v>
      </c>
      <c r="E163" s="104">
        <v>0.75</v>
      </c>
      <c r="F163" s="104" t="s">
        <v>527</v>
      </c>
      <c r="G163" s="104">
        <v>37.1</v>
      </c>
      <c r="H163" s="104">
        <f t="shared" si="21"/>
        <v>7.065000000000001E-3</v>
      </c>
      <c r="I163" s="104">
        <f t="shared" si="22"/>
        <v>0.26211150000000005</v>
      </c>
      <c r="J163" s="104">
        <f t="shared" si="17"/>
        <v>16.381968750000002</v>
      </c>
    </row>
    <row r="164" spans="2:10" x14ac:dyDescent="0.25">
      <c r="B164" s="104">
        <v>160</v>
      </c>
      <c r="C164" s="104" t="s">
        <v>690</v>
      </c>
      <c r="D164" s="104" t="s">
        <v>571</v>
      </c>
      <c r="E164" s="104">
        <f t="shared" si="26"/>
        <v>1.5</v>
      </c>
      <c r="F164" s="104" t="s">
        <v>527</v>
      </c>
      <c r="G164" s="104">
        <f t="shared" si="27"/>
        <v>74.2</v>
      </c>
      <c r="H164" s="104">
        <f t="shared" si="21"/>
        <v>2.8260000000000004E-2</v>
      </c>
      <c r="I164" s="104">
        <f t="shared" si="22"/>
        <v>2.0968920000000004</v>
      </c>
      <c r="J164" s="104">
        <f t="shared" si="17"/>
        <v>131.05575000000002</v>
      </c>
    </row>
    <row r="165" spans="2:10" x14ac:dyDescent="0.25">
      <c r="B165" s="104">
        <v>161</v>
      </c>
      <c r="C165" s="104" t="s">
        <v>691</v>
      </c>
      <c r="D165" s="104" t="s">
        <v>571</v>
      </c>
      <c r="E165" s="104">
        <f t="shared" si="26"/>
        <v>1.5</v>
      </c>
      <c r="F165" s="104" t="s">
        <v>527</v>
      </c>
      <c r="G165" s="104">
        <f t="shared" si="27"/>
        <v>74.2</v>
      </c>
      <c r="H165" s="104">
        <f t="shared" si="21"/>
        <v>2.8260000000000004E-2</v>
      </c>
      <c r="I165" s="104">
        <f t="shared" si="22"/>
        <v>2.0968920000000004</v>
      </c>
      <c r="J165" s="104">
        <f t="shared" si="17"/>
        <v>131.05575000000002</v>
      </c>
    </row>
    <row r="166" spans="2:10" x14ac:dyDescent="0.25">
      <c r="B166" s="104">
        <v>162</v>
      </c>
      <c r="C166" s="104" t="s">
        <v>692</v>
      </c>
      <c r="D166" s="104" t="s">
        <v>571</v>
      </c>
      <c r="E166" s="104">
        <f t="shared" si="26"/>
        <v>1.5</v>
      </c>
      <c r="F166" s="104" t="s">
        <v>527</v>
      </c>
      <c r="G166" s="104">
        <f t="shared" si="27"/>
        <v>74.2</v>
      </c>
      <c r="H166" s="104">
        <f t="shared" si="21"/>
        <v>2.8260000000000004E-2</v>
      </c>
      <c r="I166" s="104">
        <f t="shared" si="22"/>
        <v>2.0968920000000004</v>
      </c>
      <c r="J166" s="104">
        <f t="shared" si="17"/>
        <v>131.05575000000002</v>
      </c>
    </row>
    <row r="167" spans="2:10" x14ac:dyDescent="0.25">
      <c r="B167" s="104">
        <v>163</v>
      </c>
      <c r="C167" s="104" t="s">
        <v>693</v>
      </c>
      <c r="D167" s="104" t="s">
        <v>571</v>
      </c>
      <c r="E167" s="104">
        <f t="shared" si="26"/>
        <v>1.5</v>
      </c>
      <c r="F167" s="104" t="s">
        <v>527</v>
      </c>
      <c r="G167" s="104">
        <f t="shared" si="27"/>
        <v>74.2</v>
      </c>
      <c r="H167" s="104">
        <f t="shared" si="21"/>
        <v>2.8260000000000004E-2</v>
      </c>
      <c r="I167" s="104">
        <f t="shared" si="22"/>
        <v>2.0968920000000004</v>
      </c>
      <c r="J167" s="104">
        <f t="shared" ref="J167:J230" si="30">3.14*((E167/2)^2)*G167</f>
        <v>131.05575000000002</v>
      </c>
    </row>
    <row r="168" spans="2:10" x14ac:dyDescent="0.25">
      <c r="B168" s="104">
        <v>164</v>
      </c>
      <c r="C168" s="104" t="s">
        <v>694</v>
      </c>
      <c r="D168" s="104" t="s">
        <v>571</v>
      </c>
      <c r="E168" s="104">
        <f t="shared" si="26"/>
        <v>1.5</v>
      </c>
      <c r="F168" s="104" t="s">
        <v>527</v>
      </c>
      <c r="G168" s="104">
        <f t="shared" si="27"/>
        <v>74.2</v>
      </c>
      <c r="H168" s="104">
        <f t="shared" si="21"/>
        <v>2.8260000000000004E-2</v>
      </c>
      <c r="I168" s="104">
        <f t="shared" si="22"/>
        <v>2.0968920000000004</v>
      </c>
      <c r="J168" s="104">
        <f t="shared" si="30"/>
        <v>131.05575000000002</v>
      </c>
    </row>
    <row r="169" spans="2:10" x14ac:dyDescent="0.25">
      <c r="B169" s="104">
        <v>165</v>
      </c>
      <c r="C169" s="104" t="s">
        <v>695</v>
      </c>
      <c r="D169" s="104" t="s">
        <v>571</v>
      </c>
      <c r="E169" s="104">
        <f t="shared" si="26"/>
        <v>1.5</v>
      </c>
      <c r="F169" s="104" t="s">
        <v>527</v>
      </c>
      <c r="G169" s="104">
        <f t="shared" si="27"/>
        <v>74.2</v>
      </c>
      <c r="H169" s="104">
        <f t="shared" si="21"/>
        <v>2.8260000000000004E-2</v>
      </c>
      <c r="I169" s="104">
        <f t="shared" si="22"/>
        <v>2.0968920000000004</v>
      </c>
      <c r="J169" s="104">
        <f t="shared" si="30"/>
        <v>131.05575000000002</v>
      </c>
    </row>
    <row r="170" spans="2:10" x14ac:dyDescent="0.25">
      <c r="B170" s="104">
        <v>166</v>
      </c>
      <c r="C170" s="104" t="s">
        <v>696</v>
      </c>
      <c r="D170" s="104" t="s">
        <v>571</v>
      </c>
      <c r="E170" s="104">
        <f t="shared" si="26"/>
        <v>1.5</v>
      </c>
      <c r="F170" s="104" t="s">
        <v>527</v>
      </c>
      <c r="G170" s="104">
        <f t="shared" si="27"/>
        <v>74.2</v>
      </c>
      <c r="H170" s="104">
        <f t="shared" si="21"/>
        <v>2.8260000000000004E-2</v>
      </c>
      <c r="I170" s="104">
        <f t="shared" si="22"/>
        <v>2.0968920000000004</v>
      </c>
      <c r="J170" s="104">
        <f t="shared" si="30"/>
        <v>131.05575000000002</v>
      </c>
    </row>
    <row r="171" spans="2:10" x14ac:dyDescent="0.25">
      <c r="B171" s="104">
        <v>167</v>
      </c>
      <c r="C171" s="104" t="s">
        <v>697</v>
      </c>
      <c r="D171" s="104" t="s">
        <v>571</v>
      </c>
      <c r="E171" s="104">
        <f t="shared" si="26"/>
        <v>1.5</v>
      </c>
      <c r="F171" s="104" t="s">
        <v>527</v>
      </c>
      <c r="G171" s="104">
        <f t="shared" si="27"/>
        <v>74.2</v>
      </c>
      <c r="H171" s="104">
        <f t="shared" si="21"/>
        <v>2.8260000000000004E-2</v>
      </c>
      <c r="I171" s="104">
        <f t="shared" si="22"/>
        <v>2.0968920000000004</v>
      </c>
      <c r="J171" s="104">
        <f t="shared" si="30"/>
        <v>131.05575000000002</v>
      </c>
    </row>
    <row r="172" spans="2:10" x14ac:dyDescent="0.25">
      <c r="B172" s="104">
        <v>168</v>
      </c>
      <c r="C172" s="104" t="s">
        <v>698</v>
      </c>
      <c r="D172" s="104" t="s">
        <v>571</v>
      </c>
      <c r="E172" s="104">
        <f t="shared" si="26"/>
        <v>1.5</v>
      </c>
      <c r="F172" s="104" t="s">
        <v>527</v>
      </c>
      <c r="G172" s="104">
        <f t="shared" si="27"/>
        <v>74.2</v>
      </c>
      <c r="H172" s="104">
        <f t="shared" si="21"/>
        <v>2.8260000000000004E-2</v>
      </c>
      <c r="I172" s="104">
        <f t="shared" si="22"/>
        <v>2.0968920000000004</v>
      </c>
      <c r="J172" s="104">
        <f t="shared" si="30"/>
        <v>131.05575000000002</v>
      </c>
    </row>
    <row r="173" spans="2:10" x14ac:dyDescent="0.25">
      <c r="B173" s="104">
        <v>169</v>
      </c>
      <c r="C173" s="104" t="s">
        <v>699</v>
      </c>
      <c r="D173" s="104" t="s">
        <v>571</v>
      </c>
      <c r="E173" s="104">
        <f t="shared" si="26"/>
        <v>1.5</v>
      </c>
      <c r="F173" s="104" t="s">
        <v>527</v>
      </c>
      <c r="G173" s="104">
        <f t="shared" si="27"/>
        <v>74.2</v>
      </c>
      <c r="H173" s="104">
        <f t="shared" si="21"/>
        <v>2.8260000000000004E-2</v>
      </c>
      <c r="I173" s="104">
        <f t="shared" si="22"/>
        <v>2.0968920000000004</v>
      </c>
      <c r="J173" s="104">
        <f t="shared" si="30"/>
        <v>131.05575000000002</v>
      </c>
    </row>
    <row r="174" spans="2:10" x14ac:dyDescent="0.25">
      <c r="B174" s="104">
        <v>170</v>
      </c>
      <c r="C174" s="104" t="s">
        <v>700</v>
      </c>
      <c r="D174" s="104" t="s">
        <v>571</v>
      </c>
      <c r="E174" s="104">
        <f t="shared" si="26"/>
        <v>1.5</v>
      </c>
      <c r="F174" s="104" t="s">
        <v>527</v>
      </c>
      <c r="G174" s="104">
        <f t="shared" si="27"/>
        <v>74.2</v>
      </c>
      <c r="H174" s="104">
        <f t="shared" si="21"/>
        <v>2.8260000000000004E-2</v>
      </c>
      <c r="I174" s="104">
        <f t="shared" si="22"/>
        <v>2.0968920000000004</v>
      </c>
      <c r="J174" s="104">
        <f t="shared" si="30"/>
        <v>131.05575000000002</v>
      </c>
    </row>
    <row r="175" spans="2:10" x14ac:dyDescent="0.25">
      <c r="B175" s="104">
        <v>171</v>
      </c>
      <c r="C175" s="104" t="s">
        <v>701</v>
      </c>
      <c r="D175" s="104" t="s">
        <v>571</v>
      </c>
      <c r="E175" s="104">
        <f t="shared" si="26"/>
        <v>1.5</v>
      </c>
      <c r="F175" s="104" t="s">
        <v>527</v>
      </c>
      <c r="G175" s="104">
        <f t="shared" si="27"/>
        <v>74.2</v>
      </c>
      <c r="H175" s="104">
        <f t="shared" si="21"/>
        <v>2.8260000000000004E-2</v>
      </c>
      <c r="I175" s="104">
        <f t="shared" si="22"/>
        <v>2.0968920000000004</v>
      </c>
      <c r="J175" s="104">
        <f t="shared" si="30"/>
        <v>131.05575000000002</v>
      </c>
    </row>
    <row r="176" spans="2:10" x14ac:dyDescent="0.25">
      <c r="B176" s="104">
        <v>172</v>
      </c>
      <c r="C176" s="104" t="s">
        <v>702</v>
      </c>
      <c r="D176" s="104" t="s">
        <v>571</v>
      </c>
      <c r="E176" s="104">
        <f t="shared" si="26"/>
        <v>1.5</v>
      </c>
      <c r="F176" s="104" t="s">
        <v>527</v>
      </c>
      <c r="G176" s="104">
        <f t="shared" si="27"/>
        <v>74.2</v>
      </c>
      <c r="H176" s="104">
        <f t="shared" si="21"/>
        <v>2.8260000000000004E-2</v>
      </c>
      <c r="I176" s="104">
        <f t="shared" si="22"/>
        <v>2.0968920000000004</v>
      </c>
      <c r="J176" s="104">
        <f t="shared" si="30"/>
        <v>131.05575000000002</v>
      </c>
    </row>
    <row r="177" spans="2:10" x14ac:dyDescent="0.25">
      <c r="B177" s="104">
        <v>173</v>
      </c>
      <c r="C177" s="104" t="s">
        <v>703</v>
      </c>
      <c r="D177" s="104" t="s">
        <v>571</v>
      </c>
      <c r="E177" s="104">
        <f t="shared" si="26"/>
        <v>1.5</v>
      </c>
      <c r="F177" s="104" t="s">
        <v>527</v>
      </c>
      <c r="G177" s="104">
        <f t="shared" si="27"/>
        <v>74.2</v>
      </c>
      <c r="H177" s="104">
        <f t="shared" si="21"/>
        <v>2.8260000000000004E-2</v>
      </c>
      <c r="I177" s="104">
        <f t="shared" si="22"/>
        <v>2.0968920000000004</v>
      </c>
      <c r="J177" s="104">
        <f t="shared" si="30"/>
        <v>131.05575000000002</v>
      </c>
    </row>
    <row r="178" spans="2:10" x14ac:dyDescent="0.25">
      <c r="B178" s="104">
        <v>174</v>
      </c>
      <c r="C178" s="104" t="s">
        <v>704</v>
      </c>
      <c r="D178" s="104" t="s">
        <v>571</v>
      </c>
      <c r="E178" s="104">
        <f t="shared" si="26"/>
        <v>1.5</v>
      </c>
      <c r="F178" s="104" t="s">
        <v>527</v>
      </c>
      <c r="G178" s="104">
        <f t="shared" si="27"/>
        <v>74.2</v>
      </c>
      <c r="H178" s="104">
        <f t="shared" si="21"/>
        <v>2.8260000000000004E-2</v>
      </c>
      <c r="I178" s="104">
        <f t="shared" si="22"/>
        <v>2.0968920000000004</v>
      </c>
      <c r="J178" s="104">
        <f t="shared" si="30"/>
        <v>131.05575000000002</v>
      </c>
    </row>
    <row r="179" spans="2:10" x14ac:dyDescent="0.25">
      <c r="B179" s="104">
        <v>175</v>
      </c>
      <c r="C179" s="104" t="s">
        <v>705</v>
      </c>
      <c r="D179" s="104" t="s">
        <v>571</v>
      </c>
      <c r="E179" s="104">
        <f t="shared" si="26"/>
        <v>1.5</v>
      </c>
      <c r="F179" s="104" t="s">
        <v>527</v>
      </c>
      <c r="G179" s="104">
        <f t="shared" si="27"/>
        <v>74.2</v>
      </c>
      <c r="H179" s="104">
        <f t="shared" si="21"/>
        <v>2.8260000000000004E-2</v>
      </c>
      <c r="I179" s="104">
        <f t="shared" si="22"/>
        <v>2.0968920000000004</v>
      </c>
      <c r="J179" s="104">
        <f t="shared" si="30"/>
        <v>131.05575000000002</v>
      </c>
    </row>
    <row r="180" spans="2:10" x14ac:dyDescent="0.25">
      <c r="B180" s="104">
        <v>176</v>
      </c>
      <c r="C180" s="104" t="s">
        <v>706</v>
      </c>
      <c r="D180" s="104" t="s">
        <v>571</v>
      </c>
      <c r="E180" s="104">
        <f t="shared" si="26"/>
        <v>1.5</v>
      </c>
      <c r="F180" s="104" t="s">
        <v>527</v>
      </c>
      <c r="G180" s="104">
        <f t="shared" si="27"/>
        <v>74.2</v>
      </c>
      <c r="H180" s="104">
        <f t="shared" si="21"/>
        <v>2.8260000000000004E-2</v>
      </c>
      <c r="I180" s="104">
        <f t="shared" si="22"/>
        <v>2.0968920000000004</v>
      </c>
      <c r="J180" s="104">
        <f t="shared" si="30"/>
        <v>131.05575000000002</v>
      </c>
    </row>
    <row r="181" spans="2:10" x14ac:dyDescent="0.25">
      <c r="B181" s="104">
        <v>177</v>
      </c>
      <c r="C181" s="104" t="s">
        <v>707</v>
      </c>
      <c r="D181" s="104" t="s">
        <v>571</v>
      </c>
      <c r="E181" s="104">
        <f t="shared" si="26"/>
        <v>1.5</v>
      </c>
      <c r="F181" s="104" t="s">
        <v>527</v>
      </c>
      <c r="G181" s="104">
        <f t="shared" si="27"/>
        <v>74.2</v>
      </c>
      <c r="H181" s="104">
        <f t="shared" si="21"/>
        <v>2.8260000000000004E-2</v>
      </c>
      <c r="I181" s="104">
        <f t="shared" si="22"/>
        <v>2.0968920000000004</v>
      </c>
      <c r="J181" s="104">
        <f t="shared" si="30"/>
        <v>131.05575000000002</v>
      </c>
    </row>
    <row r="182" spans="2:10" x14ac:dyDescent="0.25">
      <c r="B182" s="104">
        <v>178</v>
      </c>
      <c r="C182" s="104" t="s">
        <v>708</v>
      </c>
      <c r="D182" s="104" t="s">
        <v>571</v>
      </c>
      <c r="E182" s="104">
        <f t="shared" si="26"/>
        <v>1.5</v>
      </c>
      <c r="F182" s="104" t="s">
        <v>527</v>
      </c>
      <c r="G182" s="104">
        <f t="shared" si="27"/>
        <v>74.2</v>
      </c>
      <c r="H182" s="104">
        <f t="shared" si="21"/>
        <v>2.8260000000000004E-2</v>
      </c>
      <c r="I182" s="104">
        <f t="shared" si="22"/>
        <v>2.0968920000000004</v>
      </c>
      <c r="J182" s="104">
        <f t="shared" si="30"/>
        <v>131.05575000000002</v>
      </c>
    </row>
    <row r="183" spans="2:10" x14ac:dyDescent="0.25">
      <c r="B183" s="104">
        <v>179</v>
      </c>
      <c r="C183" s="104" t="s">
        <v>709</v>
      </c>
      <c r="D183" s="104" t="s">
        <v>571</v>
      </c>
      <c r="E183" s="104">
        <f t="shared" si="26"/>
        <v>1.5</v>
      </c>
      <c r="F183" s="104" t="s">
        <v>527</v>
      </c>
      <c r="G183" s="104">
        <f t="shared" si="27"/>
        <v>74.2</v>
      </c>
      <c r="H183" s="104">
        <f t="shared" si="21"/>
        <v>2.8260000000000004E-2</v>
      </c>
      <c r="I183" s="104">
        <f t="shared" si="22"/>
        <v>2.0968920000000004</v>
      </c>
      <c r="J183" s="104">
        <f t="shared" si="30"/>
        <v>131.05575000000002</v>
      </c>
    </row>
    <row r="184" spans="2:10" x14ac:dyDescent="0.25">
      <c r="B184" s="104">
        <v>180</v>
      </c>
      <c r="C184" s="104" t="s">
        <v>710</v>
      </c>
      <c r="D184" s="104" t="s">
        <v>571</v>
      </c>
      <c r="E184" s="104">
        <f t="shared" si="26"/>
        <v>1.5</v>
      </c>
      <c r="F184" s="104" t="s">
        <v>527</v>
      </c>
      <c r="G184" s="104">
        <f t="shared" si="27"/>
        <v>74.2</v>
      </c>
      <c r="H184" s="104">
        <f t="shared" si="21"/>
        <v>2.8260000000000004E-2</v>
      </c>
      <c r="I184" s="104">
        <f t="shared" si="22"/>
        <v>2.0968920000000004</v>
      </c>
      <c r="J184" s="104">
        <f t="shared" si="30"/>
        <v>131.05575000000002</v>
      </c>
    </row>
    <row r="185" spans="2:10" x14ac:dyDescent="0.25">
      <c r="B185" s="104">
        <v>181</v>
      </c>
      <c r="C185" s="104" t="s">
        <v>711</v>
      </c>
      <c r="D185" s="104" t="s">
        <v>571</v>
      </c>
      <c r="E185" s="104">
        <f t="shared" si="26"/>
        <v>1.5</v>
      </c>
      <c r="F185" s="104" t="s">
        <v>527</v>
      </c>
      <c r="G185" s="104">
        <f t="shared" si="27"/>
        <v>74.2</v>
      </c>
      <c r="H185" s="104">
        <f t="shared" si="21"/>
        <v>2.8260000000000004E-2</v>
      </c>
      <c r="I185" s="104">
        <f t="shared" si="22"/>
        <v>2.0968920000000004</v>
      </c>
      <c r="J185" s="104">
        <f t="shared" si="30"/>
        <v>131.05575000000002</v>
      </c>
    </row>
    <row r="186" spans="2:10" x14ac:dyDescent="0.25">
      <c r="B186" s="104">
        <v>182</v>
      </c>
      <c r="C186" s="104" t="s">
        <v>712</v>
      </c>
      <c r="D186" s="104" t="s">
        <v>571</v>
      </c>
      <c r="E186" s="104">
        <f t="shared" si="26"/>
        <v>1.5</v>
      </c>
      <c r="F186" s="104" t="s">
        <v>527</v>
      </c>
      <c r="G186" s="104">
        <f t="shared" si="27"/>
        <v>74.2</v>
      </c>
      <c r="H186" s="104">
        <f t="shared" si="21"/>
        <v>2.8260000000000004E-2</v>
      </c>
      <c r="I186" s="104">
        <f t="shared" si="22"/>
        <v>2.0968920000000004</v>
      </c>
      <c r="J186" s="104">
        <f t="shared" si="30"/>
        <v>131.05575000000002</v>
      </c>
    </row>
    <row r="187" spans="2:10" x14ac:dyDescent="0.25">
      <c r="B187" s="104">
        <v>183</v>
      </c>
      <c r="C187" s="104" t="s">
        <v>713</v>
      </c>
      <c r="D187" s="104" t="s">
        <v>571</v>
      </c>
      <c r="E187" s="104">
        <f t="shared" si="26"/>
        <v>1.5</v>
      </c>
      <c r="F187" s="104" t="s">
        <v>527</v>
      </c>
      <c r="G187" s="104">
        <f t="shared" si="27"/>
        <v>74.2</v>
      </c>
      <c r="H187" s="104">
        <f t="shared" si="21"/>
        <v>2.8260000000000004E-2</v>
      </c>
      <c r="I187" s="104">
        <f t="shared" si="22"/>
        <v>2.0968920000000004</v>
      </c>
      <c r="J187" s="104">
        <f t="shared" si="30"/>
        <v>131.05575000000002</v>
      </c>
    </row>
    <row r="188" spans="2:10" x14ac:dyDescent="0.25">
      <c r="B188" s="104">
        <v>184</v>
      </c>
      <c r="C188" s="104" t="s">
        <v>714</v>
      </c>
      <c r="D188" s="104" t="s">
        <v>571</v>
      </c>
      <c r="E188" s="104">
        <f t="shared" si="26"/>
        <v>1.5</v>
      </c>
      <c r="F188" s="104" t="s">
        <v>527</v>
      </c>
      <c r="G188" s="104">
        <f t="shared" si="27"/>
        <v>74.2</v>
      </c>
      <c r="H188" s="104">
        <f t="shared" si="21"/>
        <v>2.8260000000000004E-2</v>
      </c>
      <c r="I188" s="104">
        <f t="shared" si="22"/>
        <v>2.0968920000000004</v>
      </c>
      <c r="J188" s="104">
        <f t="shared" si="30"/>
        <v>131.05575000000002</v>
      </c>
    </row>
    <row r="189" spans="2:10" x14ac:dyDescent="0.25">
      <c r="B189" s="104">
        <v>185</v>
      </c>
      <c r="C189" s="104" t="s">
        <v>715</v>
      </c>
      <c r="D189" s="104" t="s">
        <v>571</v>
      </c>
      <c r="E189" s="104">
        <f t="shared" si="26"/>
        <v>1.5</v>
      </c>
      <c r="F189" s="104" t="s">
        <v>527</v>
      </c>
      <c r="G189" s="104">
        <f t="shared" si="27"/>
        <v>74.2</v>
      </c>
      <c r="H189" s="104">
        <f t="shared" si="21"/>
        <v>2.8260000000000004E-2</v>
      </c>
      <c r="I189" s="104">
        <f t="shared" si="22"/>
        <v>2.0968920000000004</v>
      </c>
      <c r="J189" s="104">
        <f t="shared" si="30"/>
        <v>131.05575000000002</v>
      </c>
    </row>
    <row r="190" spans="2:10" x14ac:dyDescent="0.25">
      <c r="B190" s="104">
        <v>186</v>
      </c>
      <c r="C190" s="104" t="s">
        <v>716</v>
      </c>
      <c r="D190" s="104" t="s">
        <v>571</v>
      </c>
      <c r="E190" s="104">
        <f t="shared" si="26"/>
        <v>1.5</v>
      </c>
      <c r="F190" s="104" t="s">
        <v>527</v>
      </c>
      <c r="G190" s="104">
        <f t="shared" si="27"/>
        <v>74.2</v>
      </c>
      <c r="H190" s="104">
        <f t="shared" si="21"/>
        <v>2.8260000000000004E-2</v>
      </c>
      <c r="I190" s="104">
        <f t="shared" si="22"/>
        <v>2.0968920000000004</v>
      </c>
      <c r="J190" s="104">
        <f t="shared" si="30"/>
        <v>131.05575000000002</v>
      </c>
    </row>
    <row r="191" spans="2:10" x14ac:dyDescent="0.25">
      <c r="B191" s="104">
        <v>187</v>
      </c>
      <c r="C191" s="104" t="s">
        <v>717</v>
      </c>
      <c r="D191" s="104" t="s">
        <v>571</v>
      </c>
      <c r="E191" s="104">
        <f t="shared" si="26"/>
        <v>1.5</v>
      </c>
      <c r="F191" s="104" t="s">
        <v>527</v>
      </c>
      <c r="G191" s="104">
        <f t="shared" si="27"/>
        <v>74.2</v>
      </c>
      <c r="H191" s="104">
        <f t="shared" si="21"/>
        <v>2.8260000000000004E-2</v>
      </c>
      <c r="I191" s="104">
        <f t="shared" si="22"/>
        <v>2.0968920000000004</v>
      </c>
      <c r="J191" s="104">
        <f t="shared" si="30"/>
        <v>131.05575000000002</v>
      </c>
    </row>
    <row r="192" spans="2:10" x14ac:dyDescent="0.25">
      <c r="B192" s="104">
        <v>188</v>
      </c>
      <c r="C192" s="104" t="s">
        <v>718</v>
      </c>
      <c r="D192" s="104" t="s">
        <v>571</v>
      </c>
      <c r="E192" s="104">
        <f t="shared" si="26"/>
        <v>1.5</v>
      </c>
      <c r="F192" s="104" t="s">
        <v>527</v>
      </c>
      <c r="G192" s="104">
        <f t="shared" si="27"/>
        <v>74.2</v>
      </c>
      <c r="H192" s="104">
        <f t="shared" si="21"/>
        <v>2.8260000000000004E-2</v>
      </c>
      <c r="I192" s="104">
        <f t="shared" si="22"/>
        <v>2.0968920000000004</v>
      </c>
      <c r="J192" s="104">
        <f t="shared" si="30"/>
        <v>131.05575000000002</v>
      </c>
    </row>
    <row r="193" spans="2:10" x14ac:dyDescent="0.25">
      <c r="B193" s="104">
        <v>189</v>
      </c>
      <c r="C193" s="104" t="s">
        <v>719</v>
      </c>
      <c r="D193" s="104" t="s">
        <v>571</v>
      </c>
      <c r="E193" s="104">
        <f t="shared" si="26"/>
        <v>1.5</v>
      </c>
      <c r="F193" s="104" t="s">
        <v>527</v>
      </c>
      <c r="G193" s="104">
        <f t="shared" si="27"/>
        <v>74.2</v>
      </c>
      <c r="H193" s="104">
        <f t="shared" si="21"/>
        <v>2.8260000000000004E-2</v>
      </c>
      <c r="I193" s="104">
        <f t="shared" si="22"/>
        <v>2.0968920000000004</v>
      </c>
      <c r="J193" s="104">
        <f t="shared" si="30"/>
        <v>131.05575000000002</v>
      </c>
    </row>
    <row r="194" spans="2:10" x14ac:dyDescent="0.25">
      <c r="B194" s="104">
        <v>190</v>
      </c>
      <c r="C194" s="104" t="s">
        <v>720</v>
      </c>
      <c r="D194" s="104" t="s">
        <v>571</v>
      </c>
      <c r="E194" s="104">
        <f t="shared" si="26"/>
        <v>1.5</v>
      </c>
      <c r="F194" s="104" t="s">
        <v>527</v>
      </c>
      <c r="G194" s="104">
        <f t="shared" si="27"/>
        <v>74.2</v>
      </c>
      <c r="H194" s="104">
        <f t="shared" si="21"/>
        <v>2.8260000000000004E-2</v>
      </c>
      <c r="I194" s="104">
        <f t="shared" si="22"/>
        <v>2.0968920000000004</v>
      </c>
      <c r="J194" s="104">
        <f t="shared" si="30"/>
        <v>131.05575000000002</v>
      </c>
    </row>
    <row r="195" spans="2:10" x14ac:dyDescent="0.25">
      <c r="B195" s="104">
        <v>191</v>
      </c>
      <c r="C195" s="104" t="s">
        <v>721</v>
      </c>
      <c r="D195" s="104" t="s">
        <v>568</v>
      </c>
      <c r="E195" s="104">
        <f t="shared" ref="E195:E198" si="31">1*2</f>
        <v>2</v>
      </c>
      <c r="F195" s="104" t="s">
        <v>600</v>
      </c>
      <c r="G195" s="104">
        <f t="shared" si="27"/>
        <v>74.2</v>
      </c>
      <c r="H195" s="104">
        <f t="shared" si="21"/>
        <v>5.024E-2</v>
      </c>
      <c r="I195" s="104">
        <f t="shared" si="22"/>
        <v>3.727808</v>
      </c>
      <c r="J195" s="104">
        <f t="shared" si="30"/>
        <v>232.98800000000003</v>
      </c>
    </row>
    <row r="196" spans="2:10" x14ac:dyDescent="0.25">
      <c r="B196" s="104">
        <v>192</v>
      </c>
      <c r="C196" s="104" t="s">
        <v>722</v>
      </c>
      <c r="D196" s="104" t="s">
        <v>568</v>
      </c>
      <c r="E196" s="104">
        <f t="shared" si="31"/>
        <v>2</v>
      </c>
      <c r="F196" s="104" t="s">
        <v>600</v>
      </c>
      <c r="G196" s="104">
        <f t="shared" si="27"/>
        <v>74.2</v>
      </c>
      <c r="H196" s="104">
        <f t="shared" si="21"/>
        <v>5.024E-2</v>
      </c>
      <c r="I196" s="104">
        <f t="shared" si="22"/>
        <v>3.727808</v>
      </c>
      <c r="J196" s="104">
        <f t="shared" si="30"/>
        <v>232.98800000000003</v>
      </c>
    </row>
    <row r="197" spans="2:10" x14ac:dyDescent="0.25">
      <c r="B197" s="104">
        <v>193</v>
      </c>
      <c r="C197" s="104" t="s">
        <v>723</v>
      </c>
      <c r="D197" s="104" t="s">
        <v>568</v>
      </c>
      <c r="E197" s="104">
        <f t="shared" si="31"/>
        <v>2</v>
      </c>
      <c r="F197" s="104" t="s">
        <v>600</v>
      </c>
      <c r="G197" s="104">
        <f t="shared" si="27"/>
        <v>74.2</v>
      </c>
      <c r="H197" s="104">
        <f t="shared" si="21"/>
        <v>5.024E-2</v>
      </c>
      <c r="I197" s="104">
        <f t="shared" si="22"/>
        <v>3.727808</v>
      </c>
      <c r="J197" s="104">
        <f t="shared" si="30"/>
        <v>232.98800000000003</v>
      </c>
    </row>
    <row r="198" spans="2:10" x14ac:dyDescent="0.25">
      <c r="B198" s="104">
        <v>194</v>
      </c>
      <c r="C198" s="104" t="s">
        <v>724</v>
      </c>
      <c r="D198" s="104" t="s">
        <v>568</v>
      </c>
      <c r="E198" s="104">
        <f t="shared" si="31"/>
        <v>2</v>
      </c>
      <c r="F198" s="104" t="s">
        <v>600</v>
      </c>
      <c r="G198" s="104">
        <f t="shared" si="27"/>
        <v>74.2</v>
      </c>
      <c r="H198" s="104">
        <f t="shared" ref="H198:H252" si="32">3.14*((E198/2)^2)*1.6%</f>
        <v>5.024E-2</v>
      </c>
      <c r="I198" s="104">
        <f t="shared" ref="I198:I252" si="33">H198*G198</f>
        <v>3.727808</v>
      </c>
      <c r="J198" s="104">
        <f t="shared" si="30"/>
        <v>232.98800000000003</v>
      </c>
    </row>
    <row r="199" spans="2:10" x14ac:dyDescent="0.25">
      <c r="B199" s="104">
        <v>195</v>
      </c>
      <c r="C199" s="104" t="s">
        <v>725</v>
      </c>
      <c r="D199" s="104" t="s">
        <v>571</v>
      </c>
      <c r="E199" s="104">
        <f t="shared" ref="E199" si="34">0.75*2</f>
        <v>1.5</v>
      </c>
      <c r="F199" s="104" t="s">
        <v>527</v>
      </c>
      <c r="G199" s="104">
        <f t="shared" si="27"/>
        <v>74.2</v>
      </c>
      <c r="H199" s="104">
        <f t="shared" si="32"/>
        <v>2.8260000000000004E-2</v>
      </c>
      <c r="I199" s="104">
        <f t="shared" si="33"/>
        <v>2.0968920000000004</v>
      </c>
      <c r="J199" s="104">
        <f t="shared" si="30"/>
        <v>131.05575000000002</v>
      </c>
    </row>
    <row r="200" spans="2:10" x14ac:dyDescent="0.25">
      <c r="B200" s="104">
        <v>196</v>
      </c>
      <c r="C200" s="104" t="s">
        <v>726</v>
      </c>
      <c r="D200" s="104" t="s">
        <v>565</v>
      </c>
      <c r="E200" s="104">
        <v>0.75</v>
      </c>
      <c r="F200" s="104" t="s">
        <v>527</v>
      </c>
      <c r="G200" s="104">
        <v>37.1</v>
      </c>
      <c r="H200" s="104">
        <f t="shared" si="32"/>
        <v>7.065000000000001E-3</v>
      </c>
      <c r="I200" s="104">
        <f t="shared" si="33"/>
        <v>0.26211150000000005</v>
      </c>
      <c r="J200" s="104">
        <f t="shared" si="30"/>
        <v>16.381968750000002</v>
      </c>
    </row>
    <row r="201" spans="2:10" x14ac:dyDescent="0.25">
      <c r="B201" s="104">
        <v>197</v>
      </c>
      <c r="C201" s="104" t="s">
        <v>727</v>
      </c>
      <c r="D201" s="104" t="s">
        <v>526</v>
      </c>
      <c r="E201" s="104">
        <v>1</v>
      </c>
      <c r="F201" s="104" t="s">
        <v>527</v>
      </c>
      <c r="G201" s="104">
        <v>40.1</v>
      </c>
      <c r="H201" s="104">
        <f t="shared" si="32"/>
        <v>1.256E-2</v>
      </c>
      <c r="I201" s="104">
        <f t="shared" si="33"/>
        <v>0.50365599999999999</v>
      </c>
      <c r="J201" s="104">
        <f t="shared" si="30"/>
        <v>31.478500000000004</v>
      </c>
    </row>
    <row r="202" spans="2:10" x14ac:dyDescent="0.25">
      <c r="B202" s="104">
        <v>198</v>
      </c>
      <c r="C202" s="104" t="s">
        <v>728</v>
      </c>
      <c r="D202" s="104" t="s">
        <v>526</v>
      </c>
      <c r="E202" s="104">
        <v>1</v>
      </c>
      <c r="F202" s="104" t="s">
        <v>527</v>
      </c>
      <c r="G202" s="104">
        <v>40.1</v>
      </c>
      <c r="H202" s="104">
        <f t="shared" si="32"/>
        <v>1.256E-2</v>
      </c>
      <c r="I202" s="104">
        <f t="shared" si="33"/>
        <v>0.50365599999999999</v>
      </c>
      <c r="J202" s="104">
        <f t="shared" si="30"/>
        <v>31.478500000000004</v>
      </c>
    </row>
    <row r="203" spans="2:10" x14ac:dyDescent="0.25">
      <c r="B203" s="104">
        <v>199</v>
      </c>
      <c r="C203" s="104" t="s">
        <v>729</v>
      </c>
      <c r="D203" s="104" t="s">
        <v>526</v>
      </c>
      <c r="E203" s="104">
        <v>1</v>
      </c>
      <c r="F203" s="104" t="s">
        <v>527</v>
      </c>
      <c r="G203" s="104">
        <v>40.1</v>
      </c>
      <c r="H203" s="104">
        <f t="shared" si="32"/>
        <v>1.256E-2</v>
      </c>
      <c r="I203" s="104">
        <f t="shared" si="33"/>
        <v>0.50365599999999999</v>
      </c>
      <c r="J203" s="104">
        <f t="shared" si="30"/>
        <v>31.478500000000004</v>
      </c>
    </row>
    <row r="204" spans="2:10" x14ac:dyDescent="0.25">
      <c r="B204" s="104">
        <v>200</v>
      </c>
      <c r="C204" s="104" t="s">
        <v>730</v>
      </c>
      <c r="D204" s="104" t="s">
        <v>526</v>
      </c>
      <c r="E204" s="104">
        <v>1</v>
      </c>
      <c r="F204" s="104" t="s">
        <v>527</v>
      </c>
      <c r="G204" s="104">
        <v>40.1</v>
      </c>
      <c r="H204" s="104">
        <f t="shared" si="32"/>
        <v>1.256E-2</v>
      </c>
      <c r="I204" s="104">
        <f t="shared" si="33"/>
        <v>0.50365599999999999</v>
      </c>
      <c r="J204" s="104">
        <f t="shared" si="30"/>
        <v>31.478500000000004</v>
      </c>
    </row>
    <row r="205" spans="2:10" x14ac:dyDescent="0.25">
      <c r="B205" s="104">
        <v>201</v>
      </c>
      <c r="C205" s="104" t="s">
        <v>731</v>
      </c>
      <c r="D205" s="104" t="s">
        <v>526</v>
      </c>
      <c r="E205" s="104">
        <v>1</v>
      </c>
      <c r="F205" s="104" t="s">
        <v>527</v>
      </c>
      <c r="G205" s="104">
        <v>40.1</v>
      </c>
      <c r="H205" s="104">
        <f t="shared" si="32"/>
        <v>1.256E-2</v>
      </c>
      <c r="I205" s="104">
        <f t="shared" si="33"/>
        <v>0.50365599999999999</v>
      </c>
      <c r="J205" s="104">
        <f t="shared" si="30"/>
        <v>31.478500000000004</v>
      </c>
    </row>
    <row r="206" spans="2:10" x14ac:dyDescent="0.25">
      <c r="B206" s="104">
        <v>202</v>
      </c>
      <c r="C206" s="104" t="s">
        <v>732</v>
      </c>
      <c r="D206" s="104" t="s">
        <v>526</v>
      </c>
      <c r="E206" s="104">
        <v>1</v>
      </c>
      <c r="F206" s="104" t="s">
        <v>527</v>
      </c>
      <c r="G206" s="104">
        <v>40.1</v>
      </c>
      <c r="H206" s="104">
        <f t="shared" si="32"/>
        <v>1.256E-2</v>
      </c>
      <c r="I206" s="104">
        <f t="shared" si="33"/>
        <v>0.50365599999999999</v>
      </c>
      <c r="J206" s="104">
        <f t="shared" si="30"/>
        <v>31.478500000000004</v>
      </c>
    </row>
    <row r="207" spans="2:10" x14ac:dyDescent="0.25">
      <c r="B207" s="104">
        <v>203</v>
      </c>
      <c r="C207" s="104" t="s">
        <v>733</v>
      </c>
      <c r="D207" s="104" t="s">
        <v>526</v>
      </c>
      <c r="E207" s="104">
        <v>1</v>
      </c>
      <c r="F207" s="104" t="s">
        <v>527</v>
      </c>
      <c r="G207" s="104">
        <v>40.1</v>
      </c>
      <c r="H207" s="104">
        <f t="shared" si="32"/>
        <v>1.256E-2</v>
      </c>
      <c r="I207" s="104">
        <f t="shared" si="33"/>
        <v>0.50365599999999999</v>
      </c>
      <c r="J207" s="104">
        <f t="shared" si="30"/>
        <v>31.478500000000004</v>
      </c>
    </row>
    <row r="208" spans="2:10" x14ac:dyDescent="0.25">
      <c r="B208" s="104">
        <v>204</v>
      </c>
      <c r="C208" s="104" t="s">
        <v>734</v>
      </c>
      <c r="D208" s="104" t="s">
        <v>526</v>
      </c>
      <c r="E208" s="104">
        <v>1</v>
      </c>
      <c r="F208" s="104" t="s">
        <v>527</v>
      </c>
      <c r="G208" s="104">
        <v>40.1</v>
      </c>
      <c r="H208" s="104">
        <f t="shared" si="32"/>
        <v>1.256E-2</v>
      </c>
      <c r="I208" s="104">
        <f t="shared" si="33"/>
        <v>0.50365599999999999</v>
      </c>
      <c r="J208" s="104">
        <f t="shared" si="30"/>
        <v>31.478500000000004</v>
      </c>
    </row>
    <row r="209" spans="2:10" x14ac:dyDescent="0.25">
      <c r="B209" s="104">
        <v>205</v>
      </c>
      <c r="C209" s="104" t="s">
        <v>735</v>
      </c>
      <c r="D209" s="104" t="s">
        <v>526</v>
      </c>
      <c r="E209" s="104">
        <v>1</v>
      </c>
      <c r="F209" s="104" t="s">
        <v>527</v>
      </c>
      <c r="G209" s="104">
        <v>40.1</v>
      </c>
      <c r="H209" s="104">
        <f t="shared" si="32"/>
        <v>1.256E-2</v>
      </c>
      <c r="I209" s="104">
        <f t="shared" si="33"/>
        <v>0.50365599999999999</v>
      </c>
      <c r="J209" s="104">
        <f t="shared" si="30"/>
        <v>31.478500000000004</v>
      </c>
    </row>
    <row r="210" spans="2:10" x14ac:dyDescent="0.25">
      <c r="B210" s="104">
        <v>206</v>
      </c>
      <c r="C210" s="104" t="s">
        <v>736</v>
      </c>
      <c r="D210" s="104" t="s">
        <v>526</v>
      </c>
      <c r="E210" s="104">
        <v>1</v>
      </c>
      <c r="F210" s="104" t="s">
        <v>527</v>
      </c>
      <c r="G210" s="104">
        <v>40.1</v>
      </c>
      <c r="H210" s="104">
        <f t="shared" si="32"/>
        <v>1.256E-2</v>
      </c>
      <c r="I210" s="104">
        <f t="shared" si="33"/>
        <v>0.50365599999999999</v>
      </c>
      <c r="J210" s="104">
        <f t="shared" si="30"/>
        <v>31.478500000000004</v>
      </c>
    </row>
    <row r="211" spans="2:10" x14ac:dyDescent="0.25">
      <c r="B211" s="104">
        <v>207</v>
      </c>
      <c r="C211" s="104" t="s">
        <v>737</v>
      </c>
      <c r="D211" s="104" t="s">
        <v>526</v>
      </c>
      <c r="E211" s="104">
        <v>1</v>
      </c>
      <c r="F211" s="104" t="s">
        <v>527</v>
      </c>
      <c r="G211" s="104">
        <v>40.1</v>
      </c>
      <c r="H211" s="104">
        <f t="shared" si="32"/>
        <v>1.256E-2</v>
      </c>
      <c r="I211" s="104">
        <f t="shared" si="33"/>
        <v>0.50365599999999999</v>
      </c>
      <c r="J211" s="104">
        <f t="shared" si="30"/>
        <v>31.478500000000004</v>
      </c>
    </row>
    <row r="212" spans="2:10" x14ac:dyDescent="0.25">
      <c r="B212" s="104">
        <v>208</v>
      </c>
      <c r="C212" s="104" t="s">
        <v>738</v>
      </c>
      <c r="D212" s="104" t="s">
        <v>526</v>
      </c>
      <c r="E212" s="104">
        <v>1</v>
      </c>
      <c r="F212" s="104" t="s">
        <v>527</v>
      </c>
      <c r="G212" s="104">
        <v>40.1</v>
      </c>
      <c r="H212" s="104">
        <f t="shared" si="32"/>
        <v>1.256E-2</v>
      </c>
      <c r="I212" s="104">
        <f t="shared" si="33"/>
        <v>0.50365599999999999</v>
      </c>
      <c r="J212" s="104">
        <f t="shared" si="30"/>
        <v>31.478500000000004</v>
      </c>
    </row>
    <row r="213" spans="2:10" x14ac:dyDescent="0.25">
      <c r="B213" s="104">
        <v>209</v>
      </c>
      <c r="C213" s="104" t="s">
        <v>739</v>
      </c>
      <c r="D213" s="104" t="s">
        <v>526</v>
      </c>
      <c r="E213" s="104">
        <v>1</v>
      </c>
      <c r="F213" s="104" t="s">
        <v>527</v>
      </c>
      <c r="G213" s="104">
        <v>40.1</v>
      </c>
      <c r="H213" s="104">
        <f t="shared" si="32"/>
        <v>1.256E-2</v>
      </c>
      <c r="I213" s="104">
        <f t="shared" si="33"/>
        <v>0.50365599999999999</v>
      </c>
      <c r="J213" s="104">
        <f t="shared" si="30"/>
        <v>31.478500000000004</v>
      </c>
    </row>
    <row r="214" spans="2:10" x14ac:dyDescent="0.25">
      <c r="B214" s="104">
        <v>210</v>
      </c>
      <c r="C214" s="104" t="s">
        <v>740</v>
      </c>
      <c r="D214" s="104" t="s">
        <v>526</v>
      </c>
      <c r="E214" s="104">
        <v>1</v>
      </c>
      <c r="F214" s="104" t="s">
        <v>527</v>
      </c>
      <c r="G214" s="104">
        <v>40.1</v>
      </c>
      <c r="H214" s="104">
        <f t="shared" si="32"/>
        <v>1.256E-2</v>
      </c>
      <c r="I214" s="104">
        <f t="shared" si="33"/>
        <v>0.50365599999999999</v>
      </c>
      <c r="J214" s="104">
        <f t="shared" si="30"/>
        <v>31.478500000000004</v>
      </c>
    </row>
    <row r="215" spans="2:10" x14ac:dyDescent="0.25">
      <c r="B215" s="104">
        <v>211</v>
      </c>
      <c r="C215" s="104" t="s">
        <v>741</v>
      </c>
      <c r="D215" s="104" t="s">
        <v>526</v>
      </c>
      <c r="E215" s="104">
        <v>1</v>
      </c>
      <c r="F215" s="104" t="s">
        <v>527</v>
      </c>
      <c r="G215" s="104">
        <v>40.1</v>
      </c>
      <c r="H215" s="104">
        <f t="shared" si="32"/>
        <v>1.256E-2</v>
      </c>
      <c r="I215" s="104">
        <f t="shared" si="33"/>
        <v>0.50365599999999999</v>
      </c>
      <c r="J215" s="104">
        <f t="shared" si="30"/>
        <v>31.478500000000004</v>
      </c>
    </row>
    <row r="216" spans="2:10" x14ac:dyDescent="0.25">
      <c r="B216" s="104">
        <v>212</v>
      </c>
      <c r="C216" s="104" t="s">
        <v>742</v>
      </c>
      <c r="D216" s="104" t="s">
        <v>526</v>
      </c>
      <c r="E216" s="104">
        <v>1</v>
      </c>
      <c r="F216" s="104" t="s">
        <v>527</v>
      </c>
      <c r="G216" s="104">
        <v>40.1</v>
      </c>
      <c r="H216" s="104">
        <f t="shared" si="32"/>
        <v>1.256E-2</v>
      </c>
      <c r="I216" s="104">
        <f t="shared" si="33"/>
        <v>0.50365599999999999</v>
      </c>
      <c r="J216" s="104">
        <f t="shared" si="30"/>
        <v>31.478500000000004</v>
      </c>
    </row>
    <row r="217" spans="2:10" x14ac:dyDescent="0.25">
      <c r="B217" s="104">
        <v>213</v>
      </c>
      <c r="C217" s="104" t="s">
        <v>743</v>
      </c>
      <c r="D217" s="104" t="s">
        <v>526</v>
      </c>
      <c r="E217" s="104">
        <v>1</v>
      </c>
      <c r="F217" s="104" t="s">
        <v>527</v>
      </c>
      <c r="G217" s="104">
        <v>40.1</v>
      </c>
      <c r="H217" s="104">
        <f t="shared" si="32"/>
        <v>1.256E-2</v>
      </c>
      <c r="I217" s="104">
        <f t="shared" si="33"/>
        <v>0.50365599999999999</v>
      </c>
      <c r="J217" s="104">
        <f t="shared" si="30"/>
        <v>31.478500000000004</v>
      </c>
    </row>
    <row r="218" spans="2:10" x14ac:dyDescent="0.25">
      <c r="B218" s="104">
        <v>214</v>
      </c>
      <c r="C218" s="104" t="s">
        <v>744</v>
      </c>
      <c r="D218" s="104" t="s">
        <v>526</v>
      </c>
      <c r="E218" s="104">
        <v>1</v>
      </c>
      <c r="F218" s="104" t="s">
        <v>527</v>
      </c>
      <c r="G218" s="104">
        <v>40.1</v>
      </c>
      <c r="H218" s="104">
        <f t="shared" si="32"/>
        <v>1.256E-2</v>
      </c>
      <c r="I218" s="104">
        <f t="shared" si="33"/>
        <v>0.50365599999999999</v>
      </c>
      <c r="J218" s="104">
        <f t="shared" si="30"/>
        <v>31.478500000000004</v>
      </c>
    </row>
    <row r="219" spans="2:10" x14ac:dyDescent="0.25">
      <c r="B219" s="104">
        <v>215</v>
      </c>
      <c r="C219" s="104" t="s">
        <v>745</v>
      </c>
      <c r="D219" s="104" t="s">
        <v>526</v>
      </c>
      <c r="E219" s="104">
        <v>1</v>
      </c>
      <c r="F219" s="104" t="s">
        <v>527</v>
      </c>
      <c r="G219" s="104">
        <v>40.1</v>
      </c>
      <c r="H219" s="104">
        <f t="shared" si="32"/>
        <v>1.256E-2</v>
      </c>
      <c r="I219" s="104">
        <f t="shared" si="33"/>
        <v>0.50365599999999999</v>
      </c>
      <c r="J219" s="104">
        <f t="shared" si="30"/>
        <v>31.478500000000004</v>
      </c>
    </row>
    <row r="220" spans="2:10" x14ac:dyDescent="0.25">
      <c r="B220" s="104">
        <v>216</v>
      </c>
      <c r="C220" s="104" t="s">
        <v>746</v>
      </c>
      <c r="D220" s="104" t="s">
        <v>526</v>
      </c>
      <c r="E220" s="104">
        <v>1</v>
      </c>
      <c r="F220" s="104" t="s">
        <v>527</v>
      </c>
      <c r="G220" s="104">
        <v>40.1</v>
      </c>
      <c r="H220" s="104">
        <f t="shared" si="32"/>
        <v>1.256E-2</v>
      </c>
      <c r="I220" s="104">
        <f t="shared" si="33"/>
        <v>0.50365599999999999</v>
      </c>
      <c r="J220" s="104">
        <f t="shared" si="30"/>
        <v>31.478500000000004</v>
      </c>
    </row>
    <row r="221" spans="2:10" x14ac:dyDescent="0.25">
      <c r="B221" s="104">
        <v>217</v>
      </c>
      <c r="C221" s="104" t="s">
        <v>747</v>
      </c>
      <c r="D221" s="104" t="s">
        <v>526</v>
      </c>
      <c r="E221" s="104">
        <v>1</v>
      </c>
      <c r="F221" s="104" t="s">
        <v>527</v>
      </c>
      <c r="G221" s="104">
        <v>40.1</v>
      </c>
      <c r="H221" s="104">
        <f t="shared" si="32"/>
        <v>1.256E-2</v>
      </c>
      <c r="I221" s="104">
        <f t="shared" si="33"/>
        <v>0.50365599999999999</v>
      </c>
      <c r="J221" s="104">
        <f t="shared" si="30"/>
        <v>31.478500000000004</v>
      </c>
    </row>
    <row r="222" spans="2:10" x14ac:dyDescent="0.25">
      <c r="B222" s="104">
        <v>218</v>
      </c>
      <c r="C222" s="104" t="s">
        <v>748</v>
      </c>
      <c r="D222" s="104" t="s">
        <v>526</v>
      </c>
      <c r="E222" s="104">
        <v>1</v>
      </c>
      <c r="F222" s="104" t="s">
        <v>527</v>
      </c>
      <c r="G222" s="104">
        <v>40.1</v>
      </c>
      <c r="H222" s="104">
        <f t="shared" si="32"/>
        <v>1.256E-2</v>
      </c>
      <c r="I222" s="104">
        <f t="shared" si="33"/>
        <v>0.50365599999999999</v>
      </c>
      <c r="J222" s="104">
        <f t="shared" si="30"/>
        <v>31.478500000000004</v>
      </c>
    </row>
    <row r="223" spans="2:10" x14ac:dyDescent="0.25">
      <c r="B223" s="104">
        <v>219</v>
      </c>
      <c r="C223" s="104" t="s">
        <v>749</v>
      </c>
      <c r="D223" s="104" t="s">
        <v>526</v>
      </c>
      <c r="E223" s="104">
        <v>1</v>
      </c>
      <c r="F223" s="104" t="s">
        <v>527</v>
      </c>
      <c r="G223" s="104">
        <v>40.1</v>
      </c>
      <c r="H223" s="104">
        <f t="shared" si="32"/>
        <v>1.256E-2</v>
      </c>
      <c r="I223" s="104">
        <f t="shared" si="33"/>
        <v>0.50365599999999999</v>
      </c>
      <c r="J223" s="104">
        <f t="shared" si="30"/>
        <v>31.478500000000004</v>
      </c>
    </row>
    <row r="224" spans="2:10" x14ac:dyDescent="0.25">
      <c r="B224" s="104">
        <v>220</v>
      </c>
      <c r="C224" s="104" t="s">
        <v>750</v>
      </c>
      <c r="D224" s="104" t="s">
        <v>526</v>
      </c>
      <c r="E224" s="104">
        <v>1</v>
      </c>
      <c r="F224" s="104" t="s">
        <v>527</v>
      </c>
      <c r="G224" s="104">
        <v>40.1</v>
      </c>
      <c r="H224" s="104">
        <f t="shared" si="32"/>
        <v>1.256E-2</v>
      </c>
      <c r="I224" s="104">
        <f t="shared" si="33"/>
        <v>0.50365599999999999</v>
      </c>
      <c r="J224" s="104">
        <f t="shared" si="30"/>
        <v>31.478500000000004</v>
      </c>
    </row>
    <row r="225" spans="2:10" x14ac:dyDescent="0.25">
      <c r="B225" s="104">
        <v>221</v>
      </c>
      <c r="C225" s="104" t="s">
        <v>751</v>
      </c>
      <c r="D225" s="104" t="s">
        <v>526</v>
      </c>
      <c r="E225" s="104">
        <v>1</v>
      </c>
      <c r="F225" s="104" t="s">
        <v>527</v>
      </c>
      <c r="G225" s="104">
        <v>40.1</v>
      </c>
      <c r="H225" s="104">
        <f t="shared" si="32"/>
        <v>1.256E-2</v>
      </c>
      <c r="I225" s="104">
        <f t="shared" si="33"/>
        <v>0.50365599999999999</v>
      </c>
      <c r="J225" s="104">
        <f t="shared" si="30"/>
        <v>31.478500000000004</v>
      </c>
    </row>
    <row r="226" spans="2:10" x14ac:dyDescent="0.25">
      <c r="B226" s="104">
        <v>222</v>
      </c>
      <c r="C226" s="104" t="s">
        <v>752</v>
      </c>
      <c r="D226" s="104" t="s">
        <v>526</v>
      </c>
      <c r="E226" s="104">
        <v>1</v>
      </c>
      <c r="F226" s="104" t="s">
        <v>527</v>
      </c>
      <c r="G226" s="104">
        <v>40.1</v>
      </c>
      <c r="H226" s="104">
        <f t="shared" si="32"/>
        <v>1.256E-2</v>
      </c>
      <c r="I226" s="104">
        <f t="shared" si="33"/>
        <v>0.50365599999999999</v>
      </c>
      <c r="J226" s="104">
        <f t="shared" si="30"/>
        <v>31.478500000000004</v>
      </c>
    </row>
    <row r="227" spans="2:10" x14ac:dyDescent="0.25">
      <c r="B227" s="104">
        <v>223</v>
      </c>
      <c r="C227" s="104" t="s">
        <v>753</v>
      </c>
      <c r="D227" s="104" t="s">
        <v>526</v>
      </c>
      <c r="E227" s="104">
        <v>1</v>
      </c>
      <c r="F227" s="104" t="s">
        <v>527</v>
      </c>
      <c r="G227" s="104">
        <v>40.1</v>
      </c>
      <c r="H227" s="104">
        <f t="shared" si="32"/>
        <v>1.256E-2</v>
      </c>
      <c r="I227" s="104">
        <f t="shared" si="33"/>
        <v>0.50365599999999999</v>
      </c>
      <c r="J227" s="104">
        <f t="shared" si="30"/>
        <v>31.478500000000004</v>
      </c>
    </row>
    <row r="228" spans="2:10" x14ac:dyDescent="0.25">
      <c r="B228" s="104">
        <v>224</v>
      </c>
      <c r="C228" s="104" t="s">
        <v>754</v>
      </c>
      <c r="D228" s="104" t="s">
        <v>526</v>
      </c>
      <c r="E228" s="104">
        <v>1</v>
      </c>
      <c r="F228" s="104" t="s">
        <v>527</v>
      </c>
      <c r="G228" s="104">
        <v>40.1</v>
      </c>
      <c r="H228" s="104">
        <f t="shared" si="32"/>
        <v>1.256E-2</v>
      </c>
      <c r="I228" s="104">
        <f t="shared" si="33"/>
        <v>0.50365599999999999</v>
      </c>
      <c r="J228" s="104">
        <f t="shared" si="30"/>
        <v>31.478500000000004</v>
      </c>
    </row>
    <row r="229" spans="2:10" x14ac:dyDescent="0.25">
      <c r="B229" s="104">
        <v>225</v>
      </c>
      <c r="C229" s="104" t="s">
        <v>755</v>
      </c>
      <c r="D229" s="104" t="s">
        <v>526</v>
      </c>
      <c r="E229" s="104">
        <v>1</v>
      </c>
      <c r="F229" s="104" t="s">
        <v>527</v>
      </c>
      <c r="G229" s="104">
        <v>40.1</v>
      </c>
      <c r="H229" s="104">
        <f t="shared" si="32"/>
        <v>1.256E-2</v>
      </c>
      <c r="I229" s="104">
        <f t="shared" si="33"/>
        <v>0.50365599999999999</v>
      </c>
      <c r="J229" s="104">
        <f t="shared" si="30"/>
        <v>31.478500000000004</v>
      </c>
    </row>
    <row r="230" spans="2:10" x14ac:dyDescent="0.25">
      <c r="B230" s="104">
        <v>226</v>
      </c>
      <c r="C230" s="104" t="s">
        <v>756</v>
      </c>
      <c r="D230" s="104" t="s">
        <v>526</v>
      </c>
      <c r="E230" s="104">
        <v>1</v>
      </c>
      <c r="F230" s="104" t="s">
        <v>527</v>
      </c>
      <c r="G230" s="104">
        <v>40.1</v>
      </c>
      <c r="H230" s="104">
        <f t="shared" si="32"/>
        <v>1.256E-2</v>
      </c>
      <c r="I230" s="104">
        <f t="shared" si="33"/>
        <v>0.50365599999999999</v>
      </c>
      <c r="J230" s="104">
        <f t="shared" si="30"/>
        <v>31.478500000000004</v>
      </c>
    </row>
    <row r="231" spans="2:10" x14ac:dyDescent="0.25">
      <c r="B231" s="104">
        <v>227</v>
      </c>
      <c r="C231" s="104" t="s">
        <v>757</v>
      </c>
      <c r="D231" s="104" t="s">
        <v>526</v>
      </c>
      <c r="E231" s="104">
        <v>1</v>
      </c>
      <c r="F231" s="104" t="s">
        <v>527</v>
      </c>
      <c r="G231" s="104">
        <v>40.1</v>
      </c>
      <c r="H231" s="104">
        <f t="shared" si="32"/>
        <v>1.256E-2</v>
      </c>
      <c r="I231" s="104">
        <f t="shared" si="33"/>
        <v>0.50365599999999999</v>
      </c>
      <c r="J231" s="104">
        <f t="shared" ref="J231:J249" si="35">3.14*((E231/2)^2)*G231</f>
        <v>31.478500000000004</v>
      </c>
    </row>
    <row r="232" spans="2:10" x14ac:dyDescent="0.25">
      <c r="B232" s="104">
        <v>228</v>
      </c>
      <c r="C232" s="104" t="s">
        <v>758</v>
      </c>
      <c r="D232" s="104" t="s">
        <v>526</v>
      </c>
      <c r="E232" s="104">
        <v>1</v>
      </c>
      <c r="F232" s="104" t="s">
        <v>527</v>
      </c>
      <c r="G232" s="104">
        <v>40.1</v>
      </c>
      <c r="H232" s="104">
        <f t="shared" si="32"/>
        <v>1.256E-2</v>
      </c>
      <c r="I232" s="104">
        <f t="shared" si="33"/>
        <v>0.50365599999999999</v>
      </c>
      <c r="J232" s="104">
        <f t="shared" si="35"/>
        <v>31.478500000000004</v>
      </c>
    </row>
    <row r="233" spans="2:10" x14ac:dyDescent="0.25">
      <c r="B233" s="104">
        <v>229</v>
      </c>
      <c r="C233" s="104" t="s">
        <v>759</v>
      </c>
      <c r="D233" s="104" t="s">
        <v>526</v>
      </c>
      <c r="E233" s="104">
        <v>1</v>
      </c>
      <c r="F233" s="104" t="s">
        <v>527</v>
      </c>
      <c r="G233" s="104">
        <v>40.1</v>
      </c>
      <c r="H233" s="104">
        <f t="shared" si="32"/>
        <v>1.256E-2</v>
      </c>
      <c r="I233" s="104">
        <f t="shared" si="33"/>
        <v>0.50365599999999999</v>
      </c>
      <c r="J233" s="104">
        <f t="shared" si="35"/>
        <v>31.478500000000004</v>
      </c>
    </row>
    <row r="234" spans="2:10" x14ac:dyDescent="0.25">
      <c r="B234" s="104">
        <v>230</v>
      </c>
      <c r="C234" s="104" t="s">
        <v>760</v>
      </c>
      <c r="D234" s="104" t="s">
        <v>526</v>
      </c>
      <c r="E234" s="104">
        <v>1</v>
      </c>
      <c r="F234" s="104" t="s">
        <v>527</v>
      </c>
      <c r="G234" s="104">
        <v>40.1</v>
      </c>
      <c r="H234" s="104">
        <f t="shared" si="32"/>
        <v>1.256E-2</v>
      </c>
      <c r="I234" s="104">
        <f t="shared" si="33"/>
        <v>0.50365599999999999</v>
      </c>
      <c r="J234" s="104">
        <f t="shared" si="35"/>
        <v>31.478500000000004</v>
      </c>
    </row>
    <row r="235" spans="2:10" x14ac:dyDescent="0.25">
      <c r="B235" s="104">
        <v>231</v>
      </c>
      <c r="C235" s="104" t="s">
        <v>761</v>
      </c>
      <c r="D235" s="104" t="s">
        <v>526</v>
      </c>
      <c r="E235" s="104">
        <v>1</v>
      </c>
      <c r="F235" s="104" t="s">
        <v>527</v>
      </c>
      <c r="G235" s="104">
        <v>40.1</v>
      </c>
      <c r="H235" s="104">
        <f t="shared" si="32"/>
        <v>1.256E-2</v>
      </c>
      <c r="I235" s="104">
        <f t="shared" si="33"/>
        <v>0.50365599999999999</v>
      </c>
      <c r="J235" s="104">
        <f t="shared" si="35"/>
        <v>31.478500000000004</v>
      </c>
    </row>
    <row r="236" spans="2:10" x14ac:dyDescent="0.25">
      <c r="B236" s="104">
        <v>232</v>
      </c>
      <c r="C236" s="104" t="s">
        <v>762</v>
      </c>
      <c r="D236" s="104" t="s">
        <v>526</v>
      </c>
      <c r="E236" s="104">
        <v>1</v>
      </c>
      <c r="F236" s="104" t="s">
        <v>527</v>
      </c>
      <c r="G236" s="104">
        <v>40.1</v>
      </c>
      <c r="H236" s="104">
        <f t="shared" si="32"/>
        <v>1.256E-2</v>
      </c>
      <c r="I236" s="104">
        <f t="shared" si="33"/>
        <v>0.50365599999999999</v>
      </c>
      <c r="J236" s="104">
        <f t="shared" si="35"/>
        <v>31.478500000000004</v>
      </c>
    </row>
    <row r="237" spans="2:10" x14ac:dyDescent="0.25">
      <c r="B237" s="104">
        <v>233</v>
      </c>
      <c r="C237" s="104" t="s">
        <v>763</v>
      </c>
      <c r="D237" s="104" t="s">
        <v>526</v>
      </c>
      <c r="E237" s="104">
        <v>1</v>
      </c>
      <c r="F237" s="104" t="s">
        <v>527</v>
      </c>
      <c r="G237" s="104">
        <v>40.1</v>
      </c>
      <c r="H237" s="104">
        <f t="shared" si="32"/>
        <v>1.256E-2</v>
      </c>
      <c r="I237" s="104">
        <f t="shared" si="33"/>
        <v>0.50365599999999999</v>
      </c>
      <c r="J237" s="104">
        <f t="shared" si="35"/>
        <v>31.478500000000004</v>
      </c>
    </row>
    <row r="238" spans="2:10" x14ac:dyDescent="0.25">
      <c r="B238" s="104">
        <v>234</v>
      </c>
      <c r="C238" s="104" t="s">
        <v>764</v>
      </c>
      <c r="D238" s="104" t="s">
        <v>526</v>
      </c>
      <c r="E238" s="104">
        <v>1</v>
      </c>
      <c r="F238" s="104" t="s">
        <v>527</v>
      </c>
      <c r="G238" s="104">
        <v>40.1</v>
      </c>
      <c r="H238" s="104">
        <f t="shared" si="32"/>
        <v>1.256E-2</v>
      </c>
      <c r="I238" s="104">
        <f t="shared" si="33"/>
        <v>0.50365599999999999</v>
      </c>
      <c r="J238" s="104">
        <f t="shared" si="35"/>
        <v>31.478500000000004</v>
      </c>
    </row>
    <row r="239" spans="2:10" x14ac:dyDescent="0.25">
      <c r="B239" s="104">
        <v>235</v>
      </c>
      <c r="C239" s="104" t="s">
        <v>765</v>
      </c>
      <c r="D239" s="104" t="s">
        <v>526</v>
      </c>
      <c r="E239" s="104">
        <v>1</v>
      </c>
      <c r="F239" s="104" t="s">
        <v>527</v>
      </c>
      <c r="G239" s="104">
        <v>40.1</v>
      </c>
      <c r="H239" s="104">
        <f t="shared" si="32"/>
        <v>1.256E-2</v>
      </c>
      <c r="I239" s="104">
        <f t="shared" si="33"/>
        <v>0.50365599999999999</v>
      </c>
      <c r="J239" s="104">
        <f t="shared" si="35"/>
        <v>31.478500000000004</v>
      </c>
    </row>
    <row r="240" spans="2:10" x14ac:dyDescent="0.25">
      <c r="B240" s="104">
        <v>236</v>
      </c>
      <c r="C240" s="104" t="s">
        <v>766</v>
      </c>
      <c r="D240" s="104" t="s">
        <v>526</v>
      </c>
      <c r="E240" s="104">
        <v>1</v>
      </c>
      <c r="F240" s="104" t="s">
        <v>527</v>
      </c>
      <c r="G240" s="104">
        <v>40.1</v>
      </c>
      <c r="H240" s="104">
        <f t="shared" si="32"/>
        <v>1.256E-2</v>
      </c>
      <c r="I240" s="104">
        <f t="shared" si="33"/>
        <v>0.50365599999999999</v>
      </c>
      <c r="J240" s="104">
        <f t="shared" si="35"/>
        <v>31.478500000000004</v>
      </c>
    </row>
    <row r="241" spans="2:11" x14ac:dyDescent="0.25">
      <c r="B241" s="104">
        <v>237</v>
      </c>
      <c r="C241" s="104" t="s">
        <v>767</v>
      </c>
      <c r="D241" s="104" t="s">
        <v>526</v>
      </c>
      <c r="E241" s="104">
        <v>1</v>
      </c>
      <c r="F241" s="104" t="s">
        <v>527</v>
      </c>
      <c r="G241" s="104">
        <v>40.1</v>
      </c>
      <c r="H241" s="104">
        <f t="shared" si="32"/>
        <v>1.256E-2</v>
      </c>
      <c r="I241" s="104">
        <f t="shared" si="33"/>
        <v>0.50365599999999999</v>
      </c>
      <c r="J241" s="104">
        <f t="shared" si="35"/>
        <v>31.478500000000004</v>
      </c>
    </row>
    <row r="242" spans="2:11" x14ac:dyDescent="0.25">
      <c r="B242" s="104">
        <v>238</v>
      </c>
      <c r="C242" s="104" t="s">
        <v>768</v>
      </c>
      <c r="D242" s="104" t="s">
        <v>526</v>
      </c>
      <c r="E242" s="104">
        <v>1</v>
      </c>
      <c r="F242" s="104" t="s">
        <v>527</v>
      </c>
      <c r="G242" s="104">
        <v>40.1</v>
      </c>
      <c r="H242" s="104">
        <f t="shared" si="32"/>
        <v>1.256E-2</v>
      </c>
      <c r="I242" s="104">
        <f t="shared" si="33"/>
        <v>0.50365599999999999</v>
      </c>
      <c r="J242" s="104">
        <f t="shared" si="35"/>
        <v>31.478500000000004</v>
      </c>
    </row>
    <row r="243" spans="2:11" x14ac:dyDescent="0.25">
      <c r="B243" s="104">
        <v>239</v>
      </c>
      <c r="C243" s="104" t="s">
        <v>769</v>
      </c>
      <c r="D243" s="104" t="s">
        <v>526</v>
      </c>
      <c r="E243" s="104">
        <v>1</v>
      </c>
      <c r="F243" s="104" t="s">
        <v>527</v>
      </c>
      <c r="G243" s="104">
        <v>40.1</v>
      </c>
      <c r="H243" s="104">
        <f t="shared" si="32"/>
        <v>1.256E-2</v>
      </c>
      <c r="I243" s="104">
        <f t="shared" si="33"/>
        <v>0.50365599999999999</v>
      </c>
      <c r="J243" s="104">
        <f t="shared" si="35"/>
        <v>31.478500000000004</v>
      </c>
    </row>
    <row r="244" spans="2:11" x14ac:dyDescent="0.25">
      <c r="B244" s="104">
        <v>240</v>
      </c>
      <c r="C244" s="104" t="s">
        <v>770</v>
      </c>
      <c r="D244" s="104" t="s">
        <v>526</v>
      </c>
      <c r="E244" s="104">
        <v>1</v>
      </c>
      <c r="F244" s="104" t="s">
        <v>527</v>
      </c>
      <c r="G244" s="104">
        <v>40.1</v>
      </c>
      <c r="H244" s="104">
        <f t="shared" si="32"/>
        <v>1.256E-2</v>
      </c>
      <c r="I244" s="104">
        <f t="shared" si="33"/>
        <v>0.50365599999999999</v>
      </c>
      <c r="J244" s="104">
        <f t="shared" si="35"/>
        <v>31.478500000000004</v>
      </c>
    </row>
    <row r="245" spans="2:11" x14ac:dyDescent="0.25">
      <c r="B245" s="104">
        <v>241</v>
      </c>
      <c r="C245" s="104" t="s">
        <v>771</v>
      </c>
      <c r="D245" s="104" t="s">
        <v>526</v>
      </c>
      <c r="E245" s="104">
        <v>1</v>
      </c>
      <c r="F245" s="104" t="s">
        <v>527</v>
      </c>
      <c r="G245" s="104">
        <v>40.1</v>
      </c>
      <c r="H245" s="104">
        <f t="shared" si="32"/>
        <v>1.256E-2</v>
      </c>
      <c r="I245" s="104">
        <f t="shared" si="33"/>
        <v>0.50365599999999999</v>
      </c>
      <c r="J245" s="104">
        <f t="shared" si="35"/>
        <v>31.478500000000004</v>
      </c>
    </row>
    <row r="246" spans="2:11" x14ac:dyDescent="0.25">
      <c r="B246" s="104">
        <v>242</v>
      </c>
      <c r="C246" s="104" t="s">
        <v>772</v>
      </c>
      <c r="D246" s="104" t="s">
        <v>526</v>
      </c>
      <c r="E246" s="104">
        <v>1</v>
      </c>
      <c r="F246" s="104" t="s">
        <v>527</v>
      </c>
      <c r="G246" s="104">
        <v>40.1</v>
      </c>
      <c r="H246" s="104">
        <f t="shared" si="32"/>
        <v>1.256E-2</v>
      </c>
      <c r="I246" s="104">
        <f t="shared" si="33"/>
        <v>0.50365599999999999</v>
      </c>
      <c r="J246" s="104">
        <f t="shared" si="35"/>
        <v>31.478500000000004</v>
      </c>
    </row>
    <row r="247" spans="2:11" x14ac:dyDescent="0.25">
      <c r="B247" s="104">
        <v>243</v>
      </c>
      <c r="C247" s="104" t="s">
        <v>773</v>
      </c>
      <c r="D247" s="104" t="s">
        <v>526</v>
      </c>
      <c r="E247" s="104">
        <v>1</v>
      </c>
      <c r="F247" s="104" t="s">
        <v>527</v>
      </c>
      <c r="G247" s="104">
        <v>40.1</v>
      </c>
      <c r="H247" s="104">
        <f t="shared" si="32"/>
        <v>1.256E-2</v>
      </c>
      <c r="I247" s="104">
        <f t="shared" si="33"/>
        <v>0.50365599999999999</v>
      </c>
      <c r="J247" s="104">
        <f t="shared" si="35"/>
        <v>31.478500000000004</v>
      </c>
    </row>
    <row r="248" spans="2:11" x14ac:dyDescent="0.25">
      <c r="B248" s="104">
        <v>244</v>
      </c>
      <c r="C248" s="104" t="s">
        <v>774</v>
      </c>
      <c r="D248" s="104" t="s">
        <v>526</v>
      </c>
      <c r="E248" s="104">
        <v>1</v>
      </c>
      <c r="F248" s="104" t="s">
        <v>527</v>
      </c>
      <c r="G248" s="104">
        <v>40.1</v>
      </c>
      <c r="H248" s="104">
        <f t="shared" si="32"/>
        <v>1.256E-2</v>
      </c>
      <c r="I248" s="104">
        <f t="shared" si="33"/>
        <v>0.50365599999999999</v>
      </c>
      <c r="J248" s="104">
        <f t="shared" si="35"/>
        <v>31.478500000000004</v>
      </c>
    </row>
    <row r="249" spans="2:11" x14ac:dyDescent="0.25">
      <c r="B249" s="104">
        <v>245</v>
      </c>
      <c r="C249" s="104" t="s">
        <v>775</v>
      </c>
      <c r="D249" s="104" t="s">
        <v>565</v>
      </c>
      <c r="E249" s="104">
        <v>0.75</v>
      </c>
      <c r="F249" s="104" t="s">
        <v>527</v>
      </c>
      <c r="G249" s="104">
        <v>37.1</v>
      </c>
      <c r="H249" s="104">
        <f t="shared" si="32"/>
        <v>7.065000000000001E-3</v>
      </c>
      <c r="I249" s="104">
        <f t="shared" si="33"/>
        <v>0.26211150000000005</v>
      </c>
      <c r="J249" s="104">
        <f t="shared" si="35"/>
        <v>16.381968750000002</v>
      </c>
    </row>
    <row r="250" spans="2:11" x14ac:dyDescent="0.25">
      <c r="B250" s="104">
        <v>246</v>
      </c>
      <c r="C250" s="104" t="s">
        <v>776</v>
      </c>
      <c r="D250" s="104" t="s">
        <v>777</v>
      </c>
      <c r="E250" s="104">
        <f>0.6</f>
        <v>0.6</v>
      </c>
      <c r="F250" s="104" t="s">
        <v>778</v>
      </c>
      <c r="G250" s="104">
        <f>11.1</f>
        <v>11.1</v>
      </c>
      <c r="H250" s="104">
        <f t="shared" si="32"/>
        <v>4.5216000000000006E-3</v>
      </c>
      <c r="I250" s="104">
        <f t="shared" si="33"/>
        <v>5.0189760000000007E-2</v>
      </c>
      <c r="J250" s="104">
        <f>(3.14*((E250/2)^2)*G250)*(70*7)</f>
        <v>1537.0614</v>
      </c>
      <c r="K250" s="102">
        <v>490</v>
      </c>
    </row>
    <row r="251" spans="2:11" x14ac:dyDescent="0.25">
      <c r="B251" s="104">
        <v>247</v>
      </c>
      <c r="C251" s="104" t="s">
        <v>779</v>
      </c>
      <c r="D251" s="104" t="s">
        <v>780</v>
      </c>
      <c r="E251" s="104">
        <v>0.6</v>
      </c>
      <c r="F251" s="104" t="s">
        <v>778</v>
      </c>
      <c r="G251" s="104">
        <v>11.1</v>
      </c>
      <c r="H251" s="104">
        <f t="shared" si="32"/>
        <v>4.5216000000000006E-3</v>
      </c>
      <c r="I251" s="104">
        <f t="shared" si="33"/>
        <v>5.0189760000000007E-2</v>
      </c>
      <c r="J251" s="104">
        <f>(3.14*((E251/2)^2)*G251)*(145)</f>
        <v>454.84469999999999</v>
      </c>
      <c r="K251" s="102">
        <v>145</v>
      </c>
    </row>
    <row r="252" spans="2:11" ht="15.75" thickBot="1" x14ac:dyDescent="0.3">
      <c r="B252" s="104">
        <v>248</v>
      </c>
      <c r="C252" s="104" t="s">
        <v>781</v>
      </c>
      <c r="D252" s="104" t="s">
        <v>777</v>
      </c>
      <c r="E252" s="104">
        <v>0.6</v>
      </c>
      <c r="F252" s="104" t="s">
        <v>782</v>
      </c>
      <c r="G252" s="104">
        <v>11.1</v>
      </c>
      <c r="H252" s="104">
        <f t="shared" si="32"/>
        <v>4.5216000000000006E-3</v>
      </c>
      <c r="I252" s="104">
        <f t="shared" si="33"/>
        <v>5.0189760000000007E-2</v>
      </c>
      <c r="J252" s="104">
        <f>(3.14*((E252/2)^2)*G252)*(42*6)</f>
        <v>790.48871999999994</v>
      </c>
      <c r="K252" s="102">
        <f>42*6</f>
        <v>252</v>
      </c>
    </row>
    <row r="253" spans="2:11" ht="15.75" thickBot="1" x14ac:dyDescent="0.3">
      <c r="B253" s="105"/>
      <c r="C253" s="321" t="s">
        <v>21</v>
      </c>
      <c r="D253" s="321"/>
      <c r="E253" s="321"/>
      <c r="F253" s="321"/>
      <c r="G253" s="321"/>
      <c r="H253" s="321"/>
      <c r="I253" s="105">
        <f>SUM(I5:I252)</f>
        <v>338.69304477999964</v>
      </c>
      <c r="J253" s="105">
        <f>SUM(J5:J252)</f>
        <v>23941.29953875002</v>
      </c>
      <c r="K253" s="102">
        <f>K250+K251+K252+248</f>
        <v>1135</v>
      </c>
    </row>
    <row r="256" spans="2:11" ht="17.25" x14ac:dyDescent="0.25">
      <c r="F256" s="106" t="s">
        <v>783</v>
      </c>
      <c r="G256" s="107">
        <f>I253</f>
        <v>338.69304477999964</v>
      </c>
    </row>
    <row r="257" spans="6:10" x14ac:dyDescent="0.25">
      <c r="F257" s="108" t="s">
        <v>784</v>
      </c>
      <c r="G257" s="107">
        <f>G256*7.9</f>
        <v>2675.6750537619973</v>
      </c>
    </row>
    <row r="258" spans="6:10" x14ac:dyDescent="0.25">
      <c r="F258" s="108" t="s">
        <v>785</v>
      </c>
      <c r="G258" s="108" t="s">
        <v>786</v>
      </c>
    </row>
    <row r="259" spans="6:10" x14ac:dyDescent="0.25">
      <c r="F259" s="109" t="s">
        <v>787</v>
      </c>
      <c r="G259" s="110">
        <f>G257*(74000+1000)</f>
        <v>200675629.03214979</v>
      </c>
      <c r="H259" s="111">
        <f>G259+G264</f>
        <v>409946528.30036372</v>
      </c>
      <c r="J259" s="111">
        <f>H259/468067</f>
        <v>875.82873456228219</v>
      </c>
    </row>
    <row r="260" spans="6:10" x14ac:dyDescent="0.25">
      <c r="F260" s="108"/>
      <c r="G260" s="108"/>
      <c r="H260" s="111"/>
      <c r="I260" s="111"/>
    </row>
    <row r="261" spans="6:10" x14ac:dyDescent="0.25">
      <c r="F261" s="108" t="s">
        <v>788</v>
      </c>
      <c r="G261" s="107">
        <f>J253</f>
        <v>23941.29953875002</v>
      </c>
    </row>
    <row r="262" spans="6:10" x14ac:dyDescent="0.25">
      <c r="F262" s="108" t="s">
        <v>789</v>
      </c>
      <c r="G262" s="108" t="s">
        <v>790</v>
      </c>
    </row>
    <row r="263" spans="6:10" x14ac:dyDescent="0.25">
      <c r="F263" s="108" t="s">
        <v>791</v>
      </c>
      <c r="G263" s="108" t="s">
        <v>792</v>
      </c>
    </row>
    <row r="264" spans="6:10" x14ac:dyDescent="0.25">
      <c r="F264" s="109" t="s">
        <v>793</v>
      </c>
      <c r="G264" s="110">
        <f>G261*8741</f>
        <v>209270899.26821393</v>
      </c>
    </row>
    <row r="267" spans="6:10" x14ac:dyDescent="0.25">
      <c r="H267" s="111"/>
    </row>
    <row r="268" spans="6:10" x14ac:dyDescent="0.25">
      <c r="H268" s="111"/>
    </row>
  </sheetData>
  <mergeCells count="2">
    <mergeCell ref="B2:J2"/>
    <mergeCell ref="C253:H25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31"/>
  <sheetViews>
    <sheetView workbookViewId="0">
      <selection sqref="A1:XFD1048576"/>
    </sheetView>
  </sheetViews>
  <sheetFormatPr defaultRowHeight="15" x14ac:dyDescent="0.25"/>
  <cols>
    <col min="1" max="1" width="2" style="113" customWidth="1"/>
    <col min="2" max="2" width="12.85546875" style="112" bestFit="1" customWidth="1"/>
    <col min="3" max="3" width="14.42578125" style="147" bestFit="1" customWidth="1"/>
    <col min="4" max="4" width="13.7109375" style="112" bestFit="1" customWidth="1"/>
    <col min="5" max="5" width="16.140625" style="112" customWidth="1"/>
    <col min="6" max="6" width="11.28515625" style="112" bestFit="1" customWidth="1"/>
    <col min="7" max="7" width="13.140625" style="112" bestFit="1" customWidth="1"/>
    <col min="8" max="8" width="29.85546875" style="112" customWidth="1"/>
    <col min="9" max="9" width="29.85546875" style="112" hidden="1" customWidth="1"/>
    <col min="10" max="10" width="24" style="112" customWidth="1"/>
    <col min="11" max="11" width="25.5703125" style="112" bestFit="1" customWidth="1"/>
    <col min="12" max="12" width="11.5703125" style="113" bestFit="1" customWidth="1"/>
    <col min="13" max="13" width="9.140625" style="113"/>
    <col min="14" max="14" width="14.85546875" style="113" bestFit="1" customWidth="1"/>
    <col min="15" max="15" width="10" style="113" bestFit="1" customWidth="1"/>
    <col min="16" max="16384" width="9.140625" style="113"/>
  </cols>
  <sheetData>
    <row r="1" spans="2:17" x14ac:dyDescent="0.25">
      <c r="C1" s="112"/>
    </row>
    <row r="2" spans="2:17" ht="23.25" x14ac:dyDescent="0.25">
      <c r="B2" s="114" t="s">
        <v>794</v>
      </c>
      <c r="C2" s="114"/>
    </row>
    <row r="3" spans="2:17" x14ac:dyDescent="0.25">
      <c r="C3" s="112"/>
    </row>
    <row r="4" spans="2:17" x14ac:dyDescent="0.25">
      <c r="C4" s="112"/>
    </row>
    <row r="5" spans="2:17" ht="15.75" x14ac:dyDescent="0.25">
      <c r="B5" s="115" t="s">
        <v>102</v>
      </c>
      <c r="C5" s="116" t="s">
        <v>517</v>
      </c>
      <c r="D5" s="116" t="s">
        <v>518</v>
      </c>
      <c r="E5" s="116" t="s">
        <v>795</v>
      </c>
      <c r="F5" s="116" t="s">
        <v>520</v>
      </c>
      <c r="G5" s="116" t="s">
        <v>521</v>
      </c>
      <c r="H5" s="117" t="s">
        <v>796</v>
      </c>
      <c r="I5" s="117" t="s">
        <v>797</v>
      </c>
      <c r="J5" s="117" t="s">
        <v>798</v>
      </c>
      <c r="K5" s="118" t="s">
        <v>788</v>
      </c>
    </row>
    <row r="6" spans="2:17" x14ac:dyDescent="0.25">
      <c r="B6" s="119">
        <v>1</v>
      </c>
      <c r="C6" s="120" t="s">
        <v>527</v>
      </c>
      <c r="D6" s="121" t="s">
        <v>780</v>
      </c>
      <c r="E6" s="121">
        <f t="shared" ref="E6:E45" si="0">VLOOKUP(D6,$N$6:$P$11,3,FALSE)</f>
        <v>0.6</v>
      </c>
      <c r="F6" s="121" t="s">
        <v>799</v>
      </c>
      <c r="G6" s="121">
        <f t="shared" ref="G6:G45" si="1">VLOOKUP(D6,$N$6:$Q$11,4,FALSE)</f>
        <v>14.1</v>
      </c>
      <c r="H6" s="121">
        <f t="shared" ref="H6:H54" si="2">3.14*((E6/2)^2)</f>
        <v>0.28260000000000002</v>
      </c>
      <c r="I6" s="121">
        <f>Table1[[#This Row],[Length]]*Table1[[#This Row],[Volume of steel]]</f>
        <v>0.898939296</v>
      </c>
      <c r="J6" s="121">
        <f>1.6%*H6*Table1[[#This Row],[Length]]</f>
        <v>6.3754560000000002E-2</v>
      </c>
      <c r="K6" s="122">
        <f>3.14*((Table1[[#This Row],[Diameter ]]/2)^2)*Table1[[#This Row],[Length]]</f>
        <v>3.9846600000000003</v>
      </c>
      <c r="N6" s="123" t="s">
        <v>800</v>
      </c>
      <c r="O6" s="123" t="s">
        <v>801</v>
      </c>
      <c r="P6" s="123" t="s">
        <v>802</v>
      </c>
      <c r="Q6" s="123" t="s">
        <v>803</v>
      </c>
    </row>
    <row r="7" spans="2:17" x14ac:dyDescent="0.25">
      <c r="B7" s="119">
        <v>2</v>
      </c>
      <c r="C7" s="124" t="s">
        <v>527</v>
      </c>
      <c r="D7" s="121" t="s">
        <v>526</v>
      </c>
      <c r="E7" s="121">
        <f t="shared" si="0"/>
        <v>1</v>
      </c>
      <c r="F7" s="121" t="s">
        <v>799</v>
      </c>
      <c r="G7" s="121">
        <f t="shared" si="1"/>
        <v>43.1</v>
      </c>
      <c r="H7" s="121">
        <f t="shared" si="2"/>
        <v>0.78500000000000003</v>
      </c>
      <c r="I7" s="121">
        <f>Table1[[#This Row],[Length]]*Table1[[#This Row],[Volume of steel]]</f>
        <v>23.331581600000003</v>
      </c>
      <c r="J7" s="121">
        <f>1.6%*H7*Table1[[#This Row],[Length]]</f>
        <v>0.54133600000000004</v>
      </c>
      <c r="K7" s="122">
        <f>3.14*((Table1[[#This Row],[Diameter ]]/2)^2)*Table1[[#This Row],[Length]]</f>
        <v>33.833500000000001</v>
      </c>
      <c r="N7" s="123" t="s">
        <v>780</v>
      </c>
      <c r="O7" s="123">
        <v>600</v>
      </c>
      <c r="P7" s="123">
        <f>O7/1000</f>
        <v>0.6</v>
      </c>
      <c r="Q7" s="123">
        <v>14.1</v>
      </c>
    </row>
    <row r="8" spans="2:17" x14ac:dyDescent="0.25">
      <c r="B8" s="119">
        <v>3</v>
      </c>
      <c r="C8" s="125" t="s">
        <v>527</v>
      </c>
      <c r="D8" s="121" t="s">
        <v>526</v>
      </c>
      <c r="E8" s="121">
        <f t="shared" si="0"/>
        <v>1</v>
      </c>
      <c r="F8" s="121" t="s">
        <v>799</v>
      </c>
      <c r="G8" s="121">
        <f t="shared" si="1"/>
        <v>43.1</v>
      </c>
      <c r="H8" s="121">
        <f t="shared" si="2"/>
        <v>0.78500000000000003</v>
      </c>
      <c r="I8" s="121">
        <f>Table1[[#This Row],[Length]]*Table1[[#This Row],[Volume of steel]]</f>
        <v>23.331581600000003</v>
      </c>
      <c r="J8" s="121">
        <f>1.6%*H8*Table1[[#This Row],[Length]]</f>
        <v>0.54133600000000004</v>
      </c>
      <c r="K8" s="122">
        <f>3.14*((Table1[[#This Row],[Diameter ]]/2)^2)*Table1[[#This Row],[Length]]</f>
        <v>33.833500000000001</v>
      </c>
      <c r="N8" s="123" t="s">
        <v>526</v>
      </c>
      <c r="O8" s="123">
        <v>1000</v>
      </c>
      <c r="P8" s="123">
        <f t="shared" ref="P8:P11" si="3">O8/1000</f>
        <v>1</v>
      </c>
      <c r="Q8" s="123">
        <v>43.1</v>
      </c>
    </row>
    <row r="9" spans="2:17" x14ac:dyDescent="0.25">
      <c r="B9" s="119">
        <v>4</v>
      </c>
      <c r="C9" s="126" t="s">
        <v>527</v>
      </c>
      <c r="D9" s="121" t="s">
        <v>526</v>
      </c>
      <c r="E9" s="121">
        <f t="shared" si="0"/>
        <v>1</v>
      </c>
      <c r="F9" s="121" t="s">
        <v>799</v>
      </c>
      <c r="G9" s="121">
        <f t="shared" si="1"/>
        <v>43.1</v>
      </c>
      <c r="H9" s="121">
        <f t="shared" si="2"/>
        <v>0.78500000000000003</v>
      </c>
      <c r="I9" s="121">
        <f>Table1[[#This Row],[Length]]*Table1[[#This Row],[Volume of steel]]</f>
        <v>23.331581600000003</v>
      </c>
      <c r="J9" s="121">
        <f>1.6%*H9*Table1[[#This Row],[Length]]</f>
        <v>0.54133600000000004</v>
      </c>
      <c r="K9" s="122">
        <f>3.14*((Table1[[#This Row],[Diameter ]]/2)^2)*Table1[[#This Row],[Length]]</f>
        <v>33.833500000000001</v>
      </c>
      <c r="N9" s="123" t="s">
        <v>571</v>
      </c>
      <c r="O9" s="123">
        <v>750</v>
      </c>
      <c r="P9" s="123">
        <f t="shared" si="3"/>
        <v>0.75</v>
      </c>
      <c r="Q9" s="123">
        <v>39.1</v>
      </c>
    </row>
    <row r="10" spans="2:17" x14ac:dyDescent="0.25">
      <c r="B10" s="119">
        <v>5</v>
      </c>
      <c r="C10" s="127" t="s">
        <v>527</v>
      </c>
      <c r="D10" s="121" t="s">
        <v>526</v>
      </c>
      <c r="E10" s="121">
        <f t="shared" si="0"/>
        <v>1</v>
      </c>
      <c r="F10" s="121" t="s">
        <v>799</v>
      </c>
      <c r="G10" s="121">
        <f t="shared" si="1"/>
        <v>43.1</v>
      </c>
      <c r="H10" s="121">
        <f t="shared" si="2"/>
        <v>0.78500000000000003</v>
      </c>
      <c r="I10" s="121">
        <f>Table1[[#This Row],[Length]]*Table1[[#This Row],[Volume of steel]]</f>
        <v>23.331581600000003</v>
      </c>
      <c r="J10" s="121">
        <f>1.6%*H10*Table1[[#This Row],[Length]]</f>
        <v>0.54133600000000004</v>
      </c>
      <c r="K10" s="122">
        <f>3.14*((Table1[[#This Row],[Diameter ]]/2)^2)*Table1[[#This Row],[Length]]</f>
        <v>33.833500000000001</v>
      </c>
      <c r="N10" s="123" t="s">
        <v>804</v>
      </c>
      <c r="O10" s="123">
        <v>600</v>
      </c>
      <c r="P10" s="123">
        <f t="shared" si="3"/>
        <v>0.6</v>
      </c>
      <c r="Q10" s="123">
        <v>14.1</v>
      </c>
    </row>
    <row r="11" spans="2:17" x14ac:dyDescent="0.25">
      <c r="B11" s="119">
        <v>6</v>
      </c>
      <c r="C11" s="128" t="s">
        <v>527</v>
      </c>
      <c r="D11" s="121" t="s">
        <v>526</v>
      </c>
      <c r="E11" s="121">
        <f t="shared" si="0"/>
        <v>1</v>
      </c>
      <c r="F11" s="121" t="s">
        <v>799</v>
      </c>
      <c r="G11" s="121">
        <f t="shared" si="1"/>
        <v>43.1</v>
      </c>
      <c r="H11" s="121">
        <f t="shared" si="2"/>
        <v>0.78500000000000003</v>
      </c>
      <c r="I11" s="121">
        <f>Table1[[#This Row],[Length]]*Table1[[#This Row],[Volume of steel]]</f>
        <v>23.331581600000003</v>
      </c>
      <c r="J11" s="121">
        <f>1.6%*H11*Table1[[#This Row],[Length]]</f>
        <v>0.54133600000000004</v>
      </c>
      <c r="K11" s="122">
        <f>3.14*((Table1[[#This Row],[Diameter ]]/2)^2)*Table1[[#This Row],[Length]]</f>
        <v>33.833500000000001</v>
      </c>
      <c r="N11" s="123" t="s">
        <v>568</v>
      </c>
      <c r="O11" s="123">
        <v>1000</v>
      </c>
      <c r="P11" s="123">
        <f t="shared" si="3"/>
        <v>1</v>
      </c>
      <c r="Q11" s="123">
        <v>37.1</v>
      </c>
    </row>
    <row r="12" spans="2:17" x14ac:dyDescent="0.25">
      <c r="B12" s="119">
        <v>7</v>
      </c>
      <c r="C12" s="129" t="s">
        <v>527</v>
      </c>
      <c r="D12" s="121" t="s">
        <v>526</v>
      </c>
      <c r="E12" s="121">
        <f t="shared" si="0"/>
        <v>1</v>
      </c>
      <c r="F12" s="121" t="s">
        <v>799</v>
      </c>
      <c r="G12" s="121">
        <f t="shared" si="1"/>
        <v>43.1</v>
      </c>
      <c r="H12" s="121">
        <f t="shared" si="2"/>
        <v>0.78500000000000003</v>
      </c>
      <c r="I12" s="121">
        <f>Table1[[#This Row],[Length]]*Table1[[#This Row],[Volume of steel]]</f>
        <v>23.331581600000003</v>
      </c>
      <c r="J12" s="121">
        <f>1.6%*H12*Table1[[#This Row],[Length]]</f>
        <v>0.54133600000000004</v>
      </c>
      <c r="K12" s="122">
        <f>3.14*((Table1[[#This Row],[Diameter ]]/2)^2)*Table1[[#This Row],[Length]]</f>
        <v>33.833500000000001</v>
      </c>
    </row>
    <row r="13" spans="2:17" x14ac:dyDescent="0.25">
      <c r="B13" s="119">
        <v>8</v>
      </c>
      <c r="C13" s="130" t="s">
        <v>527</v>
      </c>
      <c r="D13" s="121" t="s">
        <v>526</v>
      </c>
      <c r="E13" s="121">
        <f t="shared" si="0"/>
        <v>1</v>
      </c>
      <c r="F13" s="121" t="s">
        <v>799</v>
      </c>
      <c r="G13" s="121">
        <f t="shared" si="1"/>
        <v>43.1</v>
      </c>
      <c r="H13" s="121">
        <f t="shared" si="2"/>
        <v>0.78500000000000003</v>
      </c>
      <c r="I13" s="121">
        <f>Table1[[#This Row],[Length]]*Table1[[#This Row],[Volume of steel]]</f>
        <v>23.331581600000003</v>
      </c>
      <c r="J13" s="121">
        <f>1.6%*H13*Table1[[#This Row],[Length]]</f>
        <v>0.54133600000000004</v>
      </c>
      <c r="K13" s="122">
        <f>3.14*((Table1[[#This Row],[Diameter ]]/2)^2)*Table1[[#This Row],[Length]]</f>
        <v>33.833500000000001</v>
      </c>
    </row>
    <row r="14" spans="2:17" x14ac:dyDescent="0.25">
      <c r="B14" s="119">
        <v>9</v>
      </c>
      <c r="C14" s="120" t="s">
        <v>799</v>
      </c>
      <c r="D14" s="121" t="s">
        <v>804</v>
      </c>
      <c r="E14" s="121">
        <f t="shared" si="0"/>
        <v>0.6</v>
      </c>
      <c r="F14" s="121" t="s">
        <v>799</v>
      </c>
      <c r="G14" s="121">
        <f t="shared" si="1"/>
        <v>14.1</v>
      </c>
      <c r="H14" s="121">
        <f t="shared" si="2"/>
        <v>0.28260000000000002</v>
      </c>
      <c r="I14" s="121">
        <f>Table1[[#This Row],[Length]]*Table1[[#This Row],[Volume of steel]]</f>
        <v>0.898939296</v>
      </c>
      <c r="J14" s="121">
        <f>1.6%*H14*Table1[[#This Row],[Length]]</f>
        <v>6.3754560000000002E-2</v>
      </c>
      <c r="K14" s="131">
        <f>2*3.14*((Table1[[#This Row],[Diameter ]]/2)^2)*Table1[[#This Row],[Length]]</f>
        <v>7.9693200000000006</v>
      </c>
    </row>
    <row r="15" spans="2:17" x14ac:dyDescent="0.25">
      <c r="B15" s="119">
        <v>10</v>
      </c>
      <c r="C15" s="124" t="s">
        <v>799</v>
      </c>
      <c r="D15" s="121" t="s">
        <v>526</v>
      </c>
      <c r="E15" s="121">
        <f t="shared" si="0"/>
        <v>1</v>
      </c>
      <c r="F15" s="121" t="s">
        <v>799</v>
      </c>
      <c r="G15" s="121">
        <f t="shared" si="1"/>
        <v>43.1</v>
      </c>
      <c r="H15" s="121">
        <f t="shared" si="2"/>
        <v>0.78500000000000003</v>
      </c>
      <c r="I15" s="121">
        <f>Table1[[#This Row],[Length]]*Table1[[#This Row],[Volume of steel]]</f>
        <v>23.331581600000003</v>
      </c>
      <c r="J15" s="121">
        <f>1.6%*H15*Table1[[#This Row],[Length]]</f>
        <v>0.54133600000000004</v>
      </c>
      <c r="K15" s="122">
        <f>3.14*((Table1[[#This Row],[Diameter ]]/2)^2)*Table1[[#This Row],[Length]]</f>
        <v>33.833500000000001</v>
      </c>
    </row>
    <row r="16" spans="2:17" x14ac:dyDescent="0.25">
      <c r="B16" s="119">
        <v>11</v>
      </c>
      <c r="C16" s="125" t="s">
        <v>799</v>
      </c>
      <c r="D16" s="121" t="s">
        <v>568</v>
      </c>
      <c r="E16" s="121">
        <f t="shared" si="0"/>
        <v>1</v>
      </c>
      <c r="F16" s="121" t="s">
        <v>799</v>
      </c>
      <c r="G16" s="121">
        <f t="shared" si="1"/>
        <v>37.1</v>
      </c>
      <c r="H16" s="131">
        <f>2*3.14*((E16/2)^2)</f>
        <v>1.57</v>
      </c>
      <c r="I16" s="121">
        <f>Table1[[#This Row],[Length]]*Table1[[#This Row],[Volume of steel]]</f>
        <v>34.575419199999999</v>
      </c>
      <c r="J16" s="121">
        <f>1.6%*H16*Table1[[#This Row],[Length]]</f>
        <v>0.931952</v>
      </c>
      <c r="K16" s="131">
        <f>2*3.14*((Table1[[#This Row],[Diameter ]]/2)^2)*Table1[[#This Row],[Length]]</f>
        <v>58.247000000000007</v>
      </c>
    </row>
    <row r="17" spans="2:17" x14ac:dyDescent="0.25">
      <c r="B17" s="119">
        <v>12</v>
      </c>
      <c r="C17" s="126" t="s">
        <v>799</v>
      </c>
      <c r="D17" s="121" t="s">
        <v>568</v>
      </c>
      <c r="E17" s="121">
        <f t="shared" si="0"/>
        <v>1</v>
      </c>
      <c r="F17" s="121" t="s">
        <v>799</v>
      </c>
      <c r="G17" s="121">
        <f t="shared" si="1"/>
        <v>37.1</v>
      </c>
      <c r="H17" s="131">
        <f t="shared" ref="H17:H21" si="4">2*3.14*((E17/2)^2)</f>
        <v>1.57</v>
      </c>
      <c r="I17" s="121">
        <f>Table1[[#This Row],[Length]]*Table1[[#This Row],[Volume of steel]]</f>
        <v>34.575419199999999</v>
      </c>
      <c r="J17" s="121">
        <f>1.6%*H17*Table1[[#This Row],[Length]]</f>
        <v>0.931952</v>
      </c>
      <c r="K17" s="131">
        <f>2*3.14*((Table1[[#This Row],[Diameter ]]/2)^2)*Table1[[#This Row],[Length]]</f>
        <v>58.247000000000007</v>
      </c>
      <c r="P17" s="131">
        <f t="shared" ref="P17" si="5">3.14*((M17/2)^2)</f>
        <v>0</v>
      </c>
      <c r="Q17" s="131">
        <f>3.14*((Table1[[#This Row],[Diameter ]]/2)^2)*Table1[[#This Row],[Length]]</f>
        <v>29.123500000000003</v>
      </c>
    </row>
    <row r="18" spans="2:17" x14ac:dyDescent="0.25">
      <c r="B18" s="119">
        <v>13</v>
      </c>
      <c r="C18" s="127" t="s">
        <v>799</v>
      </c>
      <c r="D18" s="121" t="s">
        <v>571</v>
      </c>
      <c r="E18" s="121">
        <f t="shared" si="0"/>
        <v>0.75</v>
      </c>
      <c r="F18" s="121" t="s">
        <v>799</v>
      </c>
      <c r="G18" s="121">
        <f t="shared" si="1"/>
        <v>39.1</v>
      </c>
      <c r="H18" s="131">
        <f t="shared" si="4"/>
        <v>0.88312500000000005</v>
      </c>
      <c r="I18" s="121">
        <f>Table1[[#This Row],[Length]]*Table1[[#This Row],[Volume of steel]]</f>
        <v>21.602085300000002</v>
      </c>
      <c r="J18" s="121">
        <f>1.6%*H18*Table1[[#This Row],[Length]]</f>
        <v>0.55248300000000006</v>
      </c>
      <c r="K18" s="131">
        <f>2*3.14*((Table1[[#This Row],[Diameter ]]/2)^2)*Table1[[#This Row],[Length]]</f>
        <v>34.530187500000004</v>
      </c>
    </row>
    <row r="19" spans="2:17" x14ac:dyDescent="0.25">
      <c r="B19" s="119">
        <v>14</v>
      </c>
      <c r="C19" s="128" t="s">
        <v>799</v>
      </c>
      <c r="D19" s="121" t="s">
        <v>571</v>
      </c>
      <c r="E19" s="121">
        <f t="shared" si="0"/>
        <v>0.75</v>
      </c>
      <c r="F19" s="121" t="s">
        <v>799</v>
      </c>
      <c r="G19" s="121">
        <f t="shared" si="1"/>
        <v>39.1</v>
      </c>
      <c r="H19" s="131">
        <f t="shared" si="4"/>
        <v>0.88312500000000005</v>
      </c>
      <c r="I19" s="121">
        <f>Table1[[#This Row],[Length]]*Table1[[#This Row],[Volume of steel]]</f>
        <v>21.602085300000002</v>
      </c>
      <c r="J19" s="121">
        <f>1.6%*H19*Table1[[#This Row],[Length]]</f>
        <v>0.55248300000000006</v>
      </c>
      <c r="K19" s="131">
        <f>2*3.14*((Table1[[#This Row],[Diameter ]]/2)^2)*Table1[[#This Row],[Length]]</f>
        <v>34.530187500000004</v>
      </c>
    </row>
    <row r="20" spans="2:17" x14ac:dyDescent="0.25">
      <c r="B20" s="119">
        <v>15</v>
      </c>
      <c r="C20" s="129" t="s">
        <v>799</v>
      </c>
      <c r="D20" s="121" t="s">
        <v>571</v>
      </c>
      <c r="E20" s="121">
        <f t="shared" si="0"/>
        <v>0.75</v>
      </c>
      <c r="F20" s="121" t="s">
        <v>799</v>
      </c>
      <c r="G20" s="121">
        <f t="shared" si="1"/>
        <v>39.1</v>
      </c>
      <c r="H20" s="131">
        <f t="shared" si="4"/>
        <v>0.88312500000000005</v>
      </c>
      <c r="I20" s="121">
        <f>Table1[[#This Row],[Length]]*Table1[[#This Row],[Volume of steel]]</f>
        <v>21.602085300000002</v>
      </c>
      <c r="J20" s="121">
        <f>1.6%*H20*Table1[[#This Row],[Length]]</f>
        <v>0.55248300000000006</v>
      </c>
      <c r="K20" s="131">
        <f>2*3.14*((Table1[[#This Row],[Diameter ]]/2)^2)*Table1[[#This Row],[Length]]</f>
        <v>34.530187500000004</v>
      </c>
    </row>
    <row r="21" spans="2:17" x14ac:dyDescent="0.25">
      <c r="B21" s="119">
        <v>16</v>
      </c>
      <c r="C21" s="130" t="s">
        <v>799</v>
      </c>
      <c r="D21" s="121" t="s">
        <v>571</v>
      </c>
      <c r="E21" s="121">
        <f t="shared" si="0"/>
        <v>0.75</v>
      </c>
      <c r="F21" s="121" t="s">
        <v>799</v>
      </c>
      <c r="G21" s="121">
        <f t="shared" si="1"/>
        <v>39.1</v>
      </c>
      <c r="H21" s="131">
        <f t="shared" si="4"/>
        <v>0.88312500000000005</v>
      </c>
      <c r="I21" s="121">
        <f>Table1[[#This Row],[Length]]*Table1[[#This Row],[Volume of steel]]</f>
        <v>21.602085300000002</v>
      </c>
      <c r="J21" s="121">
        <f>1.6%*H21*Table1[[#This Row],[Length]]</f>
        <v>0.55248300000000006</v>
      </c>
      <c r="K21" s="131">
        <f>2*3.14*((Table1[[#This Row],[Diameter ]]/2)^2)*Table1[[#This Row],[Length]]</f>
        <v>34.530187500000004</v>
      </c>
    </row>
    <row r="22" spans="2:17" x14ac:dyDescent="0.25">
      <c r="B22" s="119">
        <v>17</v>
      </c>
      <c r="C22" s="120" t="s">
        <v>805</v>
      </c>
      <c r="D22" s="121" t="s">
        <v>804</v>
      </c>
      <c r="E22" s="121">
        <f t="shared" si="0"/>
        <v>0.6</v>
      </c>
      <c r="F22" s="121" t="s">
        <v>799</v>
      </c>
      <c r="G22" s="121">
        <f t="shared" si="1"/>
        <v>14.1</v>
      </c>
      <c r="H22" s="121">
        <f t="shared" si="2"/>
        <v>0.28260000000000002</v>
      </c>
      <c r="I22" s="121">
        <f>Table1[[#This Row],[Length]]*Table1[[#This Row],[Volume of steel]]</f>
        <v>0.898939296</v>
      </c>
      <c r="J22" s="121">
        <f>1.6%*H22*Table1[[#This Row],[Length]]</f>
        <v>6.3754560000000002E-2</v>
      </c>
      <c r="K22" s="131">
        <f>2*3.14*((Table1[[#This Row],[Diameter ]]/2)^2)*Table1[[#This Row],[Length]]</f>
        <v>7.9693200000000006</v>
      </c>
    </row>
    <row r="23" spans="2:17" x14ac:dyDescent="0.25">
      <c r="B23" s="119">
        <v>18</v>
      </c>
      <c r="C23" s="124" t="s">
        <v>805</v>
      </c>
      <c r="D23" s="121" t="s">
        <v>526</v>
      </c>
      <c r="E23" s="121">
        <f t="shared" si="0"/>
        <v>1</v>
      </c>
      <c r="F23" s="121" t="s">
        <v>799</v>
      </c>
      <c r="G23" s="121">
        <f t="shared" si="1"/>
        <v>43.1</v>
      </c>
      <c r="H23" s="121">
        <f t="shared" si="2"/>
        <v>0.78500000000000003</v>
      </c>
      <c r="I23" s="121">
        <f>Table1[[#This Row],[Length]]*Table1[[#This Row],[Volume of steel]]</f>
        <v>23.331581600000003</v>
      </c>
      <c r="J23" s="121">
        <f>1.6%*H23*Table1[[#This Row],[Length]]</f>
        <v>0.54133600000000004</v>
      </c>
      <c r="K23" s="122">
        <f>3.14*((Table1[[#This Row],[Diameter ]]/2)^2)*Table1[[#This Row],[Length]]</f>
        <v>33.833500000000001</v>
      </c>
    </row>
    <row r="24" spans="2:17" x14ac:dyDescent="0.25">
      <c r="B24" s="119">
        <v>19</v>
      </c>
      <c r="C24" s="125" t="s">
        <v>805</v>
      </c>
      <c r="D24" s="121" t="s">
        <v>568</v>
      </c>
      <c r="E24" s="121">
        <f t="shared" si="0"/>
        <v>1</v>
      </c>
      <c r="F24" s="121" t="s">
        <v>799</v>
      </c>
      <c r="G24" s="121">
        <f t="shared" si="1"/>
        <v>37.1</v>
      </c>
      <c r="H24" s="131">
        <f t="shared" ref="H24:H28" si="6">2*3.14*((E24/2)^2)</f>
        <v>1.57</v>
      </c>
      <c r="I24" s="121">
        <f>Table1[[#This Row],[Length]]*Table1[[#This Row],[Volume of steel]]</f>
        <v>34.575419199999999</v>
      </c>
      <c r="J24" s="121">
        <f>1.6%*H24*Table1[[#This Row],[Length]]</f>
        <v>0.931952</v>
      </c>
      <c r="K24" s="131">
        <f>2*3.14*((Table1[[#This Row],[Diameter ]]/2)^2)*Table1[[#This Row],[Length]]</f>
        <v>58.247000000000007</v>
      </c>
    </row>
    <row r="25" spans="2:17" x14ac:dyDescent="0.25">
      <c r="B25" s="119">
        <v>20</v>
      </c>
      <c r="C25" s="126" t="s">
        <v>805</v>
      </c>
      <c r="D25" s="121" t="s">
        <v>568</v>
      </c>
      <c r="E25" s="121">
        <f t="shared" si="0"/>
        <v>1</v>
      </c>
      <c r="F25" s="121" t="s">
        <v>799</v>
      </c>
      <c r="G25" s="121">
        <f t="shared" si="1"/>
        <v>37.1</v>
      </c>
      <c r="H25" s="131">
        <f t="shared" si="6"/>
        <v>1.57</v>
      </c>
      <c r="I25" s="121">
        <f>Table1[[#This Row],[Length]]*Table1[[#This Row],[Volume of steel]]</f>
        <v>34.575419199999999</v>
      </c>
      <c r="J25" s="121">
        <f>1.6%*H25*Table1[[#This Row],[Length]]</f>
        <v>0.931952</v>
      </c>
      <c r="K25" s="131">
        <f>2*3.14*((Table1[[#This Row],[Diameter ]]/2)^2)*Table1[[#This Row],[Length]]</f>
        <v>58.247000000000007</v>
      </c>
    </row>
    <row r="26" spans="2:17" x14ac:dyDescent="0.25">
      <c r="B26" s="119">
        <v>21</v>
      </c>
      <c r="C26" s="127" t="s">
        <v>805</v>
      </c>
      <c r="D26" s="121" t="s">
        <v>571</v>
      </c>
      <c r="E26" s="121">
        <f t="shared" si="0"/>
        <v>0.75</v>
      </c>
      <c r="F26" s="121" t="s">
        <v>799</v>
      </c>
      <c r="G26" s="121">
        <f t="shared" si="1"/>
        <v>39.1</v>
      </c>
      <c r="H26" s="131">
        <f t="shared" si="6"/>
        <v>0.88312500000000005</v>
      </c>
      <c r="I26" s="121">
        <f>Table1[[#This Row],[Length]]*Table1[[#This Row],[Volume of steel]]</f>
        <v>21.602085300000002</v>
      </c>
      <c r="J26" s="121">
        <f>1.6%*H26*Table1[[#This Row],[Length]]</f>
        <v>0.55248300000000006</v>
      </c>
      <c r="K26" s="131">
        <f>2*3.14*((Table1[[#This Row],[Diameter ]]/2)^2)*Table1[[#This Row],[Length]]</f>
        <v>34.530187500000004</v>
      </c>
    </row>
    <row r="27" spans="2:17" x14ac:dyDescent="0.25">
      <c r="B27" s="119">
        <v>22</v>
      </c>
      <c r="C27" s="128" t="s">
        <v>805</v>
      </c>
      <c r="D27" s="121" t="s">
        <v>571</v>
      </c>
      <c r="E27" s="121">
        <f t="shared" si="0"/>
        <v>0.75</v>
      </c>
      <c r="F27" s="121" t="s">
        <v>799</v>
      </c>
      <c r="G27" s="121">
        <f t="shared" si="1"/>
        <v>39.1</v>
      </c>
      <c r="H27" s="131">
        <f t="shared" si="6"/>
        <v>0.88312500000000005</v>
      </c>
      <c r="I27" s="121">
        <f>Table1[[#This Row],[Length]]*Table1[[#This Row],[Volume of steel]]</f>
        <v>21.602085300000002</v>
      </c>
      <c r="J27" s="121">
        <f>1.6%*H27*Table1[[#This Row],[Length]]</f>
        <v>0.55248300000000006</v>
      </c>
      <c r="K27" s="131">
        <f>2*3.14*((Table1[[#This Row],[Diameter ]]/2)^2)*Table1[[#This Row],[Length]]</f>
        <v>34.530187500000004</v>
      </c>
    </row>
    <row r="28" spans="2:17" x14ac:dyDescent="0.25">
      <c r="B28" s="119">
        <v>23</v>
      </c>
      <c r="C28" s="129" t="s">
        <v>805</v>
      </c>
      <c r="D28" s="121" t="s">
        <v>571</v>
      </c>
      <c r="E28" s="121">
        <f t="shared" si="0"/>
        <v>0.75</v>
      </c>
      <c r="F28" s="121" t="s">
        <v>799</v>
      </c>
      <c r="G28" s="121">
        <f t="shared" si="1"/>
        <v>39.1</v>
      </c>
      <c r="H28" s="131">
        <f t="shared" si="6"/>
        <v>0.88312500000000005</v>
      </c>
      <c r="I28" s="121">
        <f>Table1[[#This Row],[Length]]*Table1[[#This Row],[Volume of steel]]</f>
        <v>21.602085300000002</v>
      </c>
      <c r="J28" s="121">
        <f>1.6%*H28*Table1[[#This Row],[Length]]</f>
        <v>0.55248300000000006</v>
      </c>
      <c r="K28" s="131">
        <f>2*3.14*((Table1[[#This Row],[Diameter ]]/2)^2)*Table1[[#This Row],[Length]]</f>
        <v>34.530187500000004</v>
      </c>
    </row>
    <row r="29" spans="2:17" x14ac:dyDescent="0.25">
      <c r="B29" s="119">
        <v>24</v>
      </c>
      <c r="C29" s="130" t="s">
        <v>805</v>
      </c>
      <c r="D29" s="121" t="s">
        <v>526</v>
      </c>
      <c r="E29" s="121">
        <f t="shared" si="0"/>
        <v>1</v>
      </c>
      <c r="F29" s="121" t="s">
        <v>799</v>
      </c>
      <c r="G29" s="121">
        <f t="shared" si="1"/>
        <v>43.1</v>
      </c>
      <c r="H29" s="121">
        <f t="shared" si="2"/>
        <v>0.78500000000000003</v>
      </c>
      <c r="I29" s="121">
        <f>Table1[[#This Row],[Length]]*Table1[[#This Row],[Volume of steel]]</f>
        <v>23.331581600000003</v>
      </c>
      <c r="J29" s="121">
        <f>1.6%*H29*Table1[[#This Row],[Length]]</f>
        <v>0.54133600000000004</v>
      </c>
      <c r="K29" s="122">
        <f>3.14*((Table1[[#This Row],[Diameter ]]/2)^2)*Table1[[#This Row],[Length]]</f>
        <v>33.833500000000001</v>
      </c>
    </row>
    <row r="30" spans="2:17" x14ac:dyDescent="0.25">
      <c r="B30" s="119">
        <v>25</v>
      </c>
      <c r="C30" s="120" t="s">
        <v>806</v>
      </c>
      <c r="D30" s="121" t="s">
        <v>804</v>
      </c>
      <c r="E30" s="121">
        <f t="shared" si="0"/>
        <v>0.6</v>
      </c>
      <c r="F30" s="121" t="s">
        <v>799</v>
      </c>
      <c r="G30" s="121">
        <f t="shared" si="1"/>
        <v>14.1</v>
      </c>
      <c r="H30" s="121">
        <f t="shared" si="2"/>
        <v>0.28260000000000002</v>
      </c>
      <c r="I30" s="121">
        <f>Table1[[#This Row],[Length]]*Table1[[#This Row],[Volume of steel]]</f>
        <v>0.898939296</v>
      </c>
      <c r="J30" s="121">
        <f>1.6%*H30*Table1[[#This Row],[Length]]</f>
        <v>6.3754560000000002E-2</v>
      </c>
      <c r="K30" s="131">
        <f>2*3.14*((Table1[[#This Row],[Diameter ]]/2)^2)*Table1[[#This Row],[Length]]</f>
        <v>7.9693200000000006</v>
      </c>
      <c r="O30" s="131">
        <f>3.14*((Table1[[#This Row],[Diameter ]]/2)^2)*Table1[[#This Row],[Length]]</f>
        <v>3.9846600000000003</v>
      </c>
    </row>
    <row r="31" spans="2:17" x14ac:dyDescent="0.25">
      <c r="B31" s="119">
        <v>26</v>
      </c>
      <c r="C31" s="124" t="s">
        <v>806</v>
      </c>
      <c r="D31" s="121" t="s">
        <v>526</v>
      </c>
      <c r="E31" s="121">
        <f t="shared" si="0"/>
        <v>1</v>
      </c>
      <c r="F31" s="121" t="s">
        <v>799</v>
      </c>
      <c r="G31" s="121">
        <f t="shared" si="1"/>
        <v>43.1</v>
      </c>
      <c r="H31" s="121">
        <f t="shared" si="2"/>
        <v>0.78500000000000003</v>
      </c>
      <c r="I31" s="121">
        <f>Table1[[#This Row],[Length]]*Table1[[#This Row],[Volume of steel]]</f>
        <v>23.331581600000003</v>
      </c>
      <c r="J31" s="121">
        <f>1.6%*H31*Table1[[#This Row],[Length]]</f>
        <v>0.54133600000000004</v>
      </c>
      <c r="K31" s="122">
        <f>3.14*((Table1[[#This Row],[Diameter ]]/2)^2)*Table1[[#This Row],[Length]]</f>
        <v>33.833500000000001</v>
      </c>
    </row>
    <row r="32" spans="2:17" x14ac:dyDescent="0.25">
      <c r="B32" s="119">
        <v>27</v>
      </c>
      <c r="C32" s="125" t="s">
        <v>806</v>
      </c>
      <c r="D32" s="121" t="s">
        <v>568</v>
      </c>
      <c r="E32" s="121">
        <f t="shared" si="0"/>
        <v>1</v>
      </c>
      <c r="F32" s="121" t="s">
        <v>799</v>
      </c>
      <c r="G32" s="121">
        <f t="shared" si="1"/>
        <v>37.1</v>
      </c>
      <c r="H32" s="131">
        <f t="shared" ref="H32:H36" si="7">2*3.14*((E32/2)^2)</f>
        <v>1.57</v>
      </c>
      <c r="I32" s="121">
        <f>Table1[[#This Row],[Length]]*Table1[[#This Row],[Volume of steel]]</f>
        <v>34.575419199999999</v>
      </c>
      <c r="J32" s="121">
        <f>1.6%*H32*Table1[[#This Row],[Length]]</f>
        <v>0.931952</v>
      </c>
      <c r="K32" s="131">
        <f>2*3.14*((Table1[[#This Row],[Diameter ]]/2)^2)*Table1[[#This Row],[Length]]</f>
        <v>58.247000000000007</v>
      </c>
    </row>
    <row r="33" spans="2:16" x14ac:dyDescent="0.25">
      <c r="B33" s="119">
        <v>28</v>
      </c>
      <c r="C33" s="126" t="s">
        <v>806</v>
      </c>
      <c r="D33" s="121" t="s">
        <v>568</v>
      </c>
      <c r="E33" s="121">
        <f t="shared" si="0"/>
        <v>1</v>
      </c>
      <c r="F33" s="121" t="s">
        <v>799</v>
      </c>
      <c r="G33" s="121">
        <f t="shared" si="1"/>
        <v>37.1</v>
      </c>
      <c r="H33" s="131">
        <f t="shared" si="7"/>
        <v>1.57</v>
      </c>
      <c r="I33" s="121">
        <f>Table1[[#This Row],[Length]]*Table1[[#This Row],[Volume of steel]]</f>
        <v>34.575419199999999</v>
      </c>
      <c r="J33" s="121">
        <f>1.6%*H33*Table1[[#This Row],[Length]]</f>
        <v>0.931952</v>
      </c>
      <c r="K33" s="131">
        <f>2*3.14*((Table1[[#This Row],[Diameter ]]/2)^2)*Table1[[#This Row],[Length]]</f>
        <v>58.247000000000007</v>
      </c>
    </row>
    <row r="34" spans="2:16" x14ac:dyDescent="0.25">
      <c r="B34" s="119">
        <v>29</v>
      </c>
      <c r="C34" s="127" t="s">
        <v>806</v>
      </c>
      <c r="D34" s="121" t="s">
        <v>571</v>
      </c>
      <c r="E34" s="121">
        <f t="shared" si="0"/>
        <v>0.75</v>
      </c>
      <c r="F34" s="121" t="s">
        <v>799</v>
      </c>
      <c r="G34" s="121">
        <f t="shared" si="1"/>
        <v>39.1</v>
      </c>
      <c r="H34" s="131">
        <f t="shared" si="7"/>
        <v>0.88312500000000005</v>
      </c>
      <c r="I34" s="121">
        <f>Table1[[#This Row],[Length]]*Table1[[#This Row],[Volume of steel]]</f>
        <v>21.602085300000002</v>
      </c>
      <c r="J34" s="121">
        <f>1.6%*H34*Table1[[#This Row],[Length]]</f>
        <v>0.55248300000000006</v>
      </c>
      <c r="K34" s="131">
        <f>2*3.14*((Table1[[#This Row],[Diameter ]]/2)^2)*Table1[[#This Row],[Length]]</f>
        <v>34.530187500000004</v>
      </c>
    </row>
    <row r="35" spans="2:16" x14ac:dyDescent="0.25">
      <c r="B35" s="119">
        <v>30</v>
      </c>
      <c r="C35" s="128" t="s">
        <v>806</v>
      </c>
      <c r="D35" s="121" t="s">
        <v>571</v>
      </c>
      <c r="E35" s="121">
        <f t="shared" si="0"/>
        <v>0.75</v>
      </c>
      <c r="F35" s="121" t="s">
        <v>799</v>
      </c>
      <c r="G35" s="121">
        <f t="shared" si="1"/>
        <v>39.1</v>
      </c>
      <c r="H35" s="131">
        <f t="shared" si="7"/>
        <v>0.88312500000000005</v>
      </c>
      <c r="I35" s="121">
        <f>Table1[[#This Row],[Length]]*Table1[[#This Row],[Volume of steel]]</f>
        <v>21.602085300000002</v>
      </c>
      <c r="J35" s="121">
        <f>1.6%*H35*Table1[[#This Row],[Length]]</f>
        <v>0.55248300000000006</v>
      </c>
      <c r="K35" s="131">
        <f>2*3.14*((Table1[[#This Row],[Diameter ]]/2)^2)*Table1[[#This Row],[Length]]</f>
        <v>34.530187500000004</v>
      </c>
    </row>
    <row r="36" spans="2:16" x14ac:dyDescent="0.25">
      <c r="B36" s="119">
        <v>31</v>
      </c>
      <c r="C36" s="129" t="s">
        <v>806</v>
      </c>
      <c r="D36" s="121" t="s">
        <v>571</v>
      </c>
      <c r="E36" s="121">
        <f t="shared" si="0"/>
        <v>0.75</v>
      </c>
      <c r="F36" s="121" t="s">
        <v>799</v>
      </c>
      <c r="G36" s="121">
        <f t="shared" si="1"/>
        <v>39.1</v>
      </c>
      <c r="H36" s="131">
        <f t="shared" si="7"/>
        <v>0.88312500000000005</v>
      </c>
      <c r="I36" s="121">
        <f>Table1[[#This Row],[Length]]*Table1[[#This Row],[Volume of steel]]</f>
        <v>21.602085300000002</v>
      </c>
      <c r="J36" s="121">
        <f>1.6%*H36*Table1[[#This Row],[Length]]</f>
        <v>0.55248300000000006</v>
      </c>
      <c r="K36" s="131">
        <f>2*3.14*((Table1[[#This Row],[Diameter ]]/2)^2)*Table1[[#This Row],[Length]]</f>
        <v>34.530187500000004</v>
      </c>
    </row>
    <row r="37" spans="2:16" x14ac:dyDescent="0.25">
      <c r="B37" s="119">
        <v>32</v>
      </c>
      <c r="C37" s="130" t="s">
        <v>806</v>
      </c>
      <c r="D37" s="121" t="s">
        <v>526</v>
      </c>
      <c r="E37" s="121">
        <f t="shared" si="0"/>
        <v>1</v>
      </c>
      <c r="F37" s="121" t="s">
        <v>799</v>
      </c>
      <c r="G37" s="121">
        <f t="shared" si="1"/>
        <v>43.1</v>
      </c>
      <c r="H37" s="121">
        <f t="shared" si="2"/>
        <v>0.78500000000000003</v>
      </c>
      <c r="I37" s="121">
        <f>Table1[[#This Row],[Length]]*Table1[[#This Row],[Volume of steel]]</f>
        <v>23.331581600000003</v>
      </c>
      <c r="J37" s="121">
        <f>1.6%*H37*Table1[[#This Row],[Length]]</f>
        <v>0.54133600000000004</v>
      </c>
      <c r="K37" s="122">
        <f>3.14*((Table1[[#This Row],[Diameter ]]/2)^2)*Table1[[#This Row],[Length]]</f>
        <v>33.833500000000001</v>
      </c>
    </row>
    <row r="38" spans="2:16" x14ac:dyDescent="0.25">
      <c r="B38" s="119">
        <v>33</v>
      </c>
      <c r="C38" s="120" t="s">
        <v>807</v>
      </c>
      <c r="D38" s="121" t="s">
        <v>780</v>
      </c>
      <c r="E38" s="121">
        <f t="shared" si="0"/>
        <v>0.6</v>
      </c>
      <c r="F38" s="121" t="s">
        <v>799</v>
      </c>
      <c r="G38" s="121">
        <f t="shared" si="1"/>
        <v>14.1</v>
      </c>
      <c r="H38" s="121">
        <f t="shared" si="2"/>
        <v>0.28260000000000002</v>
      </c>
      <c r="I38" s="121">
        <f>Table1[[#This Row],[Length]]*Table1[[#This Row],[Volume of steel]]</f>
        <v>0.898939296</v>
      </c>
      <c r="J38" s="121">
        <f>1.6%*H38*Table1[[#This Row],[Length]]</f>
        <v>6.3754560000000002E-2</v>
      </c>
      <c r="K38" s="122">
        <f>3.14*((Table1[[#This Row],[Diameter ]]/2)^2)*Table1[[#This Row],[Length]]</f>
        <v>3.9846600000000003</v>
      </c>
    </row>
    <row r="39" spans="2:16" x14ac:dyDescent="0.25">
      <c r="B39" s="119">
        <v>34</v>
      </c>
      <c r="C39" s="124" t="s">
        <v>807</v>
      </c>
      <c r="D39" s="121" t="s">
        <v>526</v>
      </c>
      <c r="E39" s="121">
        <f t="shared" si="0"/>
        <v>1</v>
      </c>
      <c r="F39" s="121" t="s">
        <v>799</v>
      </c>
      <c r="G39" s="121">
        <f t="shared" si="1"/>
        <v>43.1</v>
      </c>
      <c r="H39" s="121">
        <f t="shared" si="2"/>
        <v>0.78500000000000003</v>
      </c>
      <c r="I39" s="121">
        <f>Table1[[#This Row],[Length]]*Table1[[#This Row],[Volume of steel]]</f>
        <v>23.331581600000003</v>
      </c>
      <c r="J39" s="121">
        <f>1.6%*H39*Table1[[#This Row],[Length]]</f>
        <v>0.54133600000000004</v>
      </c>
      <c r="K39" s="122">
        <f>3.14*((Table1[[#This Row],[Diameter ]]/2)^2)*Table1[[#This Row],[Length]]</f>
        <v>33.833500000000001</v>
      </c>
    </row>
    <row r="40" spans="2:16" x14ac:dyDescent="0.25">
      <c r="B40" s="119">
        <v>35</v>
      </c>
      <c r="C40" s="125" t="s">
        <v>807</v>
      </c>
      <c r="D40" s="121" t="s">
        <v>568</v>
      </c>
      <c r="E40" s="121">
        <f t="shared" si="0"/>
        <v>1</v>
      </c>
      <c r="F40" s="121" t="s">
        <v>799</v>
      </c>
      <c r="G40" s="121">
        <f t="shared" si="1"/>
        <v>37.1</v>
      </c>
      <c r="H40" s="131">
        <f t="shared" ref="H40:H44" si="8">2*3.14*((E40/2)^2)</f>
        <v>1.57</v>
      </c>
      <c r="I40" s="121">
        <f>Table1[[#This Row],[Length]]*Table1[[#This Row],[Volume of steel]]</f>
        <v>34.575419199999999</v>
      </c>
      <c r="J40" s="121">
        <f>1.6%*H40*Table1[[#This Row],[Length]]</f>
        <v>0.931952</v>
      </c>
      <c r="K40" s="131">
        <f>2*3.14*((Table1[[#This Row],[Diameter ]]/2)^2)*Table1[[#This Row],[Length]]</f>
        <v>58.247000000000007</v>
      </c>
      <c r="P40" s="113" t="s">
        <v>527</v>
      </c>
    </row>
    <row r="41" spans="2:16" x14ac:dyDescent="0.25">
      <c r="B41" s="119">
        <v>36</v>
      </c>
      <c r="C41" s="126" t="s">
        <v>807</v>
      </c>
      <c r="D41" s="121" t="s">
        <v>568</v>
      </c>
      <c r="E41" s="121">
        <f t="shared" si="0"/>
        <v>1</v>
      </c>
      <c r="F41" s="121" t="s">
        <v>799</v>
      </c>
      <c r="G41" s="121">
        <f t="shared" si="1"/>
        <v>37.1</v>
      </c>
      <c r="H41" s="131">
        <f t="shared" si="8"/>
        <v>1.57</v>
      </c>
      <c r="I41" s="121">
        <f>Table1[[#This Row],[Length]]*Table1[[#This Row],[Volume of steel]]</f>
        <v>34.575419199999999</v>
      </c>
      <c r="J41" s="121">
        <f>1.6%*H41*Table1[[#This Row],[Length]]</f>
        <v>0.931952</v>
      </c>
      <c r="K41" s="131">
        <f>2*3.14*((Table1[[#This Row],[Diameter ]]/2)^2)*Table1[[#This Row],[Length]]</f>
        <v>58.247000000000007</v>
      </c>
      <c r="P41" s="113" t="s">
        <v>799</v>
      </c>
    </row>
    <row r="42" spans="2:16" x14ac:dyDescent="0.25">
      <c r="B42" s="119">
        <v>37</v>
      </c>
      <c r="C42" s="127" t="s">
        <v>807</v>
      </c>
      <c r="D42" s="121" t="s">
        <v>571</v>
      </c>
      <c r="E42" s="121">
        <f t="shared" si="0"/>
        <v>0.75</v>
      </c>
      <c r="F42" s="121" t="s">
        <v>799</v>
      </c>
      <c r="G42" s="121">
        <f t="shared" si="1"/>
        <v>39.1</v>
      </c>
      <c r="H42" s="131">
        <f t="shared" si="8"/>
        <v>0.88312500000000005</v>
      </c>
      <c r="I42" s="121">
        <f>Table1[[#This Row],[Length]]*Table1[[#This Row],[Volume of steel]]</f>
        <v>21.602085300000002</v>
      </c>
      <c r="J42" s="121">
        <f>1.6%*H42*Table1[[#This Row],[Length]]</f>
        <v>0.55248300000000006</v>
      </c>
      <c r="K42" s="131">
        <f>2*3.14*((Table1[[#This Row],[Diameter ]]/2)^2)*Table1[[#This Row],[Length]]</f>
        <v>34.530187500000004</v>
      </c>
      <c r="P42" s="113" t="s">
        <v>805</v>
      </c>
    </row>
    <row r="43" spans="2:16" x14ac:dyDescent="0.25">
      <c r="B43" s="119">
        <v>38</v>
      </c>
      <c r="C43" s="128" t="s">
        <v>807</v>
      </c>
      <c r="D43" s="121" t="s">
        <v>571</v>
      </c>
      <c r="E43" s="121">
        <f t="shared" si="0"/>
        <v>0.75</v>
      </c>
      <c r="F43" s="121" t="s">
        <v>799</v>
      </c>
      <c r="G43" s="121">
        <f t="shared" si="1"/>
        <v>39.1</v>
      </c>
      <c r="H43" s="131">
        <f t="shared" si="8"/>
        <v>0.88312500000000005</v>
      </c>
      <c r="I43" s="121">
        <f>Table1[[#This Row],[Length]]*Table1[[#This Row],[Volume of steel]]</f>
        <v>21.602085300000002</v>
      </c>
      <c r="J43" s="121">
        <f>1.6%*H43*Table1[[#This Row],[Length]]</f>
        <v>0.55248300000000006</v>
      </c>
      <c r="K43" s="131">
        <f>2*3.14*((Table1[[#This Row],[Diameter ]]/2)^2)*Table1[[#This Row],[Length]]</f>
        <v>34.530187500000004</v>
      </c>
      <c r="P43" s="113" t="s">
        <v>806</v>
      </c>
    </row>
    <row r="44" spans="2:16" x14ac:dyDescent="0.25">
      <c r="B44" s="119">
        <v>39</v>
      </c>
      <c r="C44" s="129" t="s">
        <v>807</v>
      </c>
      <c r="D44" s="121" t="s">
        <v>571</v>
      </c>
      <c r="E44" s="121">
        <f t="shared" si="0"/>
        <v>0.75</v>
      </c>
      <c r="F44" s="121" t="s">
        <v>799</v>
      </c>
      <c r="G44" s="121">
        <f t="shared" si="1"/>
        <v>39.1</v>
      </c>
      <c r="H44" s="131">
        <f t="shared" si="8"/>
        <v>0.88312500000000005</v>
      </c>
      <c r="I44" s="121">
        <f>Table1[[#This Row],[Length]]*Table1[[#This Row],[Volume of steel]]</f>
        <v>21.602085300000002</v>
      </c>
      <c r="J44" s="121">
        <f>1.6%*H44*Table1[[#This Row],[Length]]</f>
        <v>0.55248300000000006</v>
      </c>
      <c r="K44" s="131">
        <f>2*3.14*((Table1[[#This Row],[Diameter ]]/2)^2)*Table1[[#This Row],[Length]]</f>
        <v>34.530187500000004</v>
      </c>
      <c r="P44" s="113" t="s">
        <v>807</v>
      </c>
    </row>
    <row r="45" spans="2:16" x14ac:dyDescent="0.25">
      <c r="B45" s="119">
        <v>40</v>
      </c>
      <c r="C45" s="130" t="s">
        <v>807</v>
      </c>
      <c r="D45" s="121" t="s">
        <v>526</v>
      </c>
      <c r="E45" s="121">
        <f t="shared" si="0"/>
        <v>1</v>
      </c>
      <c r="F45" s="121" t="s">
        <v>799</v>
      </c>
      <c r="G45" s="121">
        <f t="shared" si="1"/>
        <v>43.1</v>
      </c>
      <c r="H45" s="121">
        <f t="shared" si="2"/>
        <v>0.78500000000000003</v>
      </c>
      <c r="I45" s="121">
        <f>Table1[[#This Row],[Length]]*Table1[[#This Row],[Volume of steel]]</f>
        <v>23.331581600000003</v>
      </c>
      <c r="J45" s="121">
        <f>1.6%*H45*Table1[[#This Row],[Length]]</f>
        <v>0.54133600000000004</v>
      </c>
      <c r="K45" s="122">
        <f>3.14*((Table1[[#This Row],[Diameter ]]/2)^2)*Table1[[#This Row],[Length]]</f>
        <v>33.833500000000001</v>
      </c>
      <c r="P45" s="113" t="s">
        <v>808</v>
      </c>
    </row>
    <row r="46" spans="2:16" x14ac:dyDescent="0.25">
      <c r="B46" s="119">
        <v>41</v>
      </c>
      <c r="C46" s="120" t="s">
        <v>808</v>
      </c>
      <c r="D46" s="132"/>
      <c r="E46" s="121"/>
      <c r="F46" s="121"/>
      <c r="G46" s="121"/>
      <c r="H46" s="121">
        <f t="shared" si="2"/>
        <v>0</v>
      </c>
      <c r="I46" s="121">
        <f>Table1[[#This Row],[Length]]*Table1[[#This Row],[Volume of steel]]</f>
        <v>0</v>
      </c>
      <c r="J46" s="121">
        <f>1.6%*H46*Table1[[#This Row],[Length]]</f>
        <v>0</v>
      </c>
      <c r="K46" s="122">
        <f>3.14*((Table1[[#This Row],[Diameter ]]/2)^2)*Table1[[#This Row],[Length]]</f>
        <v>0</v>
      </c>
    </row>
    <row r="47" spans="2:16" x14ac:dyDescent="0.25">
      <c r="B47" s="119">
        <v>42</v>
      </c>
      <c r="C47" s="124" t="s">
        <v>808</v>
      </c>
      <c r="D47" s="121" t="s">
        <v>526</v>
      </c>
      <c r="E47" s="121">
        <f t="shared" ref="E47:E53" si="9">VLOOKUP(D47,$N$6:$P$11,3,FALSE)</f>
        <v>1</v>
      </c>
      <c r="F47" s="121" t="s">
        <v>799</v>
      </c>
      <c r="G47" s="121">
        <f t="shared" ref="G47:G53" si="10">VLOOKUP(D47,$N$6:$Q$11,4,FALSE)</f>
        <v>43.1</v>
      </c>
      <c r="H47" s="121">
        <f t="shared" si="2"/>
        <v>0.78500000000000003</v>
      </c>
      <c r="I47" s="121">
        <f>Table1[[#This Row],[Length]]*Table1[[#This Row],[Volume of steel]]</f>
        <v>23.331581600000003</v>
      </c>
      <c r="J47" s="121">
        <f>1.6%*H47*Table1[[#This Row],[Length]]</f>
        <v>0.54133600000000004</v>
      </c>
      <c r="K47" s="122">
        <f>3.14*((Table1[[#This Row],[Diameter ]]/2)^2)*Table1[[#This Row],[Length]]</f>
        <v>33.833500000000001</v>
      </c>
    </row>
    <row r="48" spans="2:16" x14ac:dyDescent="0.25">
      <c r="B48" s="119">
        <v>43</v>
      </c>
      <c r="C48" s="125" t="s">
        <v>808</v>
      </c>
      <c r="D48" s="121" t="s">
        <v>568</v>
      </c>
      <c r="E48" s="121">
        <f t="shared" si="9"/>
        <v>1</v>
      </c>
      <c r="F48" s="121" t="s">
        <v>799</v>
      </c>
      <c r="G48" s="121">
        <f t="shared" si="10"/>
        <v>37.1</v>
      </c>
      <c r="H48" s="131">
        <f t="shared" ref="H48:H52" si="11">2*3.14*((E48/2)^2)</f>
        <v>1.57</v>
      </c>
      <c r="I48" s="121">
        <f>Table1[[#This Row],[Length]]*Table1[[#This Row],[Volume of steel]]</f>
        <v>34.575419199999999</v>
      </c>
      <c r="J48" s="121">
        <f>1.6%*H48*Table1[[#This Row],[Length]]</f>
        <v>0.931952</v>
      </c>
      <c r="K48" s="131">
        <f>2*3.14*((Table1[[#This Row],[Diameter ]]/2)^2)*Table1[[#This Row],[Length]]</f>
        <v>58.247000000000007</v>
      </c>
    </row>
    <row r="49" spans="2:11" x14ac:dyDescent="0.25">
      <c r="B49" s="119">
        <v>44</v>
      </c>
      <c r="C49" s="126" t="s">
        <v>808</v>
      </c>
      <c r="D49" s="121" t="s">
        <v>568</v>
      </c>
      <c r="E49" s="121">
        <f t="shared" si="9"/>
        <v>1</v>
      </c>
      <c r="F49" s="121" t="s">
        <v>799</v>
      </c>
      <c r="G49" s="121">
        <f t="shared" si="10"/>
        <v>37.1</v>
      </c>
      <c r="H49" s="131">
        <f t="shared" si="11"/>
        <v>1.57</v>
      </c>
      <c r="I49" s="121">
        <f>Table1[[#This Row],[Length]]*Table1[[#This Row],[Volume of steel]]</f>
        <v>34.575419199999999</v>
      </c>
      <c r="J49" s="121">
        <f>1.6%*H49*Table1[[#This Row],[Length]]</f>
        <v>0.931952</v>
      </c>
      <c r="K49" s="131">
        <f>2*3.14*((Table1[[#This Row],[Diameter ]]/2)^2)*Table1[[#This Row],[Length]]</f>
        <v>58.247000000000007</v>
      </c>
    </row>
    <row r="50" spans="2:11" x14ac:dyDescent="0.25">
      <c r="B50" s="119">
        <v>45</v>
      </c>
      <c r="C50" s="127" t="s">
        <v>808</v>
      </c>
      <c r="D50" s="121" t="s">
        <v>571</v>
      </c>
      <c r="E50" s="121">
        <f t="shared" si="9"/>
        <v>0.75</v>
      </c>
      <c r="F50" s="121" t="s">
        <v>799</v>
      </c>
      <c r="G50" s="121">
        <f t="shared" si="10"/>
        <v>39.1</v>
      </c>
      <c r="H50" s="131">
        <f t="shared" si="11"/>
        <v>0.88312500000000005</v>
      </c>
      <c r="I50" s="121">
        <f>Table1[[#This Row],[Length]]*Table1[[#This Row],[Volume of steel]]</f>
        <v>21.602085300000002</v>
      </c>
      <c r="J50" s="121">
        <f>1.6%*H50*Table1[[#This Row],[Length]]</f>
        <v>0.55248300000000006</v>
      </c>
      <c r="K50" s="131">
        <f>2*3.14*((Table1[[#This Row],[Diameter ]]/2)^2)*Table1[[#This Row],[Length]]</f>
        <v>34.530187500000004</v>
      </c>
    </row>
    <row r="51" spans="2:11" x14ac:dyDescent="0.25">
      <c r="B51" s="119">
        <v>46</v>
      </c>
      <c r="C51" s="128" t="s">
        <v>808</v>
      </c>
      <c r="D51" s="121" t="s">
        <v>571</v>
      </c>
      <c r="E51" s="121">
        <f t="shared" si="9"/>
        <v>0.75</v>
      </c>
      <c r="F51" s="121" t="s">
        <v>799</v>
      </c>
      <c r="G51" s="121">
        <f t="shared" si="10"/>
        <v>39.1</v>
      </c>
      <c r="H51" s="131">
        <f t="shared" si="11"/>
        <v>0.88312500000000005</v>
      </c>
      <c r="I51" s="121">
        <f>Table1[[#This Row],[Length]]*Table1[[#This Row],[Volume of steel]]</f>
        <v>21.602085300000002</v>
      </c>
      <c r="J51" s="121">
        <f>1.6%*H51*Table1[[#This Row],[Length]]</f>
        <v>0.55248300000000006</v>
      </c>
      <c r="K51" s="131">
        <f>2*3.14*((Table1[[#This Row],[Diameter ]]/2)^2)*Table1[[#This Row],[Length]]</f>
        <v>34.530187500000004</v>
      </c>
    </row>
    <row r="52" spans="2:11" x14ac:dyDescent="0.25">
      <c r="B52" s="119">
        <v>47</v>
      </c>
      <c r="C52" s="129" t="s">
        <v>808</v>
      </c>
      <c r="D52" s="121" t="s">
        <v>571</v>
      </c>
      <c r="E52" s="121">
        <f t="shared" si="9"/>
        <v>0.75</v>
      </c>
      <c r="F52" s="121" t="s">
        <v>799</v>
      </c>
      <c r="G52" s="121">
        <f t="shared" si="10"/>
        <v>39.1</v>
      </c>
      <c r="H52" s="131">
        <f t="shared" si="11"/>
        <v>0.88312500000000005</v>
      </c>
      <c r="I52" s="121">
        <f>Table1[[#This Row],[Length]]*Table1[[#This Row],[Volume of steel]]</f>
        <v>21.602085300000002</v>
      </c>
      <c r="J52" s="121">
        <f>1.6%*H52*Table1[[#This Row],[Length]]</f>
        <v>0.55248300000000006</v>
      </c>
      <c r="K52" s="131">
        <f>2*3.14*((Table1[[#This Row],[Diameter ]]/2)^2)*Table1[[#This Row],[Length]]</f>
        <v>34.530187500000004</v>
      </c>
    </row>
    <row r="53" spans="2:11" x14ac:dyDescent="0.25">
      <c r="B53" s="119">
        <v>48</v>
      </c>
      <c r="C53" s="130" t="s">
        <v>808</v>
      </c>
      <c r="D53" s="121" t="s">
        <v>526</v>
      </c>
      <c r="E53" s="121">
        <f t="shared" si="9"/>
        <v>1</v>
      </c>
      <c r="F53" s="121" t="s">
        <v>799</v>
      </c>
      <c r="G53" s="121">
        <f t="shared" si="10"/>
        <v>43.1</v>
      </c>
      <c r="H53" s="121">
        <f t="shared" si="2"/>
        <v>0.78500000000000003</v>
      </c>
      <c r="I53" s="121">
        <f>Table1[[#This Row],[Length]]*Table1[[#This Row],[Volume of steel]]</f>
        <v>23.331581600000003</v>
      </c>
      <c r="J53" s="121">
        <f>1.6%*H53*Table1[[#This Row],[Length]]</f>
        <v>0.54133600000000004</v>
      </c>
      <c r="K53" s="122">
        <f>3.14*((Table1[[#This Row],[Diameter ]]/2)^2)*Table1[[#This Row],[Length]]</f>
        <v>33.833500000000001</v>
      </c>
    </row>
    <row r="54" spans="2:11" x14ac:dyDescent="0.25">
      <c r="B54" s="119">
        <v>49</v>
      </c>
      <c r="C54" s="133"/>
      <c r="D54" s="121"/>
      <c r="E54" s="121"/>
      <c r="F54" s="121"/>
      <c r="G54" s="121"/>
      <c r="H54" s="121">
        <f t="shared" si="2"/>
        <v>0</v>
      </c>
      <c r="I54" s="121">
        <f>Table1[[#This Row],[Length]]*Table1[[#This Row],[Volume of steel]]</f>
        <v>0</v>
      </c>
      <c r="J54" s="121">
        <f>1.6%*H54*Table1[[#This Row],[Length]]</f>
        <v>0</v>
      </c>
      <c r="K54" s="122">
        <f>3.14*((Table1[[#This Row],[Diameter ]]/2)^2)*Table1[[#This Row],[Length]]</f>
        <v>0</v>
      </c>
    </row>
    <row r="55" spans="2:11" x14ac:dyDescent="0.25">
      <c r="B55" s="119">
        <v>50</v>
      </c>
      <c r="C55" s="134">
        <v>24</v>
      </c>
      <c r="D55" s="121" t="s">
        <v>571</v>
      </c>
      <c r="E55" s="121">
        <f t="shared" ref="E55:E118" si="12">VLOOKUP(D55,$N$6:$P$11,3,FALSE)</f>
        <v>0.75</v>
      </c>
      <c r="F55" s="121" t="s">
        <v>799</v>
      </c>
      <c r="G55" s="121">
        <f t="shared" ref="G55:G118" si="13">VLOOKUP(D55,$N$6:$Q$11,4,FALSE)</f>
        <v>39.1</v>
      </c>
      <c r="H55" s="131">
        <f t="shared" ref="H55:H69" si="14">2*3.14*((E55/2)^2)</f>
        <v>0.88312500000000005</v>
      </c>
      <c r="I55" s="121">
        <f>Table1[[#This Row],[Length]]*Table1[[#This Row],[Volume of steel]]</f>
        <v>21.602085300000002</v>
      </c>
      <c r="J55" s="121">
        <f>1.6%*H55*Table1[[#This Row],[Length]]</f>
        <v>0.55248300000000006</v>
      </c>
      <c r="K55" s="131">
        <f>2*3.14*((Table1[[#This Row],[Diameter ]]/2)^2)*Table1[[#This Row],[Length]]</f>
        <v>34.530187500000004</v>
      </c>
    </row>
    <row r="56" spans="2:11" x14ac:dyDescent="0.25">
      <c r="B56" s="119">
        <v>51</v>
      </c>
      <c r="C56" s="134">
        <v>25</v>
      </c>
      <c r="D56" s="121" t="s">
        <v>571</v>
      </c>
      <c r="E56" s="121">
        <f t="shared" si="12"/>
        <v>0.75</v>
      </c>
      <c r="F56" s="121" t="s">
        <v>799</v>
      </c>
      <c r="G56" s="121">
        <f t="shared" si="13"/>
        <v>39.1</v>
      </c>
      <c r="H56" s="131">
        <f t="shared" si="14"/>
        <v>0.88312500000000005</v>
      </c>
      <c r="I56" s="121">
        <f>Table1[[#This Row],[Length]]*Table1[[#This Row],[Volume of steel]]</f>
        <v>21.602085300000002</v>
      </c>
      <c r="J56" s="121">
        <f>1.6%*H56*Table1[[#This Row],[Length]]</f>
        <v>0.55248300000000006</v>
      </c>
      <c r="K56" s="131">
        <f>2*3.14*((Table1[[#This Row],[Diameter ]]/2)^2)*Table1[[#This Row],[Length]]</f>
        <v>34.530187500000004</v>
      </c>
    </row>
    <row r="57" spans="2:11" x14ac:dyDescent="0.25">
      <c r="B57" s="119">
        <v>52</v>
      </c>
      <c r="C57" s="134">
        <v>26</v>
      </c>
      <c r="D57" s="121" t="s">
        <v>571</v>
      </c>
      <c r="E57" s="121">
        <f t="shared" si="12"/>
        <v>0.75</v>
      </c>
      <c r="F57" s="121" t="s">
        <v>799</v>
      </c>
      <c r="G57" s="121">
        <f t="shared" si="13"/>
        <v>39.1</v>
      </c>
      <c r="H57" s="131">
        <f t="shared" si="14"/>
        <v>0.88312500000000005</v>
      </c>
      <c r="I57" s="121">
        <f>Table1[[#This Row],[Length]]*Table1[[#This Row],[Volume of steel]]</f>
        <v>21.602085300000002</v>
      </c>
      <c r="J57" s="121">
        <f>1.6%*H57*Table1[[#This Row],[Length]]</f>
        <v>0.55248300000000006</v>
      </c>
      <c r="K57" s="131">
        <f>2*3.14*((Table1[[#This Row],[Diameter ]]/2)^2)*Table1[[#This Row],[Length]]</f>
        <v>34.530187500000004</v>
      </c>
    </row>
    <row r="58" spans="2:11" x14ac:dyDescent="0.25">
      <c r="B58" s="119">
        <v>53</v>
      </c>
      <c r="C58" s="134">
        <v>27</v>
      </c>
      <c r="D58" s="121" t="s">
        <v>571</v>
      </c>
      <c r="E58" s="121">
        <f t="shared" si="12"/>
        <v>0.75</v>
      </c>
      <c r="F58" s="121" t="s">
        <v>799</v>
      </c>
      <c r="G58" s="121">
        <f t="shared" si="13"/>
        <v>39.1</v>
      </c>
      <c r="H58" s="131">
        <f t="shared" si="14"/>
        <v>0.88312500000000005</v>
      </c>
      <c r="I58" s="121">
        <f>Table1[[#This Row],[Length]]*Table1[[#This Row],[Volume of steel]]</f>
        <v>21.602085300000002</v>
      </c>
      <c r="J58" s="121">
        <f>1.6%*H58*Table1[[#This Row],[Length]]</f>
        <v>0.55248300000000006</v>
      </c>
      <c r="K58" s="131">
        <f>2*3.14*((Table1[[#This Row],[Diameter ]]/2)^2)*Table1[[#This Row],[Length]]</f>
        <v>34.530187500000004</v>
      </c>
    </row>
    <row r="59" spans="2:11" x14ac:dyDescent="0.25">
      <c r="B59" s="119">
        <v>54</v>
      </c>
      <c r="C59" s="134">
        <v>28</v>
      </c>
      <c r="D59" s="121" t="s">
        <v>571</v>
      </c>
      <c r="E59" s="121">
        <f t="shared" si="12"/>
        <v>0.75</v>
      </c>
      <c r="F59" s="121" t="s">
        <v>799</v>
      </c>
      <c r="G59" s="121">
        <f t="shared" si="13"/>
        <v>39.1</v>
      </c>
      <c r="H59" s="131">
        <f t="shared" si="14"/>
        <v>0.88312500000000005</v>
      </c>
      <c r="I59" s="121">
        <f>Table1[[#This Row],[Length]]*Table1[[#This Row],[Volume of steel]]</f>
        <v>21.602085300000002</v>
      </c>
      <c r="J59" s="121">
        <f>1.6%*H59*Table1[[#This Row],[Length]]</f>
        <v>0.55248300000000006</v>
      </c>
      <c r="K59" s="131">
        <f>2*3.14*((Table1[[#This Row],[Diameter ]]/2)^2)*Table1[[#This Row],[Length]]</f>
        <v>34.530187500000004</v>
      </c>
    </row>
    <row r="60" spans="2:11" x14ac:dyDescent="0.25">
      <c r="B60" s="119">
        <v>55</v>
      </c>
      <c r="C60" s="134">
        <v>29</v>
      </c>
      <c r="D60" s="121" t="s">
        <v>571</v>
      </c>
      <c r="E60" s="121">
        <f t="shared" si="12"/>
        <v>0.75</v>
      </c>
      <c r="F60" s="121" t="s">
        <v>799</v>
      </c>
      <c r="G60" s="121">
        <f t="shared" si="13"/>
        <v>39.1</v>
      </c>
      <c r="H60" s="131">
        <f t="shared" si="14"/>
        <v>0.88312500000000005</v>
      </c>
      <c r="I60" s="121">
        <f>Table1[[#This Row],[Length]]*Table1[[#This Row],[Volume of steel]]</f>
        <v>21.602085300000002</v>
      </c>
      <c r="J60" s="121">
        <f>1.6%*H60*Table1[[#This Row],[Length]]</f>
        <v>0.55248300000000006</v>
      </c>
      <c r="K60" s="131">
        <f>2*3.14*((Table1[[#This Row],[Diameter ]]/2)^2)*Table1[[#This Row],[Length]]</f>
        <v>34.530187500000004</v>
      </c>
    </row>
    <row r="61" spans="2:11" x14ac:dyDescent="0.25">
      <c r="B61" s="119">
        <v>56</v>
      </c>
      <c r="C61" s="134">
        <v>30</v>
      </c>
      <c r="D61" s="121" t="s">
        <v>571</v>
      </c>
      <c r="E61" s="121">
        <f t="shared" si="12"/>
        <v>0.75</v>
      </c>
      <c r="F61" s="121" t="s">
        <v>799</v>
      </c>
      <c r="G61" s="121">
        <f t="shared" si="13"/>
        <v>39.1</v>
      </c>
      <c r="H61" s="131">
        <f t="shared" si="14"/>
        <v>0.88312500000000005</v>
      </c>
      <c r="I61" s="121">
        <f>Table1[[#This Row],[Length]]*Table1[[#This Row],[Volume of steel]]</f>
        <v>21.602085300000002</v>
      </c>
      <c r="J61" s="121">
        <f>1.6%*H61*Table1[[#This Row],[Length]]</f>
        <v>0.55248300000000006</v>
      </c>
      <c r="K61" s="131">
        <f>2*3.14*((Table1[[#This Row],[Diameter ]]/2)^2)*Table1[[#This Row],[Length]]</f>
        <v>34.530187500000004</v>
      </c>
    </row>
    <row r="62" spans="2:11" x14ac:dyDescent="0.25">
      <c r="B62" s="119">
        <v>57</v>
      </c>
      <c r="C62" s="134">
        <v>31</v>
      </c>
      <c r="D62" s="121" t="s">
        <v>571</v>
      </c>
      <c r="E62" s="121">
        <f t="shared" si="12"/>
        <v>0.75</v>
      </c>
      <c r="F62" s="121" t="s">
        <v>799</v>
      </c>
      <c r="G62" s="121">
        <f t="shared" si="13"/>
        <v>39.1</v>
      </c>
      <c r="H62" s="131">
        <f t="shared" si="14"/>
        <v>0.88312500000000005</v>
      </c>
      <c r="I62" s="121">
        <f>Table1[[#This Row],[Length]]*Table1[[#This Row],[Volume of steel]]</f>
        <v>21.602085300000002</v>
      </c>
      <c r="J62" s="121">
        <f>1.6%*H62*Table1[[#This Row],[Length]]</f>
        <v>0.55248300000000006</v>
      </c>
      <c r="K62" s="131">
        <f>2*3.14*((Table1[[#This Row],[Diameter ]]/2)^2)*Table1[[#This Row],[Length]]</f>
        <v>34.530187500000004</v>
      </c>
    </row>
    <row r="63" spans="2:11" x14ac:dyDescent="0.25">
      <c r="B63" s="119">
        <v>58</v>
      </c>
      <c r="C63" s="134">
        <v>32</v>
      </c>
      <c r="D63" s="121" t="s">
        <v>571</v>
      </c>
      <c r="E63" s="121">
        <f t="shared" si="12"/>
        <v>0.75</v>
      </c>
      <c r="F63" s="121" t="s">
        <v>799</v>
      </c>
      <c r="G63" s="121">
        <f t="shared" si="13"/>
        <v>39.1</v>
      </c>
      <c r="H63" s="131">
        <f t="shared" si="14"/>
        <v>0.88312500000000005</v>
      </c>
      <c r="I63" s="121">
        <f>Table1[[#This Row],[Length]]*Table1[[#This Row],[Volume of steel]]</f>
        <v>21.602085300000002</v>
      </c>
      <c r="J63" s="121">
        <f>1.6%*H63*Table1[[#This Row],[Length]]</f>
        <v>0.55248300000000006</v>
      </c>
      <c r="K63" s="131">
        <f>2*3.14*((Table1[[#This Row],[Diameter ]]/2)^2)*Table1[[#This Row],[Length]]</f>
        <v>34.530187500000004</v>
      </c>
    </row>
    <row r="64" spans="2:11" x14ac:dyDescent="0.25">
      <c r="B64" s="119">
        <v>59</v>
      </c>
      <c r="C64" s="134">
        <v>33</v>
      </c>
      <c r="D64" s="121" t="s">
        <v>571</v>
      </c>
      <c r="E64" s="121">
        <f t="shared" si="12"/>
        <v>0.75</v>
      </c>
      <c r="F64" s="121" t="s">
        <v>799</v>
      </c>
      <c r="G64" s="121">
        <f t="shared" si="13"/>
        <v>39.1</v>
      </c>
      <c r="H64" s="131">
        <f t="shared" si="14"/>
        <v>0.88312500000000005</v>
      </c>
      <c r="I64" s="121">
        <f>Table1[[#This Row],[Length]]*Table1[[#This Row],[Volume of steel]]</f>
        <v>21.602085300000002</v>
      </c>
      <c r="J64" s="121">
        <f>1.6%*H64*Table1[[#This Row],[Length]]</f>
        <v>0.55248300000000006</v>
      </c>
      <c r="K64" s="131">
        <f>2*3.14*((Table1[[#This Row],[Diameter ]]/2)^2)*Table1[[#This Row],[Length]]</f>
        <v>34.530187500000004</v>
      </c>
    </row>
    <row r="65" spans="2:11" x14ac:dyDescent="0.25">
      <c r="B65" s="119">
        <v>60</v>
      </c>
      <c r="C65" s="134">
        <v>34</v>
      </c>
      <c r="D65" s="121" t="s">
        <v>571</v>
      </c>
      <c r="E65" s="121">
        <f t="shared" si="12"/>
        <v>0.75</v>
      </c>
      <c r="F65" s="121" t="s">
        <v>799</v>
      </c>
      <c r="G65" s="121">
        <f t="shared" si="13"/>
        <v>39.1</v>
      </c>
      <c r="H65" s="131">
        <f t="shared" si="14"/>
        <v>0.88312500000000005</v>
      </c>
      <c r="I65" s="121">
        <f>Table1[[#This Row],[Length]]*Table1[[#This Row],[Volume of steel]]</f>
        <v>21.602085300000002</v>
      </c>
      <c r="J65" s="121">
        <f>1.6%*H65*Table1[[#This Row],[Length]]</f>
        <v>0.55248300000000006</v>
      </c>
      <c r="K65" s="131">
        <f>2*3.14*((Table1[[#This Row],[Diameter ]]/2)^2)*Table1[[#This Row],[Length]]</f>
        <v>34.530187500000004</v>
      </c>
    </row>
    <row r="66" spans="2:11" x14ac:dyDescent="0.25">
      <c r="B66" s="119">
        <v>61</v>
      </c>
      <c r="C66" s="134">
        <v>35</v>
      </c>
      <c r="D66" s="121" t="s">
        <v>571</v>
      </c>
      <c r="E66" s="121">
        <f t="shared" si="12"/>
        <v>0.75</v>
      </c>
      <c r="F66" s="121" t="s">
        <v>799</v>
      </c>
      <c r="G66" s="121">
        <f t="shared" si="13"/>
        <v>39.1</v>
      </c>
      <c r="H66" s="131">
        <f t="shared" si="14"/>
        <v>0.88312500000000005</v>
      </c>
      <c r="I66" s="121">
        <f>Table1[[#This Row],[Length]]*Table1[[#This Row],[Volume of steel]]</f>
        <v>21.602085300000002</v>
      </c>
      <c r="J66" s="121">
        <f>1.6%*H66*Table1[[#This Row],[Length]]</f>
        <v>0.55248300000000006</v>
      </c>
      <c r="K66" s="131">
        <f>2*3.14*((Table1[[#This Row],[Diameter ]]/2)^2)*Table1[[#This Row],[Length]]</f>
        <v>34.530187500000004</v>
      </c>
    </row>
    <row r="67" spans="2:11" x14ac:dyDescent="0.25">
      <c r="B67" s="119">
        <v>62</v>
      </c>
      <c r="C67" s="134">
        <v>36</v>
      </c>
      <c r="D67" s="121" t="s">
        <v>571</v>
      </c>
      <c r="E67" s="121">
        <f t="shared" si="12"/>
        <v>0.75</v>
      </c>
      <c r="F67" s="121" t="s">
        <v>799</v>
      </c>
      <c r="G67" s="121">
        <f t="shared" si="13"/>
        <v>39.1</v>
      </c>
      <c r="H67" s="131">
        <f t="shared" si="14"/>
        <v>0.88312500000000005</v>
      </c>
      <c r="I67" s="121">
        <f>Table1[[#This Row],[Length]]*Table1[[#This Row],[Volume of steel]]</f>
        <v>21.602085300000002</v>
      </c>
      <c r="J67" s="121">
        <f>1.6%*H67*Table1[[#This Row],[Length]]</f>
        <v>0.55248300000000006</v>
      </c>
      <c r="K67" s="131">
        <f>2*3.14*((Table1[[#This Row],[Diameter ]]/2)^2)*Table1[[#This Row],[Length]]</f>
        <v>34.530187500000004</v>
      </c>
    </row>
    <row r="68" spans="2:11" x14ac:dyDescent="0.25">
      <c r="B68" s="119">
        <v>63</v>
      </c>
      <c r="C68" s="134">
        <v>37</v>
      </c>
      <c r="D68" s="121" t="s">
        <v>571</v>
      </c>
      <c r="E68" s="121">
        <f t="shared" si="12"/>
        <v>0.75</v>
      </c>
      <c r="F68" s="121" t="s">
        <v>799</v>
      </c>
      <c r="G68" s="121">
        <f t="shared" si="13"/>
        <v>39.1</v>
      </c>
      <c r="H68" s="131">
        <f t="shared" si="14"/>
        <v>0.88312500000000005</v>
      </c>
      <c r="I68" s="121">
        <f>Table1[[#This Row],[Length]]*Table1[[#This Row],[Volume of steel]]</f>
        <v>21.602085300000002</v>
      </c>
      <c r="J68" s="121">
        <f>1.6%*H68*Table1[[#This Row],[Length]]</f>
        <v>0.55248300000000006</v>
      </c>
      <c r="K68" s="131">
        <f>2*3.14*((Table1[[#This Row],[Diameter ]]/2)^2)*Table1[[#This Row],[Length]]</f>
        <v>34.530187500000004</v>
      </c>
    </row>
    <row r="69" spans="2:11" x14ac:dyDescent="0.25">
      <c r="B69" s="119">
        <v>64</v>
      </c>
      <c r="C69" s="134">
        <v>38</v>
      </c>
      <c r="D69" s="121" t="s">
        <v>571</v>
      </c>
      <c r="E69" s="121">
        <f t="shared" si="12"/>
        <v>0.75</v>
      </c>
      <c r="F69" s="121" t="s">
        <v>799</v>
      </c>
      <c r="G69" s="121">
        <f t="shared" si="13"/>
        <v>39.1</v>
      </c>
      <c r="H69" s="131">
        <f t="shared" si="14"/>
        <v>0.88312500000000005</v>
      </c>
      <c r="I69" s="121">
        <f>Table1[[#This Row],[Length]]*Table1[[#This Row],[Volume of steel]]</f>
        <v>21.602085300000002</v>
      </c>
      <c r="J69" s="121">
        <f>1.6%*H69*Table1[[#This Row],[Length]]</f>
        <v>0.55248300000000006</v>
      </c>
      <c r="K69" s="131">
        <f>2*3.14*((Table1[[#This Row],[Diameter ]]/2)^2)*Table1[[#This Row],[Length]]</f>
        <v>34.530187500000004</v>
      </c>
    </row>
    <row r="70" spans="2:11" x14ac:dyDescent="0.25">
      <c r="B70" s="119">
        <v>65</v>
      </c>
      <c r="C70" s="135">
        <v>24</v>
      </c>
      <c r="D70" s="121" t="s">
        <v>526</v>
      </c>
      <c r="E70" s="121">
        <f t="shared" si="12"/>
        <v>1</v>
      </c>
      <c r="F70" s="121" t="s">
        <v>799</v>
      </c>
      <c r="G70" s="121">
        <f t="shared" si="13"/>
        <v>43.1</v>
      </c>
      <c r="H70" s="121">
        <f t="shared" ref="H70:H99" si="15">3.14*((E70/2)^2)</f>
        <v>0.78500000000000003</v>
      </c>
      <c r="I70" s="121">
        <f>Table1[[#This Row],[Length]]*Table1[[#This Row],[Volume of steel]]</f>
        <v>23.331581600000003</v>
      </c>
      <c r="J70" s="121">
        <f>1.6%*H70*Table1[[#This Row],[Length]]</f>
        <v>0.54133600000000004</v>
      </c>
      <c r="K70" s="122">
        <f>3.14*((Table1[[#This Row],[Diameter ]]/2)^2)*Table1[[#This Row],[Length]]</f>
        <v>33.833500000000001</v>
      </c>
    </row>
    <row r="71" spans="2:11" x14ac:dyDescent="0.25">
      <c r="B71" s="119">
        <v>66</v>
      </c>
      <c r="C71" s="135">
        <v>25</v>
      </c>
      <c r="D71" s="121" t="s">
        <v>526</v>
      </c>
      <c r="E71" s="121">
        <f t="shared" si="12"/>
        <v>1</v>
      </c>
      <c r="F71" s="121" t="s">
        <v>799</v>
      </c>
      <c r="G71" s="121">
        <f t="shared" si="13"/>
        <v>43.1</v>
      </c>
      <c r="H71" s="121">
        <f t="shared" si="15"/>
        <v>0.78500000000000003</v>
      </c>
      <c r="I71" s="121">
        <f>Table1[[#This Row],[Length]]*Table1[[#This Row],[Volume of steel]]</f>
        <v>23.331581600000003</v>
      </c>
      <c r="J71" s="121">
        <f>1.6%*H71*Table1[[#This Row],[Length]]</f>
        <v>0.54133600000000004</v>
      </c>
      <c r="K71" s="122">
        <f>3.14*((Table1[[#This Row],[Diameter ]]/2)^2)*Table1[[#This Row],[Length]]</f>
        <v>33.833500000000001</v>
      </c>
    </row>
    <row r="72" spans="2:11" x14ac:dyDescent="0.25">
      <c r="B72" s="119">
        <v>67</v>
      </c>
      <c r="C72" s="135">
        <v>26</v>
      </c>
      <c r="D72" s="121" t="s">
        <v>526</v>
      </c>
      <c r="E72" s="121">
        <f t="shared" si="12"/>
        <v>1</v>
      </c>
      <c r="F72" s="121" t="s">
        <v>799</v>
      </c>
      <c r="G72" s="121">
        <f t="shared" si="13"/>
        <v>43.1</v>
      </c>
      <c r="H72" s="121">
        <f t="shared" si="15"/>
        <v>0.78500000000000003</v>
      </c>
      <c r="I72" s="121">
        <f>Table1[[#This Row],[Length]]*Table1[[#This Row],[Volume of steel]]</f>
        <v>23.331581600000003</v>
      </c>
      <c r="J72" s="121">
        <f>1.6%*H72*Table1[[#This Row],[Length]]</f>
        <v>0.54133600000000004</v>
      </c>
      <c r="K72" s="122">
        <f>3.14*((Table1[[#This Row],[Diameter ]]/2)^2)*Table1[[#This Row],[Length]]</f>
        <v>33.833500000000001</v>
      </c>
    </row>
    <row r="73" spans="2:11" x14ac:dyDescent="0.25">
      <c r="B73" s="119">
        <v>68</v>
      </c>
      <c r="C73" s="135">
        <v>27</v>
      </c>
      <c r="D73" s="121" t="s">
        <v>526</v>
      </c>
      <c r="E73" s="121">
        <f t="shared" si="12"/>
        <v>1</v>
      </c>
      <c r="F73" s="121" t="s">
        <v>799</v>
      </c>
      <c r="G73" s="121">
        <f t="shared" si="13"/>
        <v>43.1</v>
      </c>
      <c r="H73" s="121">
        <f t="shared" si="15"/>
        <v>0.78500000000000003</v>
      </c>
      <c r="I73" s="121">
        <f>Table1[[#This Row],[Length]]*Table1[[#This Row],[Volume of steel]]</f>
        <v>23.331581600000003</v>
      </c>
      <c r="J73" s="121">
        <f>1.6%*H73*Table1[[#This Row],[Length]]</f>
        <v>0.54133600000000004</v>
      </c>
      <c r="K73" s="122">
        <f>3.14*((Table1[[#This Row],[Diameter ]]/2)^2)*Table1[[#This Row],[Length]]</f>
        <v>33.833500000000001</v>
      </c>
    </row>
    <row r="74" spans="2:11" x14ac:dyDescent="0.25">
      <c r="B74" s="119">
        <v>69</v>
      </c>
      <c r="C74" s="135">
        <v>28</v>
      </c>
      <c r="D74" s="121" t="s">
        <v>526</v>
      </c>
      <c r="E74" s="121">
        <f t="shared" si="12"/>
        <v>1</v>
      </c>
      <c r="F74" s="121" t="s">
        <v>799</v>
      </c>
      <c r="G74" s="121">
        <f t="shared" si="13"/>
        <v>43.1</v>
      </c>
      <c r="H74" s="121">
        <f t="shared" si="15"/>
        <v>0.78500000000000003</v>
      </c>
      <c r="I74" s="121">
        <f>Table1[[#This Row],[Length]]*Table1[[#This Row],[Volume of steel]]</f>
        <v>23.331581600000003</v>
      </c>
      <c r="J74" s="121">
        <f>1.6%*H74*Table1[[#This Row],[Length]]</f>
        <v>0.54133600000000004</v>
      </c>
      <c r="K74" s="122">
        <f>3.14*((Table1[[#This Row],[Diameter ]]/2)^2)*Table1[[#This Row],[Length]]</f>
        <v>33.833500000000001</v>
      </c>
    </row>
    <row r="75" spans="2:11" x14ac:dyDescent="0.25">
      <c r="B75" s="119">
        <v>70</v>
      </c>
      <c r="C75" s="135">
        <v>29</v>
      </c>
      <c r="D75" s="121" t="s">
        <v>526</v>
      </c>
      <c r="E75" s="121">
        <f t="shared" si="12"/>
        <v>1</v>
      </c>
      <c r="F75" s="121" t="s">
        <v>799</v>
      </c>
      <c r="G75" s="121">
        <f t="shared" si="13"/>
        <v>43.1</v>
      </c>
      <c r="H75" s="121">
        <f t="shared" si="15"/>
        <v>0.78500000000000003</v>
      </c>
      <c r="I75" s="121">
        <f>Table1[[#This Row],[Length]]*Table1[[#This Row],[Volume of steel]]</f>
        <v>23.331581600000003</v>
      </c>
      <c r="J75" s="121">
        <f>1.6%*H75*Table1[[#This Row],[Length]]</f>
        <v>0.54133600000000004</v>
      </c>
      <c r="K75" s="122">
        <f>3.14*((Table1[[#This Row],[Diameter ]]/2)^2)*Table1[[#This Row],[Length]]</f>
        <v>33.833500000000001</v>
      </c>
    </row>
    <row r="76" spans="2:11" x14ac:dyDescent="0.25">
      <c r="B76" s="119">
        <v>71</v>
      </c>
      <c r="C76" s="135">
        <v>30</v>
      </c>
      <c r="D76" s="121" t="s">
        <v>526</v>
      </c>
      <c r="E76" s="121">
        <f t="shared" si="12"/>
        <v>1</v>
      </c>
      <c r="F76" s="121" t="s">
        <v>799</v>
      </c>
      <c r="G76" s="121">
        <f t="shared" si="13"/>
        <v>43.1</v>
      </c>
      <c r="H76" s="121">
        <f t="shared" si="15"/>
        <v>0.78500000000000003</v>
      </c>
      <c r="I76" s="121">
        <f>Table1[[#This Row],[Length]]*Table1[[#This Row],[Volume of steel]]</f>
        <v>23.331581600000003</v>
      </c>
      <c r="J76" s="121">
        <f>1.6%*H76*Table1[[#This Row],[Length]]</f>
        <v>0.54133600000000004</v>
      </c>
      <c r="K76" s="122">
        <f>3.14*((Table1[[#This Row],[Diameter ]]/2)^2)*Table1[[#This Row],[Length]]</f>
        <v>33.833500000000001</v>
      </c>
    </row>
    <row r="77" spans="2:11" x14ac:dyDescent="0.25">
      <c r="B77" s="119">
        <v>72</v>
      </c>
      <c r="C77" s="135">
        <v>31</v>
      </c>
      <c r="D77" s="121" t="s">
        <v>526</v>
      </c>
      <c r="E77" s="121">
        <f t="shared" si="12"/>
        <v>1</v>
      </c>
      <c r="F77" s="121" t="s">
        <v>799</v>
      </c>
      <c r="G77" s="121">
        <f t="shared" si="13"/>
        <v>43.1</v>
      </c>
      <c r="H77" s="121">
        <f t="shared" si="15"/>
        <v>0.78500000000000003</v>
      </c>
      <c r="I77" s="121">
        <f>Table1[[#This Row],[Length]]*Table1[[#This Row],[Volume of steel]]</f>
        <v>23.331581600000003</v>
      </c>
      <c r="J77" s="121">
        <f>1.6%*H77*Table1[[#This Row],[Length]]</f>
        <v>0.54133600000000004</v>
      </c>
      <c r="K77" s="122">
        <f>3.14*((Table1[[#This Row],[Diameter ]]/2)^2)*Table1[[#This Row],[Length]]</f>
        <v>33.833500000000001</v>
      </c>
    </row>
    <row r="78" spans="2:11" x14ac:dyDescent="0.25">
      <c r="B78" s="119">
        <v>73</v>
      </c>
      <c r="C78" s="135">
        <v>32</v>
      </c>
      <c r="D78" s="121" t="s">
        <v>526</v>
      </c>
      <c r="E78" s="121">
        <f t="shared" si="12"/>
        <v>1</v>
      </c>
      <c r="F78" s="121" t="s">
        <v>799</v>
      </c>
      <c r="G78" s="121">
        <f t="shared" si="13"/>
        <v>43.1</v>
      </c>
      <c r="H78" s="121">
        <f t="shared" si="15"/>
        <v>0.78500000000000003</v>
      </c>
      <c r="I78" s="121">
        <f>Table1[[#This Row],[Length]]*Table1[[#This Row],[Volume of steel]]</f>
        <v>23.331581600000003</v>
      </c>
      <c r="J78" s="121">
        <f>1.6%*H78*Table1[[#This Row],[Length]]</f>
        <v>0.54133600000000004</v>
      </c>
      <c r="K78" s="122">
        <f>3.14*((Table1[[#This Row],[Diameter ]]/2)^2)*Table1[[#This Row],[Length]]</f>
        <v>33.833500000000001</v>
      </c>
    </row>
    <row r="79" spans="2:11" x14ac:dyDescent="0.25">
      <c r="B79" s="119">
        <v>74</v>
      </c>
      <c r="C79" s="135">
        <v>33</v>
      </c>
      <c r="D79" s="121" t="s">
        <v>526</v>
      </c>
      <c r="E79" s="121">
        <f t="shared" si="12"/>
        <v>1</v>
      </c>
      <c r="F79" s="121" t="s">
        <v>799</v>
      </c>
      <c r="G79" s="121">
        <f t="shared" si="13"/>
        <v>43.1</v>
      </c>
      <c r="H79" s="121">
        <f t="shared" si="15"/>
        <v>0.78500000000000003</v>
      </c>
      <c r="I79" s="121">
        <f>Table1[[#This Row],[Length]]*Table1[[#This Row],[Volume of steel]]</f>
        <v>23.331581600000003</v>
      </c>
      <c r="J79" s="121">
        <f>1.6%*H79*Table1[[#This Row],[Length]]</f>
        <v>0.54133600000000004</v>
      </c>
      <c r="K79" s="122">
        <f>3.14*((Table1[[#This Row],[Diameter ]]/2)^2)*Table1[[#This Row],[Length]]</f>
        <v>33.833500000000001</v>
      </c>
    </row>
    <row r="80" spans="2:11" x14ac:dyDescent="0.25">
      <c r="B80" s="119">
        <v>75</v>
      </c>
      <c r="C80" s="135">
        <v>34</v>
      </c>
      <c r="D80" s="121" t="s">
        <v>526</v>
      </c>
      <c r="E80" s="121">
        <f t="shared" si="12"/>
        <v>1</v>
      </c>
      <c r="F80" s="121" t="s">
        <v>799</v>
      </c>
      <c r="G80" s="121">
        <f t="shared" si="13"/>
        <v>43.1</v>
      </c>
      <c r="H80" s="121">
        <f t="shared" si="15"/>
        <v>0.78500000000000003</v>
      </c>
      <c r="I80" s="121">
        <f>Table1[[#This Row],[Length]]*Table1[[#This Row],[Volume of steel]]</f>
        <v>23.331581600000003</v>
      </c>
      <c r="J80" s="121">
        <f>1.6%*H80*Table1[[#This Row],[Length]]</f>
        <v>0.54133600000000004</v>
      </c>
      <c r="K80" s="122">
        <f>3.14*((Table1[[#This Row],[Diameter ]]/2)^2)*Table1[[#This Row],[Length]]</f>
        <v>33.833500000000001</v>
      </c>
    </row>
    <row r="81" spans="2:11" x14ac:dyDescent="0.25">
      <c r="B81" s="119">
        <v>76</v>
      </c>
      <c r="C81" s="135">
        <v>35</v>
      </c>
      <c r="D81" s="121" t="s">
        <v>526</v>
      </c>
      <c r="E81" s="121">
        <f t="shared" si="12"/>
        <v>1</v>
      </c>
      <c r="F81" s="121" t="s">
        <v>799</v>
      </c>
      <c r="G81" s="121">
        <f t="shared" si="13"/>
        <v>43.1</v>
      </c>
      <c r="H81" s="121">
        <f t="shared" si="15"/>
        <v>0.78500000000000003</v>
      </c>
      <c r="I81" s="121">
        <f>Table1[[#This Row],[Length]]*Table1[[#This Row],[Volume of steel]]</f>
        <v>23.331581600000003</v>
      </c>
      <c r="J81" s="121">
        <f>1.6%*H81*Table1[[#This Row],[Length]]</f>
        <v>0.54133600000000004</v>
      </c>
      <c r="K81" s="122">
        <f>3.14*((Table1[[#This Row],[Diameter ]]/2)^2)*Table1[[#This Row],[Length]]</f>
        <v>33.833500000000001</v>
      </c>
    </row>
    <row r="82" spans="2:11" x14ac:dyDescent="0.25">
      <c r="B82" s="119">
        <v>77</v>
      </c>
      <c r="C82" s="135">
        <v>36</v>
      </c>
      <c r="D82" s="121" t="s">
        <v>526</v>
      </c>
      <c r="E82" s="121">
        <f t="shared" si="12"/>
        <v>1</v>
      </c>
      <c r="F82" s="121" t="s">
        <v>799</v>
      </c>
      <c r="G82" s="121">
        <f t="shared" si="13"/>
        <v>43.1</v>
      </c>
      <c r="H82" s="121">
        <f t="shared" si="15"/>
        <v>0.78500000000000003</v>
      </c>
      <c r="I82" s="121">
        <f>Table1[[#This Row],[Length]]*Table1[[#This Row],[Volume of steel]]</f>
        <v>23.331581600000003</v>
      </c>
      <c r="J82" s="121">
        <f>1.6%*H82*Table1[[#This Row],[Length]]</f>
        <v>0.54133600000000004</v>
      </c>
      <c r="K82" s="122">
        <f>3.14*((Table1[[#This Row],[Diameter ]]/2)^2)*Table1[[#This Row],[Length]]</f>
        <v>33.833500000000001</v>
      </c>
    </row>
    <row r="83" spans="2:11" x14ac:dyDescent="0.25">
      <c r="B83" s="119">
        <v>78</v>
      </c>
      <c r="C83" s="135">
        <v>37</v>
      </c>
      <c r="D83" s="121" t="s">
        <v>526</v>
      </c>
      <c r="E83" s="121">
        <f t="shared" si="12"/>
        <v>1</v>
      </c>
      <c r="F83" s="121" t="s">
        <v>799</v>
      </c>
      <c r="G83" s="121">
        <f t="shared" si="13"/>
        <v>43.1</v>
      </c>
      <c r="H83" s="121">
        <f t="shared" si="15"/>
        <v>0.78500000000000003</v>
      </c>
      <c r="I83" s="121">
        <f>Table1[[#This Row],[Length]]*Table1[[#This Row],[Volume of steel]]</f>
        <v>23.331581600000003</v>
      </c>
      <c r="J83" s="121">
        <f>1.6%*H83*Table1[[#This Row],[Length]]</f>
        <v>0.54133600000000004</v>
      </c>
      <c r="K83" s="122">
        <f>3.14*((Table1[[#This Row],[Diameter ]]/2)^2)*Table1[[#This Row],[Length]]</f>
        <v>33.833500000000001</v>
      </c>
    </row>
    <row r="84" spans="2:11" x14ac:dyDescent="0.25">
      <c r="B84" s="119">
        <v>79</v>
      </c>
      <c r="C84" s="135">
        <v>38</v>
      </c>
      <c r="D84" s="121" t="s">
        <v>526</v>
      </c>
      <c r="E84" s="121">
        <f t="shared" si="12"/>
        <v>1</v>
      </c>
      <c r="F84" s="121" t="s">
        <v>799</v>
      </c>
      <c r="G84" s="121">
        <f t="shared" si="13"/>
        <v>43.1</v>
      </c>
      <c r="H84" s="121">
        <f t="shared" si="15"/>
        <v>0.78500000000000003</v>
      </c>
      <c r="I84" s="121">
        <f>Table1[[#This Row],[Length]]*Table1[[#This Row],[Volume of steel]]</f>
        <v>23.331581600000003</v>
      </c>
      <c r="J84" s="121">
        <f>1.6%*H84*Table1[[#This Row],[Length]]</f>
        <v>0.54133600000000004</v>
      </c>
      <c r="K84" s="122">
        <f>3.14*((Table1[[#This Row],[Diameter ]]/2)^2)*Table1[[#This Row],[Length]]</f>
        <v>33.833500000000001</v>
      </c>
    </row>
    <row r="85" spans="2:11" x14ac:dyDescent="0.25">
      <c r="B85" s="119">
        <v>80</v>
      </c>
      <c r="C85" s="136">
        <v>24</v>
      </c>
      <c r="D85" s="121" t="s">
        <v>526</v>
      </c>
      <c r="E85" s="121">
        <f t="shared" si="12"/>
        <v>1</v>
      </c>
      <c r="F85" s="121" t="s">
        <v>799</v>
      </c>
      <c r="G85" s="121">
        <f t="shared" si="13"/>
        <v>43.1</v>
      </c>
      <c r="H85" s="121">
        <f t="shared" si="15"/>
        <v>0.78500000000000003</v>
      </c>
      <c r="I85" s="121">
        <f>Table1[[#This Row],[Length]]*Table1[[#This Row],[Volume of steel]]</f>
        <v>23.331581600000003</v>
      </c>
      <c r="J85" s="121">
        <f>1.6%*H85*Table1[[#This Row],[Length]]</f>
        <v>0.54133600000000004</v>
      </c>
      <c r="K85" s="122">
        <f>3.14*((Table1[[#This Row],[Diameter ]]/2)^2)*Table1[[#This Row],[Length]]</f>
        <v>33.833500000000001</v>
      </c>
    </row>
    <row r="86" spans="2:11" x14ac:dyDescent="0.25">
      <c r="B86" s="119">
        <v>81</v>
      </c>
      <c r="C86" s="136">
        <v>25</v>
      </c>
      <c r="D86" s="121" t="s">
        <v>526</v>
      </c>
      <c r="E86" s="121">
        <f t="shared" si="12"/>
        <v>1</v>
      </c>
      <c r="F86" s="121" t="s">
        <v>799</v>
      </c>
      <c r="G86" s="121">
        <f t="shared" si="13"/>
        <v>43.1</v>
      </c>
      <c r="H86" s="121">
        <f t="shared" si="15"/>
        <v>0.78500000000000003</v>
      </c>
      <c r="I86" s="121">
        <f>Table1[[#This Row],[Length]]*Table1[[#This Row],[Volume of steel]]</f>
        <v>23.331581600000003</v>
      </c>
      <c r="J86" s="121">
        <f>1.6%*H86*Table1[[#This Row],[Length]]</f>
        <v>0.54133600000000004</v>
      </c>
      <c r="K86" s="122">
        <f>3.14*((Table1[[#This Row],[Diameter ]]/2)^2)*Table1[[#This Row],[Length]]</f>
        <v>33.833500000000001</v>
      </c>
    </row>
    <row r="87" spans="2:11" x14ac:dyDescent="0.25">
      <c r="B87" s="119">
        <v>82</v>
      </c>
      <c r="C87" s="136">
        <v>26</v>
      </c>
      <c r="D87" s="121" t="s">
        <v>526</v>
      </c>
      <c r="E87" s="121">
        <f t="shared" si="12"/>
        <v>1</v>
      </c>
      <c r="F87" s="121" t="s">
        <v>799</v>
      </c>
      <c r="G87" s="121">
        <f t="shared" si="13"/>
        <v>43.1</v>
      </c>
      <c r="H87" s="121">
        <f t="shared" si="15"/>
        <v>0.78500000000000003</v>
      </c>
      <c r="I87" s="121">
        <f>Table1[[#This Row],[Length]]*Table1[[#This Row],[Volume of steel]]</f>
        <v>23.331581600000003</v>
      </c>
      <c r="J87" s="121">
        <f>1.6%*H87*Table1[[#This Row],[Length]]</f>
        <v>0.54133600000000004</v>
      </c>
      <c r="K87" s="122">
        <f>3.14*((Table1[[#This Row],[Diameter ]]/2)^2)*Table1[[#This Row],[Length]]</f>
        <v>33.833500000000001</v>
      </c>
    </row>
    <row r="88" spans="2:11" x14ac:dyDescent="0.25">
      <c r="B88" s="119">
        <v>83</v>
      </c>
      <c r="C88" s="136">
        <v>27</v>
      </c>
      <c r="D88" s="121" t="s">
        <v>526</v>
      </c>
      <c r="E88" s="121">
        <f t="shared" si="12"/>
        <v>1</v>
      </c>
      <c r="F88" s="121" t="s">
        <v>799</v>
      </c>
      <c r="G88" s="121">
        <f t="shared" si="13"/>
        <v>43.1</v>
      </c>
      <c r="H88" s="121">
        <f t="shared" si="15"/>
        <v>0.78500000000000003</v>
      </c>
      <c r="I88" s="121">
        <f>Table1[[#This Row],[Length]]*Table1[[#This Row],[Volume of steel]]</f>
        <v>23.331581600000003</v>
      </c>
      <c r="J88" s="121">
        <f>1.6%*H88*Table1[[#This Row],[Length]]</f>
        <v>0.54133600000000004</v>
      </c>
      <c r="K88" s="122">
        <f>3.14*((Table1[[#This Row],[Diameter ]]/2)^2)*Table1[[#This Row],[Length]]</f>
        <v>33.833500000000001</v>
      </c>
    </row>
    <row r="89" spans="2:11" x14ac:dyDescent="0.25">
      <c r="B89" s="119">
        <v>84</v>
      </c>
      <c r="C89" s="136">
        <v>28</v>
      </c>
      <c r="D89" s="121" t="s">
        <v>526</v>
      </c>
      <c r="E89" s="121">
        <f t="shared" si="12"/>
        <v>1</v>
      </c>
      <c r="F89" s="121" t="s">
        <v>799</v>
      </c>
      <c r="G89" s="121">
        <f t="shared" si="13"/>
        <v>43.1</v>
      </c>
      <c r="H89" s="121">
        <f t="shared" si="15"/>
        <v>0.78500000000000003</v>
      </c>
      <c r="I89" s="121">
        <f>Table1[[#This Row],[Length]]*Table1[[#This Row],[Volume of steel]]</f>
        <v>23.331581600000003</v>
      </c>
      <c r="J89" s="121">
        <f>1.6%*H89*Table1[[#This Row],[Length]]</f>
        <v>0.54133600000000004</v>
      </c>
      <c r="K89" s="122">
        <f>3.14*((Table1[[#This Row],[Diameter ]]/2)^2)*Table1[[#This Row],[Length]]</f>
        <v>33.833500000000001</v>
      </c>
    </row>
    <row r="90" spans="2:11" x14ac:dyDescent="0.25">
      <c r="B90" s="119">
        <v>85</v>
      </c>
      <c r="C90" s="136">
        <v>29</v>
      </c>
      <c r="D90" s="121" t="s">
        <v>526</v>
      </c>
      <c r="E90" s="121">
        <f t="shared" si="12"/>
        <v>1</v>
      </c>
      <c r="F90" s="121" t="s">
        <v>799</v>
      </c>
      <c r="G90" s="121">
        <f t="shared" si="13"/>
        <v>43.1</v>
      </c>
      <c r="H90" s="121">
        <f t="shared" si="15"/>
        <v>0.78500000000000003</v>
      </c>
      <c r="I90" s="121">
        <f>Table1[[#This Row],[Length]]*Table1[[#This Row],[Volume of steel]]</f>
        <v>23.331581600000003</v>
      </c>
      <c r="J90" s="121">
        <f>1.6%*H90*Table1[[#This Row],[Length]]</f>
        <v>0.54133600000000004</v>
      </c>
      <c r="K90" s="122">
        <f>3.14*((Table1[[#This Row],[Diameter ]]/2)^2)*Table1[[#This Row],[Length]]</f>
        <v>33.833500000000001</v>
      </c>
    </row>
    <row r="91" spans="2:11" x14ac:dyDescent="0.25">
      <c r="B91" s="119">
        <v>86</v>
      </c>
      <c r="C91" s="136">
        <v>30</v>
      </c>
      <c r="D91" s="121" t="s">
        <v>526</v>
      </c>
      <c r="E91" s="121">
        <f t="shared" si="12"/>
        <v>1</v>
      </c>
      <c r="F91" s="121" t="s">
        <v>799</v>
      </c>
      <c r="G91" s="121">
        <f t="shared" si="13"/>
        <v>43.1</v>
      </c>
      <c r="H91" s="121">
        <f t="shared" si="15"/>
        <v>0.78500000000000003</v>
      </c>
      <c r="I91" s="121">
        <f>Table1[[#This Row],[Length]]*Table1[[#This Row],[Volume of steel]]</f>
        <v>23.331581600000003</v>
      </c>
      <c r="J91" s="121">
        <f>1.6%*H91*Table1[[#This Row],[Length]]</f>
        <v>0.54133600000000004</v>
      </c>
      <c r="K91" s="122">
        <f>3.14*((Table1[[#This Row],[Diameter ]]/2)^2)*Table1[[#This Row],[Length]]</f>
        <v>33.833500000000001</v>
      </c>
    </row>
    <row r="92" spans="2:11" x14ac:dyDescent="0.25">
      <c r="B92" s="119">
        <v>87</v>
      </c>
      <c r="C92" s="136">
        <v>31</v>
      </c>
      <c r="D92" s="121" t="s">
        <v>526</v>
      </c>
      <c r="E92" s="121">
        <f t="shared" si="12"/>
        <v>1</v>
      </c>
      <c r="F92" s="121" t="s">
        <v>799</v>
      </c>
      <c r="G92" s="121">
        <f t="shared" si="13"/>
        <v>43.1</v>
      </c>
      <c r="H92" s="121">
        <f t="shared" si="15"/>
        <v>0.78500000000000003</v>
      </c>
      <c r="I92" s="121">
        <f>Table1[[#This Row],[Length]]*Table1[[#This Row],[Volume of steel]]</f>
        <v>23.331581600000003</v>
      </c>
      <c r="J92" s="121">
        <f>1.6%*H92*Table1[[#This Row],[Length]]</f>
        <v>0.54133600000000004</v>
      </c>
      <c r="K92" s="122">
        <f>3.14*((Table1[[#This Row],[Diameter ]]/2)^2)*Table1[[#This Row],[Length]]</f>
        <v>33.833500000000001</v>
      </c>
    </row>
    <row r="93" spans="2:11" x14ac:dyDescent="0.25">
      <c r="B93" s="119">
        <v>88</v>
      </c>
      <c r="C93" s="136">
        <v>32</v>
      </c>
      <c r="D93" s="121" t="s">
        <v>526</v>
      </c>
      <c r="E93" s="121">
        <f t="shared" si="12"/>
        <v>1</v>
      </c>
      <c r="F93" s="121" t="s">
        <v>799</v>
      </c>
      <c r="G93" s="121">
        <f t="shared" si="13"/>
        <v>43.1</v>
      </c>
      <c r="H93" s="121">
        <f t="shared" si="15"/>
        <v>0.78500000000000003</v>
      </c>
      <c r="I93" s="121">
        <f>Table1[[#This Row],[Length]]*Table1[[#This Row],[Volume of steel]]</f>
        <v>23.331581600000003</v>
      </c>
      <c r="J93" s="121">
        <f>1.6%*H93*Table1[[#This Row],[Length]]</f>
        <v>0.54133600000000004</v>
      </c>
      <c r="K93" s="122">
        <f>3.14*((Table1[[#This Row],[Diameter ]]/2)^2)*Table1[[#This Row],[Length]]</f>
        <v>33.833500000000001</v>
      </c>
    </row>
    <row r="94" spans="2:11" x14ac:dyDescent="0.25">
      <c r="B94" s="119">
        <v>89</v>
      </c>
      <c r="C94" s="136">
        <v>33</v>
      </c>
      <c r="D94" s="121" t="s">
        <v>526</v>
      </c>
      <c r="E94" s="121">
        <f t="shared" si="12"/>
        <v>1</v>
      </c>
      <c r="F94" s="121" t="s">
        <v>799</v>
      </c>
      <c r="G94" s="121">
        <f t="shared" si="13"/>
        <v>43.1</v>
      </c>
      <c r="H94" s="121">
        <f t="shared" si="15"/>
        <v>0.78500000000000003</v>
      </c>
      <c r="I94" s="121">
        <f>Table1[[#This Row],[Length]]*Table1[[#This Row],[Volume of steel]]</f>
        <v>23.331581600000003</v>
      </c>
      <c r="J94" s="121">
        <f>1.6%*H94*Table1[[#This Row],[Length]]</f>
        <v>0.54133600000000004</v>
      </c>
      <c r="K94" s="122">
        <f>3.14*((Table1[[#This Row],[Diameter ]]/2)^2)*Table1[[#This Row],[Length]]</f>
        <v>33.833500000000001</v>
      </c>
    </row>
    <row r="95" spans="2:11" x14ac:dyDescent="0.25">
      <c r="B95" s="119">
        <v>90</v>
      </c>
      <c r="C95" s="136">
        <v>34</v>
      </c>
      <c r="D95" s="121" t="s">
        <v>526</v>
      </c>
      <c r="E95" s="121">
        <f t="shared" si="12"/>
        <v>1</v>
      </c>
      <c r="F95" s="121" t="s">
        <v>799</v>
      </c>
      <c r="G95" s="121">
        <f t="shared" si="13"/>
        <v>43.1</v>
      </c>
      <c r="H95" s="121">
        <f t="shared" si="15"/>
        <v>0.78500000000000003</v>
      </c>
      <c r="I95" s="121">
        <f>Table1[[#This Row],[Length]]*Table1[[#This Row],[Volume of steel]]</f>
        <v>23.331581600000003</v>
      </c>
      <c r="J95" s="121">
        <f>1.6%*H95*Table1[[#This Row],[Length]]</f>
        <v>0.54133600000000004</v>
      </c>
      <c r="K95" s="122">
        <f>3.14*((Table1[[#This Row],[Diameter ]]/2)^2)*Table1[[#This Row],[Length]]</f>
        <v>33.833500000000001</v>
      </c>
    </row>
    <row r="96" spans="2:11" x14ac:dyDescent="0.25">
      <c r="B96" s="119">
        <v>91</v>
      </c>
      <c r="C96" s="136">
        <v>35</v>
      </c>
      <c r="D96" s="121" t="s">
        <v>526</v>
      </c>
      <c r="E96" s="121">
        <f t="shared" si="12"/>
        <v>1</v>
      </c>
      <c r="F96" s="121" t="s">
        <v>799</v>
      </c>
      <c r="G96" s="121">
        <f t="shared" si="13"/>
        <v>43.1</v>
      </c>
      <c r="H96" s="121">
        <f t="shared" si="15"/>
        <v>0.78500000000000003</v>
      </c>
      <c r="I96" s="121">
        <f>Table1[[#This Row],[Length]]*Table1[[#This Row],[Volume of steel]]</f>
        <v>23.331581600000003</v>
      </c>
      <c r="J96" s="121">
        <f>1.6%*H96*Table1[[#This Row],[Length]]</f>
        <v>0.54133600000000004</v>
      </c>
      <c r="K96" s="122">
        <f>3.14*((Table1[[#This Row],[Diameter ]]/2)^2)*Table1[[#This Row],[Length]]</f>
        <v>33.833500000000001</v>
      </c>
    </row>
    <row r="97" spans="2:11" x14ac:dyDescent="0.25">
      <c r="B97" s="119">
        <v>92</v>
      </c>
      <c r="C97" s="136">
        <v>36</v>
      </c>
      <c r="D97" s="121" t="s">
        <v>526</v>
      </c>
      <c r="E97" s="121">
        <f t="shared" si="12"/>
        <v>1</v>
      </c>
      <c r="F97" s="121" t="s">
        <v>799</v>
      </c>
      <c r="G97" s="121">
        <f t="shared" si="13"/>
        <v>43.1</v>
      </c>
      <c r="H97" s="121">
        <f t="shared" si="15"/>
        <v>0.78500000000000003</v>
      </c>
      <c r="I97" s="121">
        <f>Table1[[#This Row],[Length]]*Table1[[#This Row],[Volume of steel]]</f>
        <v>23.331581600000003</v>
      </c>
      <c r="J97" s="121">
        <f>1.6%*H97*Table1[[#This Row],[Length]]</f>
        <v>0.54133600000000004</v>
      </c>
      <c r="K97" s="122">
        <f>3.14*((Table1[[#This Row],[Diameter ]]/2)^2)*Table1[[#This Row],[Length]]</f>
        <v>33.833500000000001</v>
      </c>
    </row>
    <row r="98" spans="2:11" x14ac:dyDescent="0.25">
      <c r="B98" s="119">
        <v>93</v>
      </c>
      <c r="C98" s="136">
        <v>37</v>
      </c>
      <c r="D98" s="121" t="s">
        <v>526</v>
      </c>
      <c r="E98" s="121">
        <f t="shared" si="12"/>
        <v>1</v>
      </c>
      <c r="F98" s="121" t="s">
        <v>799</v>
      </c>
      <c r="G98" s="121">
        <f t="shared" si="13"/>
        <v>43.1</v>
      </c>
      <c r="H98" s="121">
        <f t="shared" si="15"/>
        <v>0.78500000000000003</v>
      </c>
      <c r="I98" s="121">
        <f>Table1[[#This Row],[Length]]*Table1[[#This Row],[Volume of steel]]</f>
        <v>23.331581600000003</v>
      </c>
      <c r="J98" s="121">
        <f>1.6%*H98*Table1[[#This Row],[Length]]</f>
        <v>0.54133600000000004</v>
      </c>
      <c r="K98" s="122">
        <f>3.14*((Table1[[#This Row],[Diameter ]]/2)^2)*Table1[[#This Row],[Length]]</f>
        <v>33.833500000000001</v>
      </c>
    </row>
    <row r="99" spans="2:11" x14ac:dyDescent="0.25">
      <c r="B99" s="119">
        <v>94</v>
      </c>
      <c r="C99" s="136">
        <v>38</v>
      </c>
      <c r="D99" s="121" t="s">
        <v>526</v>
      </c>
      <c r="E99" s="121">
        <f t="shared" si="12"/>
        <v>1</v>
      </c>
      <c r="F99" s="121" t="s">
        <v>799</v>
      </c>
      <c r="G99" s="121">
        <f t="shared" si="13"/>
        <v>43.1</v>
      </c>
      <c r="H99" s="121">
        <f t="shared" si="15"/>
        <v>0.78500000000000003</v>
      </c>
      <c r="I99" s="121">
        <f>Table1[[#This Row],[Length]]*Table1[[#This Row],[Volume of steel]]</f>
        <v>23.331581600000003</v>
      </c>
      <c r="J99" s="121">
        <f>1.6%*H99*Table1[[#This Row],[Length]]</f>
        <v>0.54133600000000004</v>
      </c>
      <c r="K99" s="122">
        <f>3.14*((Table1[[#This Row],[Diameter ]]/2)^2)*Table1[[#This Row],[Length]]</f>
        <v>33.833500000000001</v>
      </c>
    </row>
    <row r="100" spans="2:11" x14ac:dyDescent="0.25">
      <c r="B100" s="119">
        <v>95</v>
      </c>
      <c r="C100" s="137">
        <v>24</v>
      </c>
      <c r="D100" s="121" t="s">
        <v>571</v>
      </c>
      <c r="E100" s="121">
        <f t="shared" si="12"/>
        <v>0.75</v>
      </c>
      <c r="F100" s="121" t="s">
        <v>799</v>
      </c>
      <c r="G100" s="121">
        <f t="shared" si="13"/>
        <v>39.1</v>
      </c>
      <c r="H100" s="131">
        <f t="shared" ref="H100:H120" si="16">2*3.14*((E100/2)^2)</f>
        <v>0.88312500000000005</v>
      </c>
      <c r="I100" s="121">
        <f>Table1[[#This Row],[Length]]*Table1[[#This Row],[Volume of steel]]</f>
        <v>21.602085300000002</v>
      </c>
      <c r="J100" s="121">
        <f>1.6%*H100*Table1[[#This Row],[Length]]</f>
        <v>0.55248300000000006</v>
      </c>
      <c r="K100" s="131">
        <f>2*3.14*((Table1[[#This Row],[Diameter ]]/2)^2)*Table1[[#This Row],[Length]]</f>
        <v>34.530187500000004</v>
      </c>
    </row>
    <row r="101" spans="2:11" x14ac:dyDescent="0.25">
      <c r="B101" s="119">
        <v>96</v>
      </c>
      <c r="C101" s="137">
        <v>25</v>
      </c>
      <c r="D101" s="121" t="s">
        <v>571</v>
      </c>
      <c r="E101" s="121">
        <f t="shared" si="12"/>
        <v>0.75</v>
      </c>
      <c r="F101" s="121" t="s">
        <v>799</v>
      </c>
      <c r="G101" s="121">
        <f t="shared" si="13"/>
        <v>39.1</v>
      </c>
      <c r="H101" s="131">
        <f t="shared" si="16"/>
        <v>0.88312500000000005</v>
      </c>
      <c r="I101" s="121">
        <f>Table1[[#This Row],[Length]]*Table1[[#This Row],[Volume of steel]]</f>
        <v>21.602085300000002</v>
      </c>
      <c r="J101" s="121">
        <f>1.6%*H101*Table1[[#This Row],[Length]]</f>
        <v>0.55248300000000006</v>
      </c>
      <c r="K101" s="131">
        <f>2*3.14*((Table1[[#This Row],[Diameter ]]/2)^2)*Table1[[#This Row],[Length]]</f>
        <v>34.530187500000004</v>
      </c>
    </row>
    <row r="102" spans="2:11" x14ac:dyDescent="0.25">
      <c r="B102" s="119">
        <v>97</v>
      </c>
      <c r="C102" s="137">
        <v>26</v>
      </c>
      <c r="D102" s="121" t="s">
        <v>571</v>
      </c>
      <c r="E102" s="121">
        <f t="shared" si="12"/>
        <v>0.75</v>
      </c>
      <c r="F102" s="121" t="s">
        <v>799</v>
      </c>
      <c r="G102" s="121">
        <f t="shared" si="13"/>
        <v>39.1</v>
      </c>
      <c r="H102" s="131">
        <f t="shared" si="16"/>
        <v>0.88312500000000005</v>
      </c>
      <c r="I102" s="121">
        <f>Table1[[#This Row],[Length]]*Table1[[#This Row],[Volume of steel]]</f>
        <v>21.602085300000002</v>
      </c>
      <c r="J102" s="121">
        <f>1.6%*H102*Table1[[#This Row],[Length]]</f>
        <v>0.55248300000000006</v>
      </c>
      <c r="K102" s="131">
        <f>2*3.14*((Table1[[#This Row],[Diameter ]]/2)^2)*Table1[[#This Row],[Length]]</f>
        <v>34.530187500000004</v>
      </c>
    </row>
    <row r="103" spans="2:11" x14ac:dyDescent="0.25">
      <c r="B103" s="119">
        <v>98</v>
      </c>
      <c r="C103" s="137">
        <v>27</v>
      </c>
      <c r="D103" s="121" t="s">
        <v>571</v>
      </c>
      <c r="E103" s="121">
        <f t="shared" si="12"/>
        <v>0.75</v>
      </c>
      <c r="F103" s="121" t="s">
        <v>799</v>
      </c>
      <c r="G103" s="121">
        <f t="shared" si="13"/>
        <v>39.1</v>
      </c>
      <c r="H103" s="131">
        <f t="shared" si="16"/>
        <v>0.88312500000000005</v>
      </c>
      <c r="I103" s="121">
        <f>Table1[[#This Row],[Length]]*Table1[[#This Row],[Volume of steel]]</f>
        <v>21.602085300000002</v>
      </c>
      <c r="J103" s="121">
        <f>1.6%*H103*Table1[[#This Row],[Length]]</f>
        <v>0.55248300000000006</v>
      </c>
      <c r="K103" s="131">
        <f>2*3.14*((Table1[[#This Row],[Diameter ]]/2)^2)*Table1[[#This Row],[Length]]</f>
        <v>34.530187500000004</v>
      </c>
    </row>
    <row r="104" spans="2:11" x14ac:dyDescent="0.25">
      <c r="B104" s="119">
        <v>99</v>
      </c>
      <c r="C104" s="137">
        <v>28</v>
      </c>
      <c r="D104" s="121" t="s">
        <v>571</v>
      </c>
      <c r="E104" s="121">
        <f t="shared" si="12"/>
        <v>0.75</v>
      </c>
      <c r="F104" s="121" t="s">
        <v>799</v>
      </c>
      <c r="G104" s="121">
        <f t="shared" si="13"/>
        <v>39.1</v>
      </c>
      <c r="H104" s="131">
        <f t="shared" si="16"/>
        <v>0.88312500000000005</v>
      </c>
      <c r="I104" s="121">
        <f>Table1[[#This Row],[Length]]*Table1[[#This Row],[Volume of steel]]</f>
        <v>21.602085300000002</v>
      </c>
      <c r="J104" s="121">
        <f>1.6%*H104*Table1[[#This Row],[Length]]</f>
        <v>0.55248300000000006</v>
      </c>
      <c r="K104" s="131">
        <f>2*3.14*((Table1[[#This Row],[Diameter ]]/2)^2)*Table1[[#This Row],[Length]]</f>
        <v>34.530187500000004</v>
      </c>
    </row>
    <row r="105" spans="2:11" x14ac:dyDescent="0.25">
      <c r="B105" s="119">
        <v>100</v>
      </c>
      <c r="C105" s="137">
        <v>29</v>
      </c>
      <c r="D105" s="121" t="s">
        <v>571</v>
      </c>
      <c r="E105" s="121">
        <f t="shared" si="12"/>
        <v>0.75</v>
      </c>
      <c r="F105" s="121" t="s">
        <v>799</v>
      </c>
      <c r="G105" s="121">
        <f t="shared" si="13"/>
        <v>39.1</v>
      </c>
      <c r="H105" s="131">
        <f t="shared" si="16"/>
        <v>0.88312500000000005</v>
      </c>
      <c r="I105" s="121">
        <f>Table1[[#This Row],[Length]]*Table1[[#This Row],[Volume of steel]]</f>
        <v>21.602085300000002</v>
      </c>
      <c r="J105" s="121">
        <f>1.6%*H105*Table1[[#This Row],[Length]]</f>
        <v>0.55248300000000006</v>
      </c>
      <c r="K105" s="131">
        <f>2*3.14*((Table1[[#This Row],[Diameter ]]/2)^2)*Table1[[#This Row],[Length]]</f>
        <v>34.530187500000004</v>
      </c>
    </row>
    <row r="106" spans="2:11" x14ac:dyDescent="0.25">
      <c r="B106" s="119">
        <v>101</v>
      </c>
      <c r="C106" s="137">
        <v>30</v>
      </c>
      <c r="D106" s="121" t="s">
        <v>571</v>
      </c>
      <c r="E106" s="121">
        <f t="shared" si="12"/>
        <v>0.75</v>
      </c>
      <c r="F106" s="121" t="s">
        <v>799</v>
      </c>
      <c r="G106" s="121">
        <f t="shared" si="13"/>
        <v>39.1</v>
      </c>
      <c r="H106" s="131">
        <f t="shared" si="16"/>
        <v>0.88312500000000005</v>
      </c>
      <c r="I106" s="121">
        <f>Table1[[#This Row],[Length]]*Table1[[#This Row],[Volume of steel]]</f>
        <v>21.602085300000002</v>
      </c>
      <c r="J106" s="121">
        <f>1.6%*H106*Table1[[#This Row],[Length]]</f>
        <v>0.55248300000000006</v>
      </c>
      <c r="K106" s="131">
        <f>2*3.14*((Table1[[#This Row],[Diameter ]]/2)^2)*Table1[[#This Row],[Length]]</f>
        <v>34.530187500000004</v>
      </c>
    </row>
    <row r="107" spans="2:11" x14ac:dyDescent="0.25">
      <c r="B107" s="119">
        <v>102</v>
      </c>
      <c r="C107" s="137">
        <v>31</v>
      </c>
      <c r="D107" s="121" t="s">
        <v>571</v>
      </c>
      <c r="E107" s="121">
        <f t="shared" si="12"/>
        <v>0.75</v>
      </c>
      <c r="F107" s="121" t="s">
        <v>799</v>
      </c>
      <c r="G107" s="121">
        <f t="shared" si="13"/>
        <v>39.1</v>
      </c>
      <c r="H107" s="131">
        <f t="shared" si="16"/>
        <v>0.88312500000000005</v>
      </c>
      <c r="I107" s="121">
        <f>Table1[[#This Row],[Length]]*Table1[[#This Row],[Volume of steel]]</f>
        <v>21.602085300000002</v>
      </c>
      <c r="J107" s="121">
        <f>1.6%*H107*Table1[[#This Row],[Length]]</f>
        <v>0.55248300000000006</v>
      </c>
      <c r="K107" s="131">
        <f>2*3.14*((Table1[[#This Row],[Diameter ]]/2)^2)*Table1[[#This Row],[Length]]</f>
        <v>34.530187500000004</v>
      </c>
    </row>
    <row r="108" spans="2:11" x14ac:dyDescent="0.25">
      <c r="B108" s="119">
        <v>103</v>
      </c>
      <c r="C108" s="137">
        <v>32</v>
      </c>
      <c r="D108" s="121" t="s">
        <v>571</v>
      </c>
      <c r="E108" s="121">
        <f t="shared" si="12"/>
        <v>0.75</v>
      </c>
      <c r="F108" s="121" t="s">
        <v>799</v>
      </c>
      <c r="G108" s="121">
        <f t="shared" si="13"/>
        <v>39.1</v>
      </c>
      <c r="H108" s="131">
        <f t="shared" si="16"/>
        <v>0.88312500000000005</v>
      </c>
      <c r="I108" s="121">
        <f>Table1[[#This Row],[Length]]*Table1[[#This Row],[Volume of steel]]</f>
        <v>21.602085300000002</v>
      </c>
      <c r="J108" s="121">
        <f>1.6%*H108*Table1[[#This Row],[Length]]</f>
        <v>0.55248300000000006</v>
      </c>
      <c r="K108" s="131">
        <f>2*3.14*((Table1[[#This Row],[Diameter ]]/2)^2)*Table1[[#This Row],[Length]]</f>
        <v>34.530187500000004</v>
      </c>
    </row>
    <row r="109" spans="2:11" x14ac:dyDescent="0.25">
      <c r="B109" s="119">
        <v>104</v>
      </c>
      <c r="C109" s="137">
        <v>33</v>
      </c>
      <c r="D109" s="121" t="s">
        <v>571</v>
      </c>
      <c r="E109" s="121">
        <f t="shared" si="12"/>
        <v>0.75</v>
      </c>
      <c r="F109" s="121" t="s">
        <v>799</v>
      </c>
      <c r="G109" s="121">
        <f t="shared" si="13"/>
        <v>39.1</v>
      </c>
      <c r="H109" s="131">
        <f t="shared" si="16"/>
        <v>0.88312500000000005</v>
      </c>
      <c r="I109" s="121">
        <f>Table1[[#This Row],[Length]]*Table1[[#This Row],[Volume of steel]]</f>
        <v>21.602085300000002</v>
      </c>
      <c r="J109" s="121">
        <f>1.6%*H109*Table1[[#This Row],[Length]]</f>
        <v>0.55248300000000006</v>
      </c>
      <c r="K109" s="131">
        <f>2*3.14*((Table1[[#This Row],[Diameter ]]/2)^2)*Table1[[#This Row],[Length]]</f>
        <v>34.530187500000004</v>
      </c>
    </row>
    <row r="110" spans="2:11" x14ac:dyDescent="0.25">
      <c r="B110" s="119">
        <v>105</v>
      </c>
      <c r="C110" s="137">
        <v>34</v>
      </c>
      <c r="D110" s="121" t="s">
        <v>571</v>
      </c>
      <c r="E110" s="121">
        <f t="shared" si="12"/>
        <v>0.75</v>
      </c>
      <c r="F110" s="121" t="s">
        <v>799</v>
      </c>
      <c r="G110" s="121">
        <f t="shared" si="13"/>
        <v>39.1</v>
      </c>
      <c r="H110" s="131">
        <f t="shared" si="16"/>
        <v>0.88312500000000005</v>
      </c>
      <c r="I110" s="121">
        <f>Table1[[#This Row],[Length]]*Table1[[#This Row],[Volume of steel]]</f>
        <v>21.602085300000002</v>
      </c>
      <c r="J110" s="121">
        <f>1.6%*H110*Table1[[#This Row],[Length]]</f>
        <v>0.55248300000000006</v>
      </c>
      <c r="K110" s="131">
        <f>2*3.14*((Table1[[#This Row],[Diameter ]]/2)^2)*Table1[[#This Row],[Length]]</f>
        <v>34.530187500000004</v>
      </c>
    </row>
    <row r="111" spans="2:11" x14ac:dyDescent="0.25">
      <c r="B111" s="119">
        <v>106</v>
      </c>
      <c r="C111" s="137">
        <v>35</v>
      </c>
      <c r="D111" s="121" t="s">
        <v>571</v>
      </c>
      <c r="E111" s="121">
        <f t="shared" si="12"/>
        <v>0.75</v>
      </c>
      <c r="F111" s="121" t="s">
        <v>799</v>
      </c>
      <c r="G111" s="121">
        <f t="shared" si="13"/>
        <v>39.1</v>
      </c>
      <c r="H111" s="131">
        <f t="shared" si="16"/>
        <v>0.88312500000000005</v>
      </c>
      <c r="I111" s="121">
        <f>Table1[[#This Row],[Length]]*Table1[[#This Row],[Volume of steel]]</f>
        <v>21.602085300000002</v>
      </c>
      <c r="J111" s="121">
        <f>1.6%*H111*Table1[[#This Row],[Length]]</f>
        <v>0.55248300000000006</v>
      </c>
      <c r="K111" s="131">
        <f>2*3.14*((Table1[[#This Row],[Diameter ]]/2)^2)*Table1[[#This Row],[Length]]</f>
        <v>34.530187500000004</v>
      </c>
    </row>
    <row r="112" spans="2:11" x14ac:dyDescent="0.25">
      <c r="B112" s="119">
        <v>107</v>
      </c>
      <c r="C112" s="137">
        <v>36</v>
      </c>
      <c r="D112" s="121" t="s">
        <v>571</v>
      </c>
      <c r="E112" s="121">
        <f t="shared" si="12"/>
        <v>0.75</v>
      </c>
      <c r="F112" s="121" t="s">
        <v>799</v>
      </c>
      <c r="G112" s="121">
        <f t="shared" si="13"/>
        <v>39.1</v>
      </c>
      <c r="H112" s="131">
        <f t="shared" si="16"/>
        <v>0.88312500000000005</v>
      </c>
      <c r="I112" s="121">
        <f>Table1[[#This Row],[Length]]*Table1[[#This Row],[Volume of steel]]</f>
        <v>21.602085300000002</v>
      </c>
      <c r="J112" s="121">
        <f>1.6%*H112*Table1[[#This Row],[Length]]</f>
        <v>0.55248300000000006</v>
      </c>
      <c r="K112" s="131">
        <f>2*3.14*((Table1[[#This Row],[Diameter ]]/2)^2)*Table1[[#This Row],[Length]]</f>
        <v>34.530187500000004</v>
      </c>
    </row>
    <row r="113" spans="2:15" x14ac:dyDescent="0.25">
      <c r="B113" s="119">
        <v>108</v>
      </c>
      <c r="C113" s="137">
        <v>37</v>
      </c>
      <c r="D113" s="121" t="s">
        <v>571</v>
      </c>
      <c r="E113" s="121">
        <f t="shared" si="12"/>
        <v>0.75</v>
      </c>
      <c r="F113" s="121" t="s">
        <v>799</v>
      </c>
      <c r="G113" s="121">
        <f t="shared" si="13"/>
        <v>39.1</v>
      </c>
      <c r="H113" s="131">
        <f t="shared" si="16"/>
        <v>0.88312500000000005</v>
      </c>
      <c r="I113" s="121">
        <f>Table1[[#This Row],[Length]]*Table1[[#This Row],[Volume of steel]]</f>
        <v>21.602085300000002</v>
      </c>
      <c r="J113" s="121">
        <f>1.6%*H113*Table1[[#This Row],[Length]]</f>
        <v>0.55248300000000006</v>
      </c>
      <c r="K113" s="131">
        <f>2*3.14*((Table1[[#This Row],[Diameter ]]/2)^2)*Table1[[#This Row],[Length]]</f>
        <v>34.530187500000004</v>
      </c>
    </row>
    <row r="114" spans="2:15" x14ac:dyDescent="0.25">
      <c r="B114" s="119">
        <v>109</v>
      </c>
      <c r="C114" s="137">
        <v>38</v>
      </c>
      <c r="D114" s="121" t="s">
        <v>571</v>
      </c>
      <c r="E114" s="121">
        <f t="shared" si="12"/>
        <v>0.75</v>
      </c>
      <c r="F114" s="121" t="s">
        <v>799</v>
      </c>
      <c r="G114" s="121">
        <f t="shared" si="13"/>
        <v>39.1</v>
      </c>
      <c r="H114" s="131">
        <f t="shared" si="16"/>
        <v>0.88312500000000005</v>
      </c>
      <c r="I114" s="121">
        <f>Table1[[#This Row],[Length]]*Table1[[#This Row],[Volume of steel]]</f>
        <v>21.602085300000002</v>
      </c>
      <c r="J114" s="121">
        <f>1.6%*H114*Table1[[#This Row],[Length]]</f>
        <v>0.55248300000000006</v>
      </c>
      <c r="K114" s="131">
        <f>2*3.14*((Table1[[#This Row],[Diameter ]]/2)^2)*Table1[[#This Row],[Length]]</f>
        <v>34.530187500000004</v>
      </c>
    </row>
    <row r="115" spans="2:15" x14ac:dyDescent="0.25">
      <c r="B115" s="119">
        <v>110</v>
      </c>
      <c r="C115" s="138">
        <v>24</v>
      </c>
      <c r="D115" s="121" t="s">
        <v>571</v>
      </c>
      <c r="E115" s="121">
        <f t="shared" si="12"/>
        <v>0.75</v>
      </c>
      <c r="F115" s="121" t="s">
        <v>799</v>
      </c>
      <c r="G115" s="121">
        <f t="shared" si="13"/>
        <v>39.1</v>
      </c>
      <c r="H115" s="131">
        <f t="shared" si="16"/>
        <v>0.88312500000000005</v>
      </c>
      <c r="I115" s="121">
        <f>Table1[[#This Row],[Length]]*Table1[[#This Row],[Volume of steel]]</f>
        <v>21.602085300000002</v>
      </c>
      <c r="J115" s="121">
        <f>1.6%*H115*Table1[[#This Row],[Length]]</f>
        <v>0.55248300000000006</v>
      </c>
      <c r="K115" s="131">
        <f>2*3.14*((Table1[[#This Row],[Diameter ]]/2)^2)*Table1[[#This Row],[Length]]</f>
        <v>34.530187500000004</v>
      </c>
    </row>
    <row r="116" spans="2:15" x14ac:dyDescent="0.25">
      <c r="B116" s="119">
        <v>111</v>
      </c>
      <c r="C116" s="138">
        <v>25</v>
      </c>
      <c r="D116" s="121" t="s">
        <v>571</v>
      </c>
      <c r="E116" s="121">
        <f t="shared" si="12"/>
        <v>0.75</v>
      </c>
      <c r="F116" s="121" t="s">
        <v>799</v>
      </c>
      <c r="G116" s="121">
        <f t="shared" si="13"/>
        <v>39.1</v>
      </c>
      <c r="H116" s="131">
        <f t="shared" si="16"/>
        <v>0.88312500000000005</v>
      </c>
      <c r="I116" s="121">
        <f>Table1[[#This Row],[Length]]*Table1[[#This Row],[Volume of steel]]</f>
        <v>21.602085300000002</v>
      </c>
      <c r="J116" s="121">
        <f>1.6%*H116*Table1[[#This Row],[Length]]</f>
        <v>0.55248300000000006</v>
      </c>
      <c r="K116" s="131">
        <f>2*3.14*((Table1[[#This Row],[Diameter ]]/2)^2)*Table1[[#This Row],[Length]]</f>
        <v>34.530187500000004</v>
      </c>
    </row>
    <row r="117" spans="2:15" x14ac:dyDescent="0.25">
      <c r="B117" s="119">
        <v>112</v>
      </c>
      <c r="C117" s="138">
        <v>26</v>
      </c>
      <c r="D117" s="121" t="s">
        <v>571</v>
      </c>
      <c r="E117" s="121">
        <f t="shared" si="12"/>
        <v>0.75</v>
      </c>
      <c r="F117" s="121" t="s">
        <v>799</v>
      </c>
      <c r="G117" s="121">
        <f t="shared" si="13"/>
        <v>39.1</v>
      </c>
      <c r="H117" s="131">
        <f t="shared" si="16"/>
        <v>0.88312500000000005</v>
      </c>
      <c r="I117" s="121">
        <f>Table1[[#This Row],[Length]]*Table1[[#This Row],[Volume of steel]]</f>
        <v>21.602085300000002</v>
      </c>
      <c r="J117" s="121">
        <f>1.6%*H117*Table1[[#This Row],[Length]]</f>
        <v>0.55248300000000006</v>
      </c>
      <c r="K117" s="131">
        <f>2*3.14*((Table1[[#This Row],[Diameter ]]/2)^2)*Table1[[#This Row],[Length]]</f>
        <v>34.530187500000004</v>
      </c>
    </row>
    <row r="118" spans="2:15" x14ac:dyDescent="0.25">
      <c r="B118" s="119">
        <v>113</v>
      </c>
      <c r="C118" s="138">
        <v>27</v>
      </c>
      <c r="D118" s="121" t="s">
        <v>571</v>
      </c>
      <c r="E118" s="121">
        <f t="shared" si="12"/>
        <v>0.75</v>
      </c>
      <c r="F118" s="121" t="s">
        <v>799</v>
      </c>
      <c r="G118" s="121">
        <f t="shared" si="13"/>
        <v>39.1</v>
      </c>
      <c r="H118" s="131">
        <f t="shared" si="16"/>
        <v>0.88312500000000005</v>
      </c>
      <c r="I118" s="121">
        <f>Table1[[#This Row],[Length]]*Table1[[#This Row],[Volume of steel]]</f>
        <v>21.602085300000002</v>
      </c>
      <c r="J118" s="121">
        <f>1.6%*H118*Table1[[#This Row],[Length]]</f>
        <v>0.55248300000000006</v>
      </c>
      <c r="K118" s="131">
        <f>2*3.14*((Table1[[#This Row],[Diameter ]]/2)^2)*Table1[[#This Row],[Length]]</f>
        <v>34.530187500000004</v>
      </c>
    </row>
    <row r="119" spans="2:15" x14ac:dyDescent="0.25">
      <c r="B119" s="119">
        <v>114</v>
      </c>
      <c r="C119" s="138">
        <v>28</v>
      </c>
      <c r="D119" s="121" t="s">
        <v>571</v>
      </c>
      <c r="E119" s="121">
        <f t="shared" ref="E119:E126" si="17">VLOOKUP(D119,$N$6:$P$11,3,FALSE)</f>
        <v>0.75</v>
      </c>
      <c r="F119" s="121" t="s">
        <v>799</v>
      </c>
      <c r="G119" s="121">
        <f t="shared" ref="G119:G126" si="18">VLOOKUP(D119,$N$6:$Q$11,4,FALSE)</f>
        <v>39.1</v>
      </c>
      <c r="H119" s="131">
        <f t="shared" si="16"/>
        <v>0.88312500000000005</v>
      </c>
      <c r="I119" s="121">
        <f>Table1[[#This Row],[Length]]*Table1[[#This Row],[Volume of steel]]</f>
        <v>21.602085300000002</v>
      </c>
      <c r="J119" s="121">
        <f>1.6%*H119*Table1[[#This Row],[Length]]</f>
        <v>0.55248300000000006</v>
      </c>
      <c r="K119" s="131">
        <f>2*3.14*((Table1[[#This Row],[Diameter ]]/2)^2)*Table1[[#This Row],[Length]]</f>
        <v>34.530187500000004</v>
      </c>
    </row>
    <row r="120" spans="2:15" x14ac:dyDescent="0.25">
      <c r="B120" s="119">
        <v>115</v>
      </c>
      <c r="C120" s="138">
        <v>29</v>
      </c>
      <c r="D120" s="121" t="s">
        <v>571</v>
      </c>
      <c r="E120" s="121">
        <f t="shared" si="17"/>
        <v>0.75</v>
      </c>
      <c r="F120" s="121" t="s">
        <v>799</v>
      </c>
      <c r="G120" s="121">
        <f t="shared" si="18"/>
        <v>39.1</v>
      </c>
      <c r="H120" s="131">
        <f t="shared" si="16"/>
        <v>0.88312500000000005</v>
      </c>
      <c r="I120" s="121">
        <f>Table1[[#This Row],[Length]]*Table1[[#This Row],[Volume of steel]]</f>
        <v>21.602085300000002</v>
      </c>
      <c r="J120" s="121">
        <f>1.6%*H120*Table1[[#This Row],[Length]]</f>
        <v>0.55248300000000006</v>
      </c>
      <c r="K120" s="131">
        <f>2*3.14*((Table1[[#This Row],[Diameter ]]/2)^2)*Table1[[#This Row],[Length]]</f>
        <v>34.530187500000004</v>
      </c>
    </row>
    <row r="121" spans="2:15" x14ac:dyDescent="0.25">
      <c r="B121" s="119">
        <v>116</v>
      </c>
      <c r="C121" s="139">
        <v>24</v>
      </c>
      <c r="D121" s="121" t="s">
        <v>526</v>
      </c>
      <c r="E121" s="121">
        <f t="shared" si="17"/>
        <v>1</v>
      </c>
      <c r="F121" s="121" t="s">
        <v>799</v>
      </c>
      <c r="G121" s="121">
        <f t="shared" si="18"/>
        <v>43.1</v>
      </c>
      <c r="H121" s="121">
        <f t="shared" ref="H121:H126" si="19">3.14*((E121/2)^2)</f>
        <v>0.78500000000000003</v>
      </c>
      <c r="I121" s="121">
        <f>Table1[[#This Row],[Length]]*Table1[[#This Row],[Volume of steel]]</f>
        <v>23.331581600000003</v>
      </c>
      <c r="J121" s="121">
        <f>1.6%*H121*Table1[[#This Row],[Length]]</f>
        <v>0.54133600000000004</v>
      </c>
      <c r="K121" s="122">
        <f>3.14*((Table1[[#This Row],[Diameter ]]/2)^2)*Table1[[#This Row],[Length]]</f>
        <v>33.833500000000001</v>
      </c>
    </row>
    <row r="122" spans="2:15" x14ac:dyDescent="0.25">
      <c r="B122" s="119">
        <v>117</v>
      </c>
      <c r="C122" s="139">
        <v>25</v>
      </c>
      <c r="D122" s="121" t="s">
        <v>526</v>
      </c>
      <c r="E122" s="121">
        <f t="shared" si="17"/>
        <v>1</v>
      </c>
      <c r="F122" s="121" t="s">
        <v>799</v>
      </c>
      <c r="G122" s="121">
        <f t="shared" si="18"/>
        <v>43.1</v>
      </c>
      <c r="H122" s="121">
        <f t="shared" si="19"/>
        <v>0.78500000000000003</v>
      </c>
      <c r="I122" s="121">
        <f>Table1[[#This Row],[Length]]*Table1[[#This Row],[Volume of steel]]</f>
        <v>23.331581600000003</v>
      </c>
      <c r="J122" s="121">
        <f>1.6%*H122*Table1[[#This Row],[Length]]</f>
        <v>0.54133600000000004</v>
      </c>
      <c r="K122" s="122">
        <f>3.14*((Table1[[#This Row],[Diameter ]]/2)^2)*Table1[[#This Row],[Length]]</f>
        <v>33.833500000000001</v>
      </c>
    </row>
    <row r="123" spans="2:15" x14ac:dyDescent="0.25">
      <c r="B123" s="119">
        <v>118</v>
      </c>
      <c r="C123" s="139">
        <v>26</v>
      </c>
      <c r="D123" s="121" t="s">
        <v>526</v>
      </c>
      <c r="E123" s="121">
        <f t="shared" si="17"/>
        <v>1</v>
      </c>
      <c r="F123" s="121" t="s">
        <v>799</v>
      </c>
      <c r="G123" s="121">
        <f t="shared" si="18"/>
        <v>43.1</v>
      </c>
      <c r="H123" s="121">
        <f t="shared" si="19"/>
        <v>0.78500000000000003</v>
      </c>
      <c r="I123" s="121">
        <f>Table1[[#This Row],[Length]]*Table1[[#This Row],[Volume of steel]]</f>
        <v>23.331581600000003</v>
      </c>
      <c r="J123" s="121">
        <f>1.6%*H123*Table1[[#This Row],[Length]]</f>
        <v>0.54133600000000004</v>
      </c>
      <c r="K123" s="122">
        <f>3.14*((Table1[[#This Row],[Diameter ]]/2)^2)*Table1[[#This Row],[Length]]</f>
        <v>33.833500000000001</v>
      </c>
    </row>
    <row r="124" spans="2:15" x14ac:dyDescent="0.25">
      <c r="B124" s="119">
        <v>119</v>
      </c>
      <c r="C124" s="139">
        <v>27</v>
      </c>
      <c r="D124" s="121" t="s">
        <v>526</v>
      </c>
      <c r="E124" s="121">
        <f t="shared" si="17"/>
        <v>1</v>
      </c>
      <c r="F124" s="121" t="s">
        <v>799</v>
      </c>
      <c r="G124" s="121">
        <f t="shared" si="18"/>
        <v>43.1</v>
      </c>
      <c r="H124" s="121">
        <f t="shared" si="19"/>
        <v>0.78500000000000003</v>
      </c>
      <c r="I124" s="121">
        <f>Table1[[#This Row],[Length]]*Table1[[#This Row],[Volume of steel]]</f>
        <v>23.331581600000003</v>
      </c>
      <c r="J124" s="121">
        <f>1.6%*H124*Table1[[#This Row],[Length]]</f>
        <v>0.54133600000000004</v>
      </c>
      <c r="K124" s="122">
        <f>3.14*((Table1[[#This Row],[Diameter ]]/2)^2)*Table1[[#This Row],[Length]]</f>
        <v>33.833500000000001</v>
      </c>
    </row>
    <row r="125" spans="2:15" x14ac:dyDescent="0.25">
      <c r="B125" s="119">
        <v>120</v>
      </c>
      <c r="C125" s="139">
        <v>28</v>
      </c>
      <c r="D125" s="121" t="s">
        <v>526</v>
      </c>
      <c r="E125" s="121">
        <f t="shared" si="17"/>
        <v>1</v>
      </c>
      <c r="F125" s="121" t="s">
        <v>799</v>
      </c>
      <c r="G125" s="121">
        <f t="shared" si="18"/>
        <v>43.1</v>
      </c>
      <c r="H125" s="121">
        <f t="shared" si="19"/>
        <v>0.78500000000000003</v>
      </c>
      <c r="I125" s="121">
        <f>Table1[[#This Row],[Length]]*Table1[[#This Row],[Volume of steel]]</f>
        <v>23.331581600000003</v>
      </c>
      <c r="J125" s="121">
        <f>1.6%*H125*Table1[[#This Row],[Length]]</f>
        <v>0.54133600000000004</v>
      </c>
      <c r="K125" s="122">
        <f>3.14*((Table1[[#This Row],[Diameter ]]/2)^2)*Table1[[#This Row],[Length]]</f>
        <v>33.833500000000001</v>
      </c>
    </row>
    <row r="126" spans="2:15" x14ac:dyDescent="0.25">
      <c r="B126" s="140">
        <v>121</v>
      </c>
      <c r="C126" s="141">
        <v>29</v>
      </c>
      <c r="D126" s="142" t="s">
        <v>526</v>
      </c>
      <c r="E126" s="142">
        <f t="shared" si="17"/>
        <v>1</v>
      </c>
      <c r="F126" s="142" t="s">
        <v>799</v>
      </c>
      <c r="G126" s="142">
        <f t="shared" si="18"/>
        <v>43.1</v>
      </c>
      <c r="H126" s="121">
        <f t="shared" si="19"/>
        <v>0.78500000000000003</v>
      </c>
      <c r="I126" s="142">
        <f>Table1[[#This Row],[Length]]*Table1[[#This Row],[Volume of steel]]</f>
        <v>23.331581600000003</v>
      </c>
      <c r="J126" s="121">
        <f>1.6%*H126*Table1[[#This Row],[Length]]</f>
        <v>0.54133600000000004</v>
      </c>
      <c r="K126" s="122">
        <f>3.14*((Table1[[#This Row],[Diameter ]]/2)^2)*Table1[[#This Row],[Length]]</f>
        <v>33.833500000000001</v>
      </c>
    </row>
    <row r="127" spans="2:15" x14ac:dyDescent="0.25">
      <c r="B127" s="143"/>
      <c r="C127" s="144"/>
      <c r="D127" s="145"/>
      <c r="E127" s="145"/>
      <c r="F127" s="145"/>
      <c r="G127" s="145">
        <f>SUBTOTAL(109,Table1[Length])</f>
        <v>4715.8999999999996</v>
      </c>
      <c r="H127" s="145"/>
      <c r="I127" s="145"/>
      <c r="J127" s="145">
        <f>SUBTOTAL(109,Table1[Volume of steel])</f>
        <v>66.516880800000081</v>
      </c>
      <c r="K127" s="146">
        <f>SUBTOTAL(109,Table1[Volume of Concrete])</f>
        <v>4169.2590300000056</v>
      </c>
      <c r="N127" s="131">
        <f t="shared" ref="N127" si="20">3.14*((K127/2)^2)</f>
        <v>13645435.874500722</v>
      </c>
      <c r="O127" s="131"/>
    </row>
    <row r="128" spans="2:15" x14ac:dyDescent="0.25">
      <c r="J128" s="148">
        <f>Table1[[#Totals],[Volume of steel]]*7.9</f>
        <v>525.48335832000066</v>
      </c>
      <c r="K128" s="149">
        <f>Table1[[#Totals],[Volume of Concrete]]*8741</f>
        <v>36443493.181230046</v>
      </c>
    </row>
    <row r="129" spans="10:12" x14ac:dyDescent="0.25">
      <c r="J129" s="150">
        <f>J128*(74000+1000)</f>
        <v>39411251.87400005</v>
      </c>
      <c r="K129" s="149">
        <f>K128+J129</f>
        <v>75854745.055230096</v>
      </c>
      <c r="L129" s="151">
        <v>468067</v>
      </c>
    </row>
    <row r="130" spans="10:12" x14ac:dyDescent="0.25">
      <c r="J130" s="149"/>
      <c r="K130" s="112">
        <f>K129/Table1[[#Totals],[Length]]</f>
        <v>16084.892609094786</v>
      </c>
    </row>
    <row r="131" spans="10:12" x14ac:dyDescent="0.25">
      <c r="K131" s="149">
        <f>J129+K129</f>
        <v>115265996.92923015</v>
      </c>
      <c r="L131" s="152">
        <f>K131/L129</f>
        <v>246.259610118274</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35"/>
  <sheetViews>
    <sheetView workbookViewId="0">
      <selection activeCell="K25" sqref="K25"/>
    </sheetView>
  </sheetViews>
  <sheetFormatPr defaultRowHeight="15" x14ac:dyDescent="0.25"/>
  <cols>
    <col min="1" max="1" width="2" style="113" customWidth="1"/>
    <col min="2" max="2" width="12.85546875" style="112" bestFit="1" customWidth="1"/>
    <col min="3" max="3" width="14.42578125" style="147" bestFit="1" customWidth="1"/>
    <col min="4" max="4" width="13.7109375" style="112" bestFit="1" customWidth="1"/>
    <col min="5" max="5" width="16.140625" style="112" customWidth="1"/>
    <col min="6" max="6" width="11.28515625" style="112" hidden="1" customWidth="1"/>
    <col min="7" max="7" width="13.140625" style="112" bestFit="1" customWidth="1"/>
    <col min="8" max="8" width="29.85546875" style="112" customWidth="1"/>
    <col min="9" max="9" width="29.85546875" style="112" hidden="1" customWidth="1"/>
    <col min="10" max="10" width="22.140625" style="112" customWidth="1"/>
    <col min="11" max="11" width="25.5703125" style="112" bestFit="1" customWidth="1"/>
    <col min="12" max="18" width="9.140625" style="113"/>
    <col min="19" max="19" width="17.5703125" style="113" bestFit="1" customWidth="1"/>
    <col min="20" max="16384" width="9.140625" style="113"/>
  </cols>
  <sheetData>
    <row r="1" spans="2:19" x14ac:dyDescent="0.25">
      <c r="C1" s="112"/>
    </row>
    <row r="2" spans="2:19" ht="23.25" x14ac:dyDescent="0.25">
      <c r="B2" s="114" t="s">
        <v>794</v>
      </c>
      <c r="C2" s="114"/>
    </row>
    <row r="3" spans="2:19" x14ac:dyDescent="0.25">
      <c r="C3" s="112"/>
    </row>
    <row r="4" spans="2:19" x14ac:dyDescent="0.25">
      <c r="C4" s="112"/>
    </row>
    <row r="5" spans="2:19" ht="15.75" x14ac:dyDescent="0.25">
      <c r="B5" s="115" t="s">
        <v>102</v>
      </c>
      <c r="C5" s="116" t="s">
        <v>517</v>
      </c>
      <c r="D5" s="116" t="s">
        <v>518</v>
      </c>
      <c r="E5" s="116" t="s">
        <v>795</v>
      </c>
      <c r="F5" s="116" t="s">
        <v>520</v>
      </c>
      <c r="G5" s="116" t="s">
        <v>521</v>
      </c>
      <c r="H5" s="117" t="s">
        <v>796</v>
      </c>
      <c r="I5" s="117" t="s">
        <v>797</v>
      </c>
      <c r="J5" s="117" t="s">
        <v>809</v>
      </c>
      <c r="K5" s="118" t="s">
        <v>788</v>
      </c>
    </row>
    <row r="6" spans="2:19" x14ac:dyDescent="0.25">
      <c r="B6" s="119"/>
      <c r="C6" s="120"/>
      <c r="D6" s="121"/>
      <c r="E6" s="121"/>
      <c r="F6" s="121"/>
      <c r="G6" s="121"/>
      <c r="H6" s="121"/>
      <c r="I6" s="121">
        <f>Table13[[#This Row],[Length]]*Table13[[#This Row],[Weight of  steel]]</f>
        <v>0</v>
      </c>
      <c r="J6" s="121"/>
      <c r="K6" s="122"/>
      <c r="N6" s="123" t="s">
        <v>800</v>
      </c>
      <c r="O6" s="123" t="s">
        <v>801</v>
      </c>
      <c r="P6" s="123" t="s">
        <v>802</v>
      </c>
      <c r="Q6" s="123" t="s">
        <v>803</v>
      </c>
      <c r="R6" s="123" t="s">
        <v>810</v>
      </c>
      <c r="S6" s="123" t="s">
        <v>811</v>
      </c>
    </row>
    <row r="7" spans="2:19" x14ac:dyDescent="0.25">
      <c r="B7" s="119">
        <v>1</v>
      </c>
      <c r="C7" s="124" t="s">
        <v>527</v>
      </c>
      <c r="D7" s="121" t="s">
        <v>565</v>
      </c>
      <c r="E7" s="121">
        <f t="shared" ref="E7:E49" si="0">VLOOKUP(D7,$N$6:$P$11,3,FALSE)</f>
        <v>0.75</v>
      </c>
      <c r="F7" s="121" t="s">
        <v>799</v>
      </c>
      <c r="G7" s="121">
        <f t="shared" ref="G7:G49" si="1">VLOOKUP(D7,$N$6:$Q$11,4,FALSE)</f>
        <v>37.1</v>
      </c>
      <c r="H7" s="121">
        <f t="shared" ref="H7:H68" si="2">3.14*((E7/2)^2)</f>
        <v>0.44156250000000002</v>
      </c>
      <c r="I7" s="121">
        <f>Table13[[#This Row],[Length]]*Table13[[#This Row],[Weight of  steel]]</f>
        <v>89.522300000000001</v>
      </c>
      <c r="J7" s="121">
        <f>VLOOKUP(Table13[[#This Row],[Pile No.]],$N$6:$S$11,6,FALSE)</f>
        <v>2.4129999999999998</v>
      </c>
      <c r="K7" s="122">
        <f>3.14*((Table13[[#This Row],[Diameter ]]/2)^2)*Table13[[#This Row],[Length]]</f>
        <v>16.381968750000002</v>
      </c>
      <c r="N7" s="123" t="s">
        <v>526</v>
      </c>
      <c r="O7" s="123">
        <v>1000</v>
      </c>
      <c r="P7" s="123">
        <f>O7/1000</f>
        <v>1</v>
      </c>
      <c r="Q7" s="123">
        <v>44.1</v>
      </c>
      <c r="R7" s="132">
        <v>5000</v>
      </c>
      <c r="S7" s="123">
        <v>3.52</v>
      </c>
    </row>
    <row r="8" spans="2:19" x14ac:dyDescent="0.25">
      <c r="B8" s="119">
        <v>2</v>
      </c>
      <c r="C8" s="125" t="s">
        <v>527</v>
      </c>
      <c r="D8" s="121" t="s">
        <v>565</v>
      </c>
      <c r="E8" s="121">
        <f t="shared" si="0"/>
        <v>0.75</v>
      </c>
      <c r="F8" s="121" t="s">
        <v>799</v>
      </c>
      <c r="G8" s="121">
        <f t="shared" si="1"/>
        <v>37.1</v>
      </c>
      <c r="H8" s="121">
        <f t="shared" si="2"/>
        <v>0.44156250000000002</v>
      </c>
      <c r="I8" s="121">
        <f>Table13[[#This Row],[Length]]*Table13[[#This Row],[Weight of  steel]]</f>
        <v>89.522300000000001</v>
      </c>
      <c r="J8" s="121">
        <f>VLOOKUP(Table13[[#This Row],[Pile No.]],$N$6:$S$11,6,FALSE)</f>
        <v>2.4129999999999998</v>
      </c>
      <c r="K8" s="122">
        <f>3.14*((Table13[[#This Row],[Diameter ]]/2)^2)*Table13[[#This Row],[Length]]</f>
        <v>16.381968750000002</v>
      </c>
      <c r="N8" s="123" t="s">
        <v>565</v>
      </c>
      <c r="O8" s="123">
        <v>750</v>
      </c>
      <c r="P8" s="123">
        <f t="shared" ref="P8:P11" si="3">O8/1000</f>
        <v>0.75</v>
      </c>
      <c r="Q8" s="123">
        <v>37.1</v>
      </c>
      <c r="R8" s="132">
        <v>3000</v>
      </c>
      <c r="S8" s="123">
        <v>2.4129999999999998</v>
      </c>
    </row>
    <row r="9" spans="2:19" x14ac:dyDescent="0.25">
      <c r="B9" s="119">
        <v>3</v>
      </c>
      <c r="C9" s="126" t="s">
        <v>527</v>
      </c>
      <c r="D9" s="121" t="s">
        <v>565</v>
      </c>
      <c r="E9" s="121">
        <f t="shared" si="0"/>
        <v>0.75</v>
      </c>
      <c r="F9" s="121" t="s">
        <v>799</v>
      </c>
      <c r="G9" s="121">
        <f t="shared" si="1"/>
        <v>37.1</v>
      </c>
      <c r="H9" s="121">
        <f t="shared" si="2"/>
        <v>0.44156250000000002</v>
      </c>
      <c r="I9" s="121">
        <f>Table13[[#This Row],[Length]]*Table13[[#This Row],[Weight of  steel]]</f>
        <v>89.522300000000001</v>
      </c>
      <c r="J9" s="121">
        <f>VLOOKUP(Table13[[#This Row],[Pile No.]],$N$6:$S$11,6,FALSE)</f>
        <v>2.4129999999999998</v>
      </c>
      <c r="K9" s="122">
        <f>3.14*((Table13[[#This Row],[Diameter ]]/2)^2)*Table13[[#This Row],[Length]]</f>
        <v>16.381968750000002</v>
      </c>
      <c r="N9" s="123" t="s">
        <v>812</v>
      </c>
      <c r="O9" s="123">
        <v>1000</v>
      </c>
      <c r="P9" s="123">
        <f t="shared" si="3"/>
        <v>1</v>
      </c>
      <c r="Q9" s="123">
        <v>38.1</v>
      </c>
      <c r="R9" s="132">
        <v>4000</v>
      </c>
      <c r="S9" s="123">
        <v>2.34</v>
      </c>
    </row>
    <row r="10" spans="2:19" x14ac:dyDescent="0.25">
      <c r="B10" s="119">
        <v>4</v>
      </c>
      <c r="C10" s="127" t="s">
        <v>527</v>
      </c>
      <c r="D10" s="121" t="s">
        <v>565</v>
      </c>
      <c r="E10" s="121">
        <f t="shared" si="0"/>
        <v>0.75</v>
      </c>
      <c r="F10" s="121" t="s">
        <v>799</v>
      </c>
      <c r="G10" s="121">
        <f t="shared" si="1"/>
        <v>37.1</v>
      </c>
      <c r="H10" s="121">
        <f t="shared" si="2"/>
        <v>0.44156250000000002</v>
      </c>
      <c r="I10" s="121">
        <f>Table13[[#This Row],[Length]]*Table13[[#This Row],[Weight of  steel]]</f>
        <v>89.522300000000001</v>
      </c>
      <c r="J10" s="121">
        <f>VLOOKUP(Table13[[#This Row],[Pile No.]],$N$6:$S$11,6,FALSE)</f>
        <v>2.4129999999999998</v>
      </c>
      <c r="K10" s="122">
        <f>3.14*((Table13[[#This Row],[Diameter ]]/2)^2)*Table13[[#This Row],[Length]]</f>
        <v>16.381968750000002</v>
      </c>
      <c r="N10" s="123" t="s">
        <v>813</v>
      </c>
      <c r="O10" s="123">
        <v>750</v>
      </c>
      <c r="P10" s="123">
        <f t="shared" si="3"/>
        <v>0.75</v>
      </c>
      <c r="Q10" s="123">
        <v>37.1</v>
      </c>
      <c r="R10" s="132">
        <v>2000</v>
      </c>
      <c r="S10" s="123">
        <v>2.4129999999999998</v>
      </c>
    </row>
    <row r="11" spans="2:19" x14ac:dyDescent="0.25">
      <c r="B11" s="119">
        <v>5</v>
      </c>
      <c r="C11" s="128" t="s">
        <v>527</v>
      </c>
      <c r="D11" s="121" t="s">
        <v>813</v>
      </c>
      <c r="E11" s="121">
        <f t="shared" si="0"/>
        <v>0.75</v>
      </c>
      <c r="F11" s="121" t="s">
        <v>799</v>
      </c>
      <c r="G11" s="121">
        <f t="shared" si="1"/>
        <v>37.1</v>
      </c>
      <c r="H11" s="121">
        <f t="shared" si="2"/>
        <v>0.44156250000000002</v>
      </c>
      <c r="I11" s="121">
        <f>Table13[[#This Row],[Length]]*Table13[[#This Row],[Weight of  steel]]</f>
        <v>89.522300000000001</v>
      </c>
      <c r="J11" s="121">
        <f>VLOOKUP(Table13[[#This Row],[Pile No.]],$N$6:$S$11,6,FALSE)</f>
        <v>2.4129999999999998</v>
      </c>
      <c r="K11" s="122">
        <f>3.14*((Table13[[#This Row],[Diameter ]]/2)^2)*Table13[[#This Row],[Length]]</f>
        <v>16.381968750000002</v>
      </c>
      <c r="N11" s="123" t="s">
        <v>777</v>
      </c>
      <c r="O11" s="123">
        <v>600</v>
      </c>
      <c r="P11" s="123">
        <f t="shared" si="3"/>
        <v>0.6</v>
      </c>
      <c r="Q11" s="123">
        <v>11.1</v>
      </c>
      <c r="R11" s="132">
        <v>700</v>
      </c>
      <c r="S11" s="132"/>
    </row>
    <row r="12" spans="2:19" x14ac:dyDescent="0.25">
      <c r="B12" s="119">
        <v>6</v>
      </c>
      <c r="C12" s="129" t="s">
        <v>527</v>
      </c>
      <c r="D12" s="121" t="s">
        <v>813</v>
      </c>
      <c r="E12" s="121">
        <f t="shared" si="0"/>
        <v>0.75</v>
      </c>
      <c r="F12" s="121" t="s">
        <v>799</v>
      </c>
      <c r="G12" s="121">
        <f t="shared" si="1"/>
        <v>37.1</v>
      </c>
      <c r="H12" s="121">
        <f t="shared" si="2"/>
        <v>0.44156250000000002</v>
      </c>
      <c r="I12" s="121">
        <f>Table13[[#This Row],[Length]]*Table13[[#This Row],[Weight of  steel]]</f>
        <v>89.522300000000001</v>
      </c>
      <c r="J12" s="121">
        <f>VLOOKUP(Table13[[#This Row],[Pile No.]],$N$6:$S$11,6,FALSE)</f>
        <v>2.4129999999999998</v>
      </c>
      <c r="K12" s="122">
        <f>3.14*((Table13[[#This Row],[Diameter ]]/2)^2)*Table13[[#This Row],[Length]]</f>
        <v>16.381968750000002</v>
      </c>
    </row>
    <row r="13" spans="2:19" x14ac:dyDescent="0.25">
      <c r="B13" s="119">
        <v>7</v>
      </c>
      <c r="C13" s="130" t="s">
        <v>527</v>
      </c>
      <c r="D13" s="121" t="s">
        <v>813</v>
      </c>
      <c r="E13" s="121">
        <f t="shared" si="0"/>
        <v>0.75</v>
      </c>
      <c r="F13" s="121" t="s">
        <v>799</v>
      </c>
      <c r="G13" s="121">
        <f t="shared" si="1"/>
        <v>37.1</v>
      </c>
      <c r="H13" s="121">
        <f t="shared" si="2"/>
        <v>0.44156250000000002</v>
      </c>
      <c r="I13" s="121">
        <f>Table13[[#This Row],[Length]]*Table13[[#This Row],[Weight of  steel]]</f>
        <v>89.522300000000001</v>
      </c>
      <c r="J13" s="121">
        <f>VLOOKUP(Table13[[#This Row],[Pile No.]],$N$6:$S$11,6,FALSE)</f>
        <v>2.4129999999999998</v>
      </c>
      <c r="K13" s="122">
        <f>3.14*((Table13[[#This Row],[Diameter ]]/2)^2)*Table13[[#This Row],[Length]]</f>
        <v>16.381968750000002</v>
      </c>
    </row>
    <row r="14" spans="2:19" x14ac:dyDescent="0.25">
      <c r="B14" s="119">
        <v>8</v>
      </c>
      <c r="C14" s="153" t="s">
        <v>814</v>
      </c>
      <c r="D14" s="121" t="s">
        <v>813</v>
      </c>
      <c r="E14" s="121">
        <f t="shared" si="0"/>
        <v>0.75</v>
      </c>
      <c r="F14" s="121" t="s">
        <v>799</v>
      </c>
      <c r="G14" s="121">
        <f t="shared" si="1"/>
        <v>37.1</v>
      </c>
      <c r="H14" s="121">
        <f t="shared" si="2"/>
        <v>0.44156250000000002</v>
      </c>
      <c r="I14" s="121">
        <f>Table13[[#This Row],[Length]]*Table13[[#This Row],[Weight of  steel]]</f>
        <v>89.522300000000001</v>
      </c>
      <c r="J14" s="121">
        <f>VLOOKUP(Table13[[#This Row],[Pile No.]],$N$6:$S$11,6,FALSE)</f>
        <v>2.4129999999999998</v>
      </c>
      <c r="K14" s="122">
        <f>3.14*((Table13[[#This Row],[Diameter ]]/2)^2)*Table13[[#This Row],[Length]]</f>
        <v>16.381968750000002</v>
      </c>
    </row>
    <row r="15" spans="2:19" x14ac:dyDescent="0.25">
      <c r="B15" s="119"/>
      <c r="C15" s="154"/>
      <c r="D15" s="121"/>
      <c r="E15" s="121"/>
      <c r="F15" s="121"/>
      <c r="G15" s="121"/>
      <c r="H15" s="121"/>
      <c r="I15" s="121"/>
      <c r="J15" s="121"/>
      <c r="K15" s="122"/>
    </row>
    <row r="16" spans="2:19" x14ac:dyDescent="0.25">
      <c r="B16" s="119">
        <v>10</v>
      </c>
      <c r="C16" s="124" t="s">
        <v>799</v>
      </c>
      <c r="D16" s="121" t="s">
        <v>565</v>
      </c>
      <c r="E16" s="121">
        <f t="shared" si="0"/>
        <v>0.75</v>
      </c>
      <c r="F16" s="121" t="s">
        <v>799</v>
      </c>
      <c r="G16" s="121">
        <f t="shared" si="1"/>
        <v>37.1</v>
      </c>
      <c r="H16" s="121">
        <f t="shared" si="2"/>
        <v>0.44156250000000002</v>
      </c>
      <c r="I16" s="121">
        <f>Table13[[#This Row],[Length]]*Table13[[#This Row],[Weight of  steel]]</f>
        <v>89.522300000000001</v>
      </c>
      <c r="J16" s="121">
        <f>VLOOKUP(Table13[[#This Row],[Pile No.]],$N$6:$S$11,6,FALSE)</f>
        <v>2.4129999999999998</v>
      </c>
      <c r="K16" s="122">
        <f>3.14*((Table13[[#This Row],[Diameter ]]/2)^2)*Table13[[#This Row],[Length]]</f>
        <v>16.381968750000002</v>
      </c>
    </row>
    <row r="17" spans="2:11" x14ac:dyDescent="0.25">
      <c r="B17" s="119">
        <v>11</v>
      </c>
      <c r="C17" s="125" t="s">
        <v>799</v>
      </c>
      <c r="D17" s="121" t="s">
        <v>526</v>
      </c>
      <c r="E17" s="121">
        <f t="shared" si="0"/>
        <v>1</v>
      </c>
      <c r="F17" s="121" t="s">
        <v>799</v>
      </c>
      <c r="G17" s="121">
        <f t="shared" si="1"/>
        <v>44.1</v>
      </c>
      <c r="H17" s="121">
        <f t="shared" si="2"/>
        <v>0.78500000000000003</v>
      </c>
      <c r="I17" s="121">
        <f>Table13[[#This Row],[Length]]*Table13[[#This Row],[Weight of  steel]]</f>
        <v>155.232</v>
      </c>
      <c r="J17" s="121">
        <f>VLOOKUP(Table13[[#This Row],[Pile No.]],$N$6:$S$11,6,FALSE)</f>
        <v>3.52</v>
      </c>
      <c r="K17" s="122">
        <f>3.14*((Table13[[#This Row],[Diameter ]]/2)^2)*Table13[[#This Row],[Length]]</f>
        <v>34.618500000000004</v>
      </c>
    </row>
    <row r="18" spans="2:11" x14ac:dyDescent="0.25">
      <c r="B18" s="119">
        <v>12</v>
      </c>
      <c r="C18" s="126" t="s">
        <v>799</v>
      </c>
      <c r="D18" s="121" t="s">
        <v>526</v>
      </c>
      <c r="E18" s="121">
        <f t="shared" si="0"/>
        <v>1</v>
      </c>
      <c r="F18" s="121" t="s">
        <v>799</v>
      </c>
      <c r="G18" s="121">
        <f t="shared" si="1"/>
        <v>44.1</v>
      </c>
      <c r="H18" s="121">
        <f t="shared" si="2"/>
        <v>0.78500000000000003</v>
      </c>
      <c r="I18" s="121">
        <f>Table13[[#This Row],[Length]]*Table13[[#This Row],[Weight of  steel]]</f>
        <v>155.232</v>
      </c>
      <c r="J18" s="121">
        <f>VLOOKUP(Table13[[#This Row],[Pile No.]],$N$6:$S$11,6,FALSE)</f>
        <v>3.52</v>
      </c>
      <c r="K18" s="122">
        <f>3.14*((Table13[[#This Row],[Diameter ]]/2)^2)*Table13[[#This Row],[Length]]</f>
        <v>34.618500000000004</v>
      </c>
    </row>
    <row r="19" spans="2:11" x14ac:dyDescent="0.25">
      <c r="B19" s="119">
        <v>13</v>
      </c>
      <c r="C19" s="127" t="s">
        <v>799</v>
      </c>
      <c r="D19" s="121" t="s">
        <v>526</v>
      </c>
      <c r="E19" s="121">
        <f t="shared" si="0"/>
        <v>1</v>
      </c>
      <c r="F19" s="121" t="s">
        <v>799</v>
      </c>
      <c r="G19" s="121">
        <f t="shared" si="1"/>
        <v>44.1</v>
      </c>
      <c r="H19" s="121">
        <f t="shared" si="2"/>
        <v>0.78500000000000003</v>
      </c>
      <c r="I19" s="121">
        <f>Table13[[#This Row],[Length]]*Table13[[#This Row],[Weight of  steel]]</f>
        <v>155.232</v>
      </c>
      <c r="J19" s="121">
        <f>VLOOKUP(Table13[[#This Row],[Pile No.]],$N$6:$S$11,6,FALSE)</f>
        <v>3.52</v>
      </c>
      <c r="K19" s="122">
        <f>3.14*((Table13[[#This Row],[Diameter ]]/2)^2)*Table13[[#This Row],[Length]]</f>
        <v>34.618500000000004</v>
      </c>
    </row>
    <row r="20" spans="2:11" x14ac:dyDescent="0.25">
      <c r="B20" s="119">
        <v>14</v>
      </c>
      <c r="C20" s="128" t="s">
        <v>799</v>
      </c>
      <c r="D20" s="121" t="s">
        <v>812</v>
      </c>
      <c r="E20" s="121">
        <f t="shared" si="0"/>
        <v>1</v>
      </c>
      <c r="F20" s="121" t="s">
        <v>799</v>
      </c>
      <c r="G20" s="121">
        <f t="shared" si="1"/>
        <v>38.1</v>
      </c>
      <c r="H20" s="121">
        <f t="shared" si="2"/>
        <v>0.78500000000000003</v>
      </c>
      <c r="I20" s="121">
        <f>Table13[[#This Row],[Length]]*Table13[[#This Row],[Weight of  steel]]</f>
        <v>89.153999999999996</v>
      </c>
      <c r="J20" s="121">
        <f>VLOOKUP(Table13[[#This Row],[Pile No.]],$N$6:$S$11,6,FALSE)</f>
        <v>2.34</v>
      </c>
      <c r="K20" s="122">
        <f>3.14*((Table13[[#This Row],[Diameter ]]/2)^2)*Table13[[#This Row],[Length]]</f>
        <v>29.908500000000004</v>
      </c>
    </row>
    <row r="21" spans="2:11" x14ac:dyDescent="0.25">
      <c r="B21" s="119">
        <v>15</v>
      </c>
      <c r="C21" s="129" t="s">
        <v>799</v>
      </c>
      <c r="D21" s="121" t="s">
        <v>565</v>
      </c>
      <c r="E21" s="121">
        <f t="shared" si="0"/>
        <v>0.75</v>
      </c>
      <c r="F21" s="121" t="s">
        <v>799</v>
      </c>
      <c r="G21" s="121">
        <f t="shared" si="1"/>
        <v>37.1</v>
      </c>
      <c r="H21" s="121">
        <f t="shared" si="2"/>
        <v>0.44156250000000002</v>
      </c>
      <c r="I21" s="121">
        <f>Table13[[#This Row],[Length]]*Table13[[#This Row],[Weight of  steel]]</f>
        <v>89.522300000000001</v>
      </c>
      <c r="J21" s="121">
        <f>VLOOKUP(Table13[[#This Row],[Pile No.]],$N$6:$S$11,6,FALSE)</f>
        <v>2.4129999999999998</v>
      </c>
      <c r="K21" s="122">
        <f>3.14*((Table13[[#This Row],[Diameter ]]/2)^2)*Table13[[#This Row],[Length]]</f>
        <v>16.381968750000002</v>
      </c>
    </row>
    <row r="22" spans="2:11" x14ac:dyDescent="0.25">
      <c r="B22" s="119">
        <v>16</v>
      </c>
      <c r="C22" s="130" t="s">
        <v>799</v>
      </c>
      <c r="D22" s="121" t="s">
        <v>565</v>
      </c>
      <c r="E22" s="121">
        <f t="shared" si="0"/>
        <v>0.75</v>
      </c>
      <c r="F22" s="121" t="s">
        <v>799</v>
      </c>
      <c r="G22" s="121">
        <f t="shared" si="1"/>
        <v>37.1</v>
      </c>
      <c r="H22" s="121">
        <f t="shared" si="2"/>
        <v>0.44156250000000002</v>
      </c>
      <c r="I22" s="121">
        <f>Table13[[#This Row],[Length]]*Table13[[#This Row],[Weight of  steel]]</f>
        <v>89.522300000000001</v>
      </c>
      <c r="J22" s="121">
        <f>VLOOKUP(Table13[[#This Row],[Pile No.]],$N$6:$S$11,6,FALSE)</f>
        <v>2.4129999999999998</v>
      </c>
      <c r="K22" s="122">
        <f>3.14*((Table13[[#This Row],[Diameter ]]/2)^2)*Table13[[#This Row],[Length]]</f>
        <v>16.381968750000002</v>
      </c>
    </row>
    <row r="23" spans="2:11" x14ac:dyDescent="0.25">
      <c r="B23" s="119">
        <v>17</v>
      </c>
      <c r="C23" s="153" t="s">
        <v>815</v>
      </c>
      <c r="D23" s="121" t="s">
        <v>813</v>
      </c>
      <c r="E23" s="121"/>
      <c r="F23" s="121"/>
      <c r="G23" s="121"/>
      <c r="H23" s="121"/>
      <c r="I23" s="121"/>
      <c r="J23" s="121">
        <f>VLOOKUP(Table13[[#This Row],[Pile No.]],$N$6:$S$11,6,FALSE)</f>
        <v>2.4129999999999998</v>
      </c>
      <c r="K23" s="122"/>
    </row>
    <row r="24" spans="2:11" x14ac:dyDescent="0.25">
      <c r="B24" s="119"/>
      <c r="C24" s="120"/>
      <c r="D24" s="121"/>
      <c r="E24" s="121"/>
      <c r="F24" s="121"/>
      <c r="G24" s="121"/>
      <c r="H24" s="121"/>
      <c r="I24" s="121"/>
      <c r="J24" s="121"/>
      <c r="K24" s="122"/>
    </row>
    <row r="25" spans="2:11" x14ac:dyDescent="0.25">
      <c r="B25" s="119">
        <v>19</v>
      </c>
      <c r="C25" s="124" t="s">
        <v>805</v>
      </c>
      <c r="D25" s="121" t="s">
        <v>565</v>
      </c>
      <c r="E25" s="121">
        <f t="shared" si="0"/>
        <v>0.75</v>
      </c>
      <c r="F25" s="121" t="s">
        <v>799</v>
      </c>
      <c r="G25" s="121">
        <f t="shared" si="1"/>
        <v>37.1</v>
      </c>
      <c r="H25" s="121">
        <f t="shared" si="2"/>
        <v>0.44156250000000002</v>
      </c>
      <c r="I25" s="121">
        <f>Table13[[#This Row],[Length]]*Table13[[#This Row],[Weight of  steel]]</f>
        <v>89.522300000000001</v>
      </c>
      <c r="J25" s="121">
        <f>VLOOKUP(Table13[[#This Row],[Pile No.]],$N$6:$S$11,6,FALSE)</f>
        <v>2.4129999999999998</v>
      </c>
      <c r="K25" s="122">
        <f>3.14*((Table13[[#This Row],[Diameter ]]/2)^2)*Table13[[#This Row],[Length]]</f>
        <v>16.381968750000002</v>
      </c>
    </row>
    <row r="26" spans="2:11" x14ac:dyDescent="0.25">
      <c r="B26" s="119">
        <v>20</v>
      </c>
      <c r="C26" s="125" t="s">
        <v>805</v>
      </c>
      <c r="D26" s="121" t="s">
        <v>526</v>
      </c>
      <c r="E26" s="121">
        <f t="shared" si="0"/>
        <v>1</v>
      </c>
      <c r="F26" s="121" t="s">
        <v>799</v>
      </c>
      <c r="G26" s="121">
        <f t="shared" si="1"/>
        <v>44.1</v>
      </c>
      <c r="H26" s="121">
        <f t="shared" si="2"/>
        <v>0.78500000000000003</v>
      </c>
      <c r="I26" s="121">
        <f>Table13[[#This Row],[Length]]*Table13[[#This Row],[Weight of  steel]]</f>
        <v>155.232</v>
      </c>
      <c r="J26" s="121">
        <f>VLOOKUP(Table13[[#This Row],[Pile No.]],$N$6:$S$11,6,FALSE)</f>
        <v>3.52</v>
      </c>
      <c r="K26" s="122">
        <f>3.14*((Table13[[#This Row],[Diameter ]]/2)^2)*Table13[[#This Row],[Length]]</f>
        <v>34.618500000000004</v>
      </c>
    </row>
    <row r="27" spans="2:11" x14ac:dyDescent="0.25">
      <c r="B27" s="119">
        <v>21</v>
      </c>
      <c r="C27" s="126" t="s">
        <v>805</v>
      </c>
      <c r="D27" s="121" t="s">
        <v>526</v>
      </c>
      <c r="E27" s="121">
        <f t="shared" si="0"/>
        <v>1</v>
      </c>
      <c r="F27" s="121" t="s">
        <v>799</v>
      </c>
      <c r="G27" s="121">
        <f t="shared" si="1"/>
        <v>44.1</v>
      </c>
      <c r="H27" s="121">
        <f t="shared" si="2"/>
        <v>0.78500000000000003</v>
      </c>
      <c r="I27" s="121">
        <f>Table13[[#This Row],[Length]]*Table13[[#This Row],[Weight of  steel]]</f>
        <v>155.232</v>
      </c>
      <c r="J27" s="121">
        <f>VLOOKUP(Table13[[#This Row],[Pile No.]],$N$6:$S$11,6,FALSE)</f>
        <v>3.52</v>
      </c>
      <c r="K27" s="122">
        <f>3.14*((Table13[[#This Row],[Diameter ]]/2)^2)*Table13[[#This Row],[Length]]</f>
        <v>34.618500000000004</v>
      </c>
    </row>
    <row r="28" spans="2:11" x14ac:dyDescent="0.25">
      <c r="B28" s="119">
        <v>22</v>
      </c>
      <c r="C28" s="127" t="s">
        <v>805</v>
      </c>
      <c r="D28" s="121" t="s">
        <v>526</v>
      </c>
      <c r="E28" s="121">
        <f t="shared" si="0"/>
        <v>1</v>
      </c>
      <c r="F28" s="121" t="s">
        <v>799</v>
      </c>
      <c r="G28" s="121">
        <f t="shared" si="1"/>
        <v>44.1</v>
      </c>
      <c r="H28" s="121">
        <f t="shared" si="2"/>
        <v>0.78500000000000003</v>
      </c>
      <c r="I28" s="121">
        <f>Table13[[#This Row],[Length]]*Table13[[#This Row],[Weight of  steel]]</f>
        <v>155.232</v>
      </c>
      <c r="J28" s="121">
        <f>VLOOKUP(Table13[[#This Row],[Pile No.]],$N$6:$S$11,6,FALSE)</f>
        <v>3.52</v>
      </c>
      <c r="K28" s="122">
        <f>3.14*((Table13[[#This Row],[Diameter ]]/2)^2)*Table13[[#This Row],[Length]]</f>
        <v>34.618500000000004</v>
      </c>
    </row>
    <row r="29" spans="2:11" x14ac:dyDescent="0.25">
      <c r="B29" s="119">
        <v>23</v>
      </c>
      <c r="C29" s="128" t="s">
        <v>805</v>
      </c>
      <c r="D29" s="121" t="s">
        <v>812</v>
      </c>
      <c r="E29" s="121">
        <f t="shared" si="0"/>
        <v>1</v>
      </c>
      <c r="F29" s="121" t="s">
        <v>799</v>
      </c>
      <c r="G29" s="121">
        <f t="shared" si="1"/>
        <v>38.1</v>
      </c>
      <c r="H29" s="121">
        <f t="shared" si="2"/>
        <v>0.78500000000000003</v>
      </c>
      <c r="I29" s="121">
        <f>Table13[[#This Row],[Length]]*Table13[[#This Row],[Weight of  steel]]</f>
        <v>89.153999999999996</v>
      </c>
      <c r="J29" s="121">
        <f>VLOOKUP(Table13[[#This Row],[Pile No.]],$N$6:$S$11,6,FALSE)</f>
        <v>2.34</v>
      </c>
      <c r="K29" s="122">
        <f>3.14*((Table13[[#This Row],[Diameter ]]/2)^2)*Table13[[#This Row],[Length]]</f>
        <v>29.908500000000004</v>
      </c>
    </row>
    <row r="30" spans="2:11" x14ac:dyDescent="0.25">
      <c r="B30" s="119">
        <v>24</v>
      </c>
      <c r="C30" s="129" t="s">
        <v>805</v>
      </c>
      <c r="D30" s="121" t="s">
        <v>565</v>
      </c>
      <c r="E30" s="121">
        <f t="shared" si="0"/>
        <v>0.75</v>
      </c>
      <c r="F30" s="121" t="s">
        <v>799</v>
      </c>
      <c r="G30" s="121">
        <f t="shared" si="1"/>
        <v>37.1</v>
      </c>
      <c r="H30" s="121">
        <f t="shared" si="2"/>
        <v>0.44156250000000002</v>
      </c>
      <c r="I30" s="121">
        <f>Table13[[#This Row],[Length]]*Table13[[#This Row],[Weight of  steel]]</f>
        <v>89.522300000000001</v>
      </c>
      <c r="J30" s="121">
        <f>VLOOKUP(Table13[[#This Row],[Pile No.]],$N$6:$S$11,6,FALSE)</f>
        <v>2.4129999999999998</v>
      </c>
      <c r="K30" s="122">
        <f>3.14*((Table13[[#This Row],[Diameter ]]/2)^2)*Table13[[#This Row],[Length]]</f>
        <v>16.381968750000002</v>
      </c>
    </row>
    <row r="31" spans="2:11" x14ac:dyDescent="0.25">
      <c r="B31" s="119">
        <v>25</v>
      </c>
      <c r="C31" s="130" t="s">
        <v>805</v>
      </c>
      <c r="D31" s="121" t="s">
        <v>565</v>
      </c>
      <c r="E31" s="121">
        <f t="shared" si="0"/>
        <v>0.75</v>
      </c>
      <c r="F31" s="121" t="s">
        <v>799</v>
      </c>
      <c r="G31" s="121">
        <f t="shared" si="1"/>
        <v>37.1</v>
      </c>
      <c r="H31" s="121">
        <f t="shared" si="2"/>
        <v>0.44156250000000002</v>
      </c>
      <c r="I31" s="121">
        <f>Table13[[#This Row],[Length]]*Table13[[#This Row],[Weight of  steel]]</f>
        <v>89.522300000000001</v>
      </c>
      <c r="J31" s="121">
        <f>VLOOKUP(Table13[[#This Row],[Pile No.]],$N$6:$S$11,6,FALSE)</f>
        <v>2.4129999999999998</v>
      </c>
      <c r="K31" s="122">
        <f>3.14*((Table13[[#This Row],[Diameter ]]/2)^2)*Table13[[#This Row],[Length]]</f>
        <v>16.381968750000002</v>
      </c>
    </row>
    <row r="32" spans="2:11" x14ac:dyDescent="0.25">
      <c r="B32" s="119">
        <v>26</v>
      </c>
      <c r="C32" s="153" t="s">
        <v>816</v>
      </c>
      <c r="D32" s="121" t="s">
        <v>813</v>
      </c>
      <c r="E32" s="121"/>
      <c r="F32" s="121"/>
      <c r="G32" s="121"/>
      <c r="H32" s="121"/>
      <c r="I32" s="121">
        <f>Table13[[#This Row],[Length]]*Table13[[#This Row],[Weight of  steel]]</f>
        <v>0</v>
      </c>
      <c r="J32" s="121">
        <f>VLOOKUP(Table13[[#This Row],[Pile No.]],$N$6:$S$11,6,FALSE)</f>
        <v>2.4129999999999998</v>
      </c>
      <c r="K32" s="122"/>
    </row>
    <row r="33" spans="2:16" x14ac:dyDescent="0.25">
      <c r="B33" s="119"/>
      <c r="C33" s="153"/>
      <c r="D33" s="121"/>
      <c r="E33" s="121"/>
      <c r="F33" s="121"/>
      <c r="G33" s="121"/>
      <c r="H33" s="121"/>
      <c r="I33" s="121"/>
      <c r="J33" s="121"/>
      <c r="K33" s="122"/>
    </row>
    <row r="34" spans="2:16" x14ac:dyDescent="0.25">
      <c r="B34" s="119">
        <v>28</v>
      </c>
      <c r="C34" s="124" t="s">
        <v>806</v>
      </c>
      <c r="D34" s="121" t="s">
        <v>565</v>
      </c>
      <c r="E34" s="121">
        <f t="shared" si="0"/>
        <v>0.75</v>
      </c>
      <c r="F34" s="121" t="s">
        <v>799</v>
      </c>
      <c r="G34" s="121">
        <f t="shared" si="1"/>
        <v>37.1</v>
      </c>
      <c r="H34" s="121">
        <f t="shared" si="2"/>
        <v>0.44156250000000002</v>
      </c>
      <c r="I34" s="121">
        <f>Table13[[#This Row],[Length]]*Table13[[#This Row],[Weight of  steel]]</f>
        <v>89.522300000000001</v>
      </c>
      <c r="J34" s="121">
        <f>VLOOKUP(Table13[[#This Row],[Pile No.]],$N$6:$S$11,6,FALSE)</f>
        <v>2.4129999999999998</v>
      </c>
      <c r="K34" s="122">
        <f>3.14*((Table13[[#This Row],[Diameter ]]/2)^2)*Table13[[#This Row],[Length]]</f>
        <v>16.381968750000002</v>
      </c>
    </row>
    <row r="35" spans="2:16" x14ac:dyDescent="0.25">
      <c r="B35" s="119">
        <v>29</v>
      </c>
      <c r="C35" s="125" t="s">
        <v>806</v>
      </c>
      <c r="D35" s="121" t="s">
        <v>526</v>
      </c>
      <c r="E35" s="121">
        <f t="shared" si="0"/>
        <v>1</v>
      </c>
      <c r="F35" s="121" t="s">
        <v>799</v>
      </c>
      <c r="G35" s="121">
        <f t="shared" si="1"/>
        <v>44.1</v>
      </c>
      <c r="H35" s="121">
        <f t="shared" si="2"/>
        <v>0.78500000000000003</v>
      </c>
      <c r="I35" s="121">
        <f>Table13[[#This Row],[Length]]*Table13[[#This Row],[Weight of  steel]]</f>
        <v>155.232</v>
      </c>
      <c r="J35" s="121">
        <f>VLOOKUP(Table13[[#This Row],[Pile No.]],$N$6:$S$11,6,FALSE)</f>
        <v>3.52</v>
      </c>
      <c r="K35" s="122">
        <f>3.14*((Table13[[#This Row],[Diameter ]]/2)^2)*Table13[[#This Row],[Length]]</f>
        <v>34.618500000000004</v>
      </c>
    </row>
    <row r="36" spans="2:16" x14ac:dyDescent="0.25">
      <c r="B36" s="119">
        <v>30</v>
      </c>
      <c r="C36" s="126" t="s">
        <v>806</v>
      </c>
      <c r="D36" s="121" t="s">
        <v>526</v>
      </c>
      <c r="E36" s="121">
        <f t="shared" si="0"/>
        <v>1</v>
      </c>
      <c r="F36" s="121" t="s">
        <v>799</v>
      </c>
      <c r="G36" s="121">
        <f t="shared" si="1"/>
        <v>44.1</v>
      </c>
      <c r="H36" s="121">
        <f t="shared" si="2"/>
        <v>0.78500000000000003</v>
      </c>
      <c r="I36" s="121">
        <f>Table13[[#This Row],[Length]]*Table13[[#This Row],[Weight of  steel]]</f>
        <v>155.232</v>
      </c>
      <c r="J36" s="121">
        <f>VLOOKUP(Table13[[#This Row],[Pile No.]],$N$6:$S$11,6,FALSE)</f>
        <v>3.52</v>
      </c>
      <c r="K36" s="122">
        <f>3.14*((Table13[[#This Row],[Diameter ]]/2)^2)*Table13[[#This Row],[Length]]</f>
        <v>34.618500000000004</v>
      </c>
    </row>
    <row r="37" spans="2:16" x14ac:dyDescent="0.25">
      <c r="B37" s="119">
        <v>31</v>
      </c>
      <c r="C37" s="127" t="s">
        <v>806</v>
      </c>
      <c r="D37" s="121" t="s">
        <v>526</v>
      </c>
      <c r="E37" s="121">
        <f t="shared" si="0"/>
        <v>1</v>
      </c>
      <c r="F37" s="121" t="s">
        <v>799</v>
      </c>
      <c r="G37" s="121">
        <f t="shared" si="1"/>
        <v>44.1</v>
      </c>
      <c r="H37" s="121">
        <f t="shared" si="2"/>
        <v>0.78500000000000003</v>
      </c>
      <c r="I37" s="121">
        <f>Table13[[#This Row],[Length]]*Table13[[#This Row],[Weight of  steel]]</f>
        <v>155.232</v>
      </c>
      <c r="J37" s="121">
        <f>VLOOKUP(Table13[[#This Row],[Pile No.]],$N$6:$S$11,6,FALSE)</f>
        <v>3.52</v>
      </c>
      <c r="K37" s="122">
        <f>3.14*((Table13[[#This Row],[Diameter ]]/2)^2)*Table13[[#This Row],[Length]]</f>
        <v>34.618500000000004</v>
      </c>
    </row>
    <row r="38" spans="2:16" x14ac:dyDescent="0.25">
      <c r="B38" s="119">
        <v>32</v>
      </c>
      <c r="C38" s="128" t="s">
        <v>806</v>
      </c>
      <c r="D38" s="121" t="s">
        <v>812</v>
      </c>
      <c r="E38" s="121">
        <f t="shared" si="0"/>
        <v>1</v>
      </c>
      <c r="F38" s="121" t="s">
        <v>799</v>
      </c>
      <c r="G38" s="121">
        <f t="shared" si="1"/>
        <v>38.1</v>
      </c>
      <c r="H38" s="121">
        <f t="shared" si="2"/>
        <v>0.78500000000000003</v>
      </c>
      <c r="I38" s="121">
        <f>Table13[[#This Row],[Length]]*Table13[[#This Row],[Weight of  steel]]</f>
        <v>89.153999999999996</v>
      </c>
      <c r="J38" s="121">
        <f>VLOOKUP(Table13[[#This Row],[Pile No.]],$N$6:$S$11,6,FALSE)</f>
        <v>2.34</v>
      </c>
      <c r="K38" s="122">
        <f>3.14*((Table13[[#This Row],[Diameter ]]/2)^2)*Table13[[#This Row],[Length]]</f>
        <v>29.908500000000004</v>
      </c>
    </row>
    <row r="39" spans="2:16" x14ac:dyDescent="0.25">
      <c r="B39" s="119">
        <v>33</v>
      </c>
      <c r="C39" s="129" t="s">
        <v>806</v>
      </c>
      <c r="D39" s="121" t="s">
        <v>565</v>
      </c>
      <c r="E39" s="121">
        <f t="shared" si="0"/>
        <v>0.75</v>
      </c>
      <c r="F39" s="121" t="s">
        <v>799</v>
      </c>
      <c r="G39" s="121">
        <f t="shared" si="1"/>
        <v>37.1</v>
      </c>
      <c r="H39" s="121">
        <f t="shared" si="2"/>
        <v>0.44156250000000002</v>
      </c>
      <c r="I39" s="121">
        <f>Table13[[#This Row],[Length]]*Table13[[#This Row],[Weight of  steel]]</f>
        <v>89.522300000000001</v>
      </c>
      <c r="J39" s="121">
        <f>VLOOKUP(Table13[[#This Row],[Pile No.]],$N$6:$S$11,6,FALSE)</f>
        <v>2.4129999999999998</v>
      </c>
      <c r="K39" s="122">
        <f>3.14*((Table13[[#This Row],[Diameter ]]/2)^2)*Table13[[#This Row],[Length]]</f>
        <v>16.381968750000002</v>
      </c>
    </row>
    <row r="40" spans="2:16" x14ac:dyDescent="0.25">
      <c r="B40" s="119">
        <v>34</v>
      </c>
      <c r="C40" s="130" t="s">
        <v>806</v>
      </c>
      <c r="D40" s="121" t="s">
        <v>565</v>
      </c>
      <c r="E40" s="121">
        <f t="shared" si="0"/>
        <v>0.75</v>
      </c>
      <c r="F40" s="121" t="s">
        <v>799</v>
      </c>
      <c r="G40" s="121">
        <f t="shared" si="1"/>
        <v>37.1</v>
      </c>
      <c r="H40" s="121">
        <f t="shared" si="2"/>
        <v>0.44156250000000002</v>
      </c>
      <c r="I40" s="121">
        <f>Table13[[#This Row],[Length]]*Table13[[#This Row],[Weight of  steel]]</f>
        <v>89.522300000000001</v>
      </c>
      <c r="J40" s="121">
        <f>VLOOKUP(Table13[[#This Row],[Pile No.]],$N$6:$S$11,6,FALSE)</f>
        <v>2.4129999999999998</v>
      </c>
      <c r="K40" s="122">
        <f>3.14*((Table13[[#This Row],[Diameter ]]/2)^2)*Table13[[#This Row],[Length]]</f>
        <v>16.381968750000002</v>
      </c>
      <c r="P40" s="113" t="s">
        <v>527</v>
      </c>
    </row>
    <row r="41" spans="2:16" x14ac:dyDescent="0.25">
      <c r="B41" s="119">
        <v>35</v>
      </c>
      <c r="C41" s="153" t="s">
        <v>817</v>
      </c>
      <c r="D41" s="121" t="s">
        <v>813</v>
      </c>
      <c r="E41" s="121"/>
      <c r="F41" s="121"/>
      <c r="G41" s="121"/>
      <c r="H41" s="121"/>
      <c r="I41" s="121">
        <f>Table13[[#This Row],[Length]]*Table13[[#This Row],[Weight of  steel]]</f>
        <v>0</v>
      </c>
      <c r="J41" s="121">
        <f>VLOOKUP(Table13[[#This Row],[Pile No.]],$N$6:$S$11,6,FALSE)</f>
        <v>2.4129999999999998</v>
      </c>
      <c r="K41" s="122"/>
      <c r="P41" s="113" t="s">
        <v>799</v>
      </c>
    </row>
    <row r="42" spans="2:16" x14ac:dyDescent="0.25">
      <c r="B42" s="119"/>
      <c r="C42" s="153"/>
      <c r="D42" s="121"/>
      <c r="E42" s="121"/>
      <c r="F42" s="121"/>
      <c r="G42" s="121"/>
      <c r="H42" s="121"/>
      <c r="I42" s="121"/>
      <c r="J42" s="121"/>
      <c r="K42" s="122"/>
    </row>
    <row r="43" spans="2:16" x14ac:dyDescent="0.25">
      <c r="B43" s="119">
        <v>37</v>
      </c>
      <c r="C43" s="124" t="s">
        <v>807</v>
      </c>
      <c r="D43" s="121" t="s">
        <v>565</v>
      </c>
      <c r="E43" s="121">
        <f t="shared" si="0"/>
        <v>0.75</v>
      </c>
      <c r="F43" s="121" t="s">
        <v>799</v>
      </c>
      <c r="G43" s="121">
        <f t="shared" si="1"/>
        <v>37.1</v>
      </c>
      <c r="H43" s="121">
        <f t="shared" si="2"/>
        <v>0.44156250000000002</v>
      </c>
      <c r="I43" s="121">
        <f>Table13[[#This Row],[Length]]*Table13[[#This Row],[Weight of  steel]]</f>
        <v>89.522300000000001</v>
      </c>
      <c r="J43" s="121">
        <f>VLOOKUP(Table13[[#This Row],[Pile No.]],$N$6:$S$11,6,FALSE)</f>
        <v>2.4129999999999998</v>
      </c>
      <c r="K43" s="122">
        <f>3.14*((Table13[[#This Row],[Diameter ]]/2)^2)*Table13[[#This Row],[Length]]</f>
        <v>16.381968750000002</v>
      </c>
      <c r="P43" s="113" t="s">
        <v>806</v>
      </c>
    </row>
    <row r="44" spans="2:16" x14ac:dyDescent="0.25">
      <c r="B44" s="119">
        <v>38</v>
      </c>
      <c r="C44" s="125" t="s">
        <v>807</v>
      </c>
      <c r="D44" s="121" t="s">
        <v>526</v>
      </c>
      <c r="E44" s="121">
        <f t="shared" si="0"/>
        <v>1</v>
      </c>
      <c r="F44" s="121" t="s">
        <v>799</v>
      </c>
      <c r="G44" s="121">
        <f t="shared" si="1"/>
        <v>44.1</v>
      </c>
      <c r="H44" s="121">
        <f t="shared" si="2"/>
        <v>0.78500000000000003</v>
      </c>
      <c r="I44" s="121">
        <f>Table13[[#This Row],[Length]]*Table13[[#This Row],[Weight of  steel]]</f>
        <v>155.232</v>
      </c>
      <c r="J44" s="121">
        <f>VLOOKUP(Table13[[#This Row],[Pile No.]],$N$6:$S$11,6,FALSE)</f>
        <v>3.52</v>
      </c>
      <c r="K44" s="122">
        <f>3.14*((Table13[[#This Row],[Diameter ]]/2)^2)*Table13[[#This Row],[Length]]</f>
        <v>34.618500000000004</v>
      </c>
      <c r="P44" s="113" t="s">
        <v>807</v>
      </c>
    </row>
    <row r="45" spans="2:16" x14ac:dyDescent="0.25">
      <c r="B45" s="119">
        <v>39</v>
      </c>
      <c r="C45" s="126" t="s">
        <v>807</v>
      </c>
      <c r="D45" s="121" t="s">
        <v>526</v>
      </c>
      <c r="E45" s="121">
        <f t="shared" si="0"/>
        <v>1</v>
      </c>
      <c r="F45" s="121" t="s">
        <v>799</v>
      </c>
      <c r="G45" s="121">
        <f t="shared" si="1"/>
        <v>44.1</v>
      </c>
      <c r="H45" s="121">
        <f t="shared" si="2"/>
        <v>0.78500000000000003</v>
      </c>
      <c r="I45" s="121">
        <f>Table13[[#This Row],[Length]]*Table13[[#This Row],[Weight of  steel]]</f>
        <v>155.232</v>
      </c>
      <c r="J45" s="121">
        <f>VLOOKUP(Table13[[#This Row],[Pile No.]],$N$6:$S$11,6,FALSE)</f>
        <v>3.52</v>
      </c>
      <c r="K45" s="122">
        <f>3.14*((Table13[[#This Row],[Diameter ]]/2)^2)*Table13[[#This Row],[Length]]</f>
        <v>34.618500000000004</v>
      </c>
      <c r="P45" s="113" t="s">
        <v>808</v>
      </c>
    </row>
    <row r="46" spans="2:16" x14ac:dyDescent="0.25">
      <c r="B46" s="119">
        <v>40</v>
      </c>
      <c r="C46" s="127" t="s">
        <v>807</v>
      </c>
      <c r="D46" s="121" t="s">
        <v>526</v>
      </c>
      <c r="E46" s="121">
        <f t="shared" si="0"/>
        <v>1</v>
      </c>
      <c r="F46" s="121" t="s">
        <v>799</v>
      </c>
      <c r="G46" s="121">
        <f t="shared" si="1"/>
        <v>44.1</v>
      </c>
      <c r="H46" s="121">
        <f t="shared" si="2"/>
        <v>0.78500000000000003</v>
      </c>
      <c r="I46" s="121">
        <f>Table13[[#This Row],[Length]]*Table13[[#This Row],[Weight of  steel]]</f>
        <v>155.232</v>
      </c>
      <c r="J46" s="121">
        <f>VLOOKUP(Table13[[#This Row],[Pile No.]],$N$6:$S$11,6,FALSE)</f>
        <v>3.52</v>
      </c>
      <c r="K46" s="122">
        <f>3.14*((Table13[[#This Row],[Diameter ]]/2)^2)*Table13[[#This Row],[Length]]</f>
        <v>34.618500000000004</v>
      </c>
    </row>
    <row r="47" spans="2:16" x14ac:dyDescent="0.25">
      <c r="B47" s="119">
        <v>41</v>
      </c>
      <c r="C47" s="128" t="s">
        <v>807</v>
      </c>
      <c r="D47" s="121" t="s">
        <v>812</v>
      </c>
      <c r="E47" s="121">
        <f t="shared" si="0"/>
        <v>1</v>
      </c>
      <c r="F47" s="121" t="s">
        <v>799</v>
      </c>
      <c r="G47" s="121">
        <f t="shared" si="1"/>
        <v>38.1</v>
      </c>
      <c r="H47" s="121">
        <f t="shared" si="2"/>
        <v>0.78500000000000003</v>
      </c>
      <c r="I47" s="121">
        <f>Table13[[#This Row],[Length]]*Table13[[#This Row],[Weight of  steel]]</f>
        <v>89.153999999999996</v>
      </c>
      <c r="J47" s="121">
        <f>VLOOKUP(Table13[[#This Row],[Pile No.]],$N$6:$S$11,6,FALSE)</f>
        <v>2.34</v>
      </c>
      <c r="K47" s="122">
        <f>3.14*((Table13[[#This Row],[Diameter ]]/2)^2)*Table13[[#This Row],[Length]]</f>
        <v>29.908500000000004</v>
      </c>
    </row>
    <row r="48" spans="2:16" x14ac:dyDescent="0.25">
      <c r="B48" s="119">
        <v>42</v>
      </c>
      <c r="C48" s="129" t="s">
        <v>807</v>
      </c>
      <c r="D48" s="121" t="s">
        <v>565</v>
      </c>
      <c r="E48" s="121">
        <f t="shared" si="0"/>
        <v>0.75</v>
      </c>
      <c r="F48" s="121" t="s">
        <v>799</v>
      </c>
      <c r="G48" s="121">
        <f t="shared" si="1"/>
        <v>37.1</v>
      </c>
      <c r="H48" s="121">
        <f t="shared" si="2"/>
        <v>0.44156250000000002</v>
      </c>
      <c r="I48" s="121">
        <f>Table13[[#This Row],[Length]]*Table13[[#This Row],[Weight of  steel]]</f>
        <v>89.522300000000001</v>
      </c>
      <c r="J48" s="121">
        <f>VLOOKUP(Table13[[#This Row],[Pile No.]],$N$6:$S$11,6,FALSE)</f>
        <v>2.4129999999999998</v>
      </c>
      <c r="K48" s="122">
        <f>3.14*((Table13[[#This Row],[Diameter ]]/2)^2)*Table13[[#This Row],[Length]]</f>
        <v>16.381968750000002</v>
      </c>
    </row>
    <row r="49" spans="2:11" x14ac:dyDescent="0.25">
      <c r="B49" s="119">
        <v>43</v>
      </c>
      <c r="C49" s="130" t="s">
        <v>807</v>
      </c>
      <c r="D49" s="121" t="s">
        <v>565</v>
      </c>
      <c r="E49" s="121">
        <f t="shared" si="0"/>
        <v>0.75</v>
      </c>
      <c r="F49" s="121" t="s">
        <v>799</v>
      </c>
      <c r="G49" s="121">
        <f t="shared" si="1"/>
        <v>37.1</v>
      </c>
      <c r="H49" s="121">
        <f t="shared" si="2"/>
        <v>0.44156250000000002</v>
      </c>
      <c r="I49" s="121">
        <f>Table13[[#This Row],[Length]]*Table13[[#This Row],[Weight of  steel]]</f>
        <v>89.522300000000001</v>
      </c>
      <c r="J49" s="121">
        <f>VLOOKUP(Table13[[#This Row],[Pile No.]],$N$6:$S$11,6,FALSE)</f>
        <v>2.4129999999999998</v>
      </c>
      <c r="K49" s="122">
        <f>3.14*((Table13[[#This Row],[Diameter ]]/2)^2)*Table13[[#This Row],[Length]]</f>
        <v>16.381968750000002</v>
      </c>
    </row>
    <row r="50" spans="2:11" x14ac:dyDescent="0.25">
      <c r="B50" s="119">
        <v>44</v>
      </c>
      <c r="C50" s="153" t="s">
        <v>818</v>
      </c>
      <c r="D50" s="121" t="s">
        <v>813</v>
      </c>
      <c r="E50" s="121"/>
      <c r="F50" s="121"/>
      <c r="G50" s="121"/>
      <c r="H50" s="121"/>
      <c r="I50" s="121">
        <f>Table13[[#This Row],[Length]]*Table13[[#This Row],[Weight of  steel]]</f>
        <v>0</v>
      </c>
      <c r="J50" s="121">
        <f>VLOOKUP(Table13[[#This Row],[Pile No.]],$N$6:$S$11,6,FALSE)</f>
        <v>2.4129999999999998</v>
      </c>
      <c r="K50" s="122"/>
    </row>
    <row r="51" spans="2:11" x14ac:dyDescent="0.25">
      <c r="B51" s="119"/>
      <c r="C51" s="153"/>
      <c r="D51" s="132"/>
      <c r="E51" s="121"/>
      <c r="F51" s="121"/>
      <c r="G51" s="121"/>
      <c r="H51" s="121"/>
      <c r="I51" s="121"/>
      <c r="J51" s="121"/>
      <c r="K51" s="122"/>
    </row>
    <row r="52" spans="2:11" x14ac:dyDescent="0.25">
      <c r="B52" s="119">
        <v>46</v>
      </c>
      <c r="C52" s="124" t="s">
        <v>808</v>
      </c>
      <c r="D52" s="121" t="s">
        <v>565</v>
      </c>
      <c r="E52" s="121">
        <f t="shared" ref="E52:E71" si="4">VLOOKUP(D52,$N$6:$P$11,3,FALSE)</f>
        <v>0.75</v>
      </c>
      <c r="F52" s="121" t="s">
        <v>799</v>
      </c>
      <c r="G52" s="121">
        <f t="shared" ref="G52:G71" si="5">VLOOKUP(D52,$N$6:$Q$11,4,FALSE)</f>
        <v>37.1</v>
      </c>
      <c r="H52" s="121">
        <f t="shared" si="2"/>
        <v>0.44156250000000002</v>
      </c>
      <c r="I52" s="121">
        <f>Table13[[#This Row],[Length]]*Table13[[#This Row],[Weight of  steel]]</f>
        <v>89.522300000000001</v>
      </c>
      <c r="J52" s="121">
        <f>VLOOKUP(Table13[[#This Row],[Pile No.]],$N$6:$S$11,6,FALSE)</f>
        <v>2.4129999999999998</v>
      </c>
      <c r="K52" s="122">
        <f>3.14*((Table13[[#This Row],[Diameter ]]/2)^2)*Table13[[#This Row],[Length]]</f>
        <v>16.381968750000002</v>
      </c>
    </row>
    <row r="53" spans="2:11" x14ac:dyDescent="0.25">
      <c r="B53" s="119">
        <v>47</v>
      </c>
      <c r="C53" s="125" t="s">
        <v>808</v>
      </c>
      <c r="D53" s="121" t="s">
        <v>526</v>
      </c>
      <c r="E53" s="121">
        <f t="shared" si="4"/>
        <v>1</v>
      </c>
      <c r="F53" s="121" t="s">
        <v>799</v>
      </c>
      <c r="G53" s="121">
        <f t="shared" si="5"/>
        <v>44.1</v>
      </c>
      <c r="H53" s="121">
        <f t="shared" si="2"/>
        <v>0.78500000000000003</v>
      </c>
      <c r="I53" s="121">
        <f>Table13[[#This Row],[Length]]*Table13[[#This Row],[Weight of  steel]]</f>
        <v>155.232</v>
      </c>
      <c r="J53" s="121">
        <f>VLOOKUP(Table13[[#This Row],[Pile No.]],$N$6:$S$11,6,FALSE)</f>
        <v>3.52</v>
      </c>
      <c r="K53" s="122">
        <f>3.14*((Table13[[#This Row],[Diameter ]]/2)^2)*Table13[[#This Row],[Length]]</f>
        <v>34.618500000000004</v>
      </c>
    </row>
    <row r="54" spans="2:11" x14ac:dyDescent="0.25">
      <c r="B54" s="119">
        <v>48</v>
      </c>
      <c r="C54" s="126" t="s">
        <v>808</v>
      </c>
      <c r="D54" s="121" t="s">
        <v>526</v>
      </c>
      <c r="E54" s="121">
        <f t="shared" si="4"/>
        <v>1</v>
      </c>
      <c r="F54" s="121" t="s">
        <v>799</v>
      </c>
      <c r="G54" s="121">
        <f t="shared" si="5"/>
        <v>44.1</v>
      </c>
      <c r="H54" s="121">
        <f t="shared" si="2"/>
        <v>0.78500000000000003</v>
      </c>
      <c r="I54" s="121">
        <f>Table13[[#This Row],[Length]]*Table13[[#This Row],[Weight of  steel]]</f>
        <v>155.232</v>
      </c>
      <c r="J54" s="121">
        <f>VLOOKUP(Table13[[#This Row],[Pile No.]],$N$6:$S$11,6,FALSE)</f>
        <v>3.52</v>
      </c>
      <c r="K54" s="122">
        <f>3.14*((Table13[[#This Row],[Diameter ]]/2)^2)*Table13[[#This Row],[Length]]</f>
        <v>34.618500000000004</v>
      </c>
    </row>
    <row r="55" spans="2:11" x14ac:dyDescent="0.25">
      <c r="B55" s="119">
        <v>49</v>
      </c>
      <c r="C55" s="127" t="s">
        <v>808</v>
      </c>
      <c r="D55" s="121" t="s">
        <v>526</v>
      </c>
      <c r="E55" s="121">
        <f t="shared" si="4"/>
        <v>1</v>
      </c>
      <c r="F55" s="121" t="s">
        <v>799</v>
      </c>
      <c r="G55" s="121">
        <f t="shared" si="5"/>
        <v>44.1</v>
      </c>
      <c r="H55" s="121">
        <f t="shared" si="2"/>
        <v>0.78500000000000003</v>
      </c>
      <c r="I55" s="121">
        <f>Table13[[#This Row],[Length]]*Table13[[#This Row],[Weight of  steel]]</f>
        <v>155.232</v>
      </c>
      <c r="J55" s="121">
        <f>VLOOKUP(Table13[[#This Row],[Pile No.]],$N$6:$S$11,6,FALSE)</f>
        <v>3.52</v>
      </c>
      <c r="K55" s="122">
        <f>3.14*((Table13[[#This Row],[Diameter ]]/2)^2)*Table13[[#This Row],[Length]]</f>
        <v>34.618500000000004</v>
      </c>
    </row>
    <row r="56" spans="2:11" x14ac:dyDescent="0.25">
      <c r="B56" s="119">
        <v>50</v>
      </c>
      <c r="C56" s="128" t="s">
        <v>808</v>
      </c>
      <c r="D56" s="121" t="s">
        <v>812</v>
      </c>
      <c r="E56" s="121">
        <f t="shared" si="4"/>
        <v>1</v>
      </c>
      <c r="F56" s="121" t="s">
        <v>799</v>
      </c>
      <c r="G56" s="121">
        <f t="shared" si="5"/>
        <v>38.1</v>
      </c>
      <c r="H56" s="121">
        <f t="shared" si="2"/>
        <v>0.78500000000000003</v>
      </c>
      <c r="I56" s="121">
        <f>Table13[[#This Row],[Length]]*Table13[[#This Row],[Weight of  steel]]</f>
        <v>89.153999999999996</v>
      </c>
      <c r="J56" s="121">
        <f>VLOOKUP(Table13[[#This Row],[Pile No.]],$N$6:$S$11,6,FALSE)</f>
        <v>2.34</v>
      </c>
      <c r="K56" s="122">
        <f>3.14*((Table13[[#This Row],[Diameter ]]/2)^2)*Table13[[#This Row],[Length]]</f>
        <v>29.908500000000004</v>
      </c>
    </row>
    <row r="57" spans="2:11" x14ac:dyDescent="0.25">
      <c r="B57" s="119">
        <v>51</v>
      </c>
      <c r="C57" s="129" t="s">
        <v>808</v>
      </c>
      <c r="D57" s="121" t="s">
        <v>565</v>
      </c>
      <c r="E57" s="121">
        <f t="shared" si="4"/>
        <v>0.75</v>
      </c>
      <c r="F57" s="121" t="s">
        <v>799</v>
      </c>
      <c r="G57" s="121">
        <f t="shared" si="5"/>
        <v>37.1</v>
      </c>
      <c r="H57" s="121">
        <f t="shared" si="2"/>
        <v>0.44156250000000002</v>
      </c>
      <c r="I57" s="121">
        <f>Table13[[#This Row],[Length]]*Table13[[#This Row],[Weight of  steel]]</f>
        <v>89.522300000000001</v>
      </c>
      <c r="J57" s="121">
        <f>VLOOKUP(Table13[[#This Row],[Pile No.]],$N$6:$S$11,6,FALSE)</f>
        <v>2.4129999999999998</v>
      </c>
      <c r="K57" s="122">
        <f>3.14*((Table13[[#This Row],[Diameter ]]/2)^2)*Table13[[#This Row],[Length]]</f>
        <v>16.381968750000002</v>
      </c>
    </row>
    <row r="58" spans="2:11" x14ac:dyDescent="0.25">
      <c r="B58" s="119">
        <v>52</v>
      </c>
      <c r="C58" s="130" t="s">
        <v>808</v>
      </c>
      <c r="D58" s="121" t="s">
        <v>565</v>
      </c>
      <c r="E58" s="121">
        <f t="shared" si="4"/>
        <v>0.75</v>
      </c>
      <c r="F58" s="121" t="s">
        <v>799</v>
      </c>
      <c r="G58" s="121">
        <f t="shared" si="5"/>
        <v>37.1</v>
      </c>
      <c r="H58" s="121">
        <f t="shared" si="2"/>
        <v>0.44156250000000002</v>
      </c>
      <c r="I58" s="121">
        <f>Table13[[#This Row],[Length]]*Table13[[#This Row],[Weight of  steel]]</f>
        <v>89.522300000000001</v>
      </c>
      <c r="J58" s="121">
        <f>VLOOKUP(Table13[[#This Row],[Pile No.]],$N$6:$S$11,6,FALSE)</f>
        <v>2.4129999999999998</v>
      </c>
      <c r="K58" s="122">
        <f>3.14*((Table13[[#This Row],[Diameter ]]/2)^2)*Table13[[#This Row],[Length]]</f>
        <v>16.381968750000002</v>
      </c>
    </row>
    <row r="59" spans="2:11" x14ac:dyDescent="0.25">
      <c r="B59" s="119">
        <v>53</v>
      </c>
      <c r="C59" s="153" t="s">
        <v>819</v>
      </c>
      <c r="D59" s="121" t="s">
        <v>813</v>
      </c>
      <c r="E59" s="121">
        <f t="shared" si="4"/>
        <v>0.75</v>
      </c>
      <c r="F59" s="121"/>
      <c r="G59" s="121">
        <f t="shared" si="5"/>
        <v>37.1</v>
      </c>
      <c r="H59" s="121">
        <f t="shared" si="2"/>
        <v>0.44156250000000002</v>
      </c>
      <c r="I59" s="121">
        <f>Table13[[#This Row],[Length]]*Table13[[#This Row],[Weight of  steel]]</f>
        <v>89.522300000000001</v>
      </c>
      <c r="J59" s="121">
        <f>VLOOKUP(Table13[[#This Row],[Pile No.]],$N$6:$S$11,6,FALSE)</f>
        <v>2.4129999999999998</v>
      </c>
      <c r="K59" s="122">
        <f>3.14*((Table13[[#This Row],[Diameter ]]/2)^2)*Table13[[#This Row],[Length]]</f>
        <v>16.381968750000002</v>
      </c>
    </row>
    <row r="60" spans="2:11" x14ac:dyDescent="0.25">
      <c r="B60" s="119">
        <v>54</v>
      </c>
      <c r="C60" s="134"/>
      <c r="D60" s="121"/>
      <c r="E60" s="121"/>
      <c r="F60" s="121"/>
      <c r="G60" s="121"/>
      <c r="H60" s="121"/>
      <c r="I60" s="121"/>
      <c r="J60" s="121"/>
      <c r="K60" s="122"/>
    </row>
    <row r="61" spans="2:11" x14ac:dyDescent="0.25">
      <c r="B61" s="119">
        <v>55</v>
      </c>
      <c r="C61" s="124" t="s">
        <v>820</v>
      </c>
      <c r="D61" s="121" t="s">
        <v>565</v>
      </c>
      <c r="E61" s="121">
        <f t="shared" si="4"/>
        <v>0.75</v>
      </c>
      <c r="F61" s="121"/>
      <c r="G61" s="121">
        <f t="shared" si="5"/>
        <v>37.1</v>
      </c>
      <c r="H61" s="121">
        <f t="shared" si="2"/>
        <v>0.44156250000000002</v>
      </c>
      <c r="I61" s="121">
        <f>Table13[[#This Row],[Length]]*Table13[[#This Row],[Weight of  steel]]</f>
        <v>89.522300000000001</v>
      </c>
      <c r="J61" s="121">
        <f>VLOOKUP(Table13[[#This Row],[Pile No.]],$N$6:$S$11,6,FALSE)</f>
        <v>2.4129999999999998</v>
      </c>
      <c r="K61" s="122">
        <f>3.14*((Table13[[#This Row],[Diameter ]]/2)^2)*Table13[[#This Row],[Length]]</f>
        <v>16.381968750000002</v>
      </c>
    </row>
    <row r="62" spans="2:11" x14ac:dyDescent="0.25">
      <c r="B62" s="119">
        <v>56</v>
      </c>
      <c r="C62" s="125" t="s">
        <v>820</v>
      </c>
      <c r="D62" s="121" t="s">
        <v>565</v>
      </c>
      <c r="E62" s="121">
        <f t="shared" si="4"/>
        <v>0.75</v>
      </c>
      <c r="F62" s="121"/>
      <c r="G62" s="121">
        <f t="shared" si="5"/>
        <v>37.1</v>
      </c>
      <c r="H62" s="121">
        <f t="shared" si="2"/>
        <v>0.44156250000000002</v>
      </c>
      <c r="I62" s="121">
        <f>Table13[[#This Row],[Length]]*Table13[[#This Row],[Weight of  steel]]</f>
        <v>89.522300000000001</v>
      </c>
      <c r="J62" s="121">
        <f>VLOOKUP(Table13[[#This Row],[Pile No.]],$N$6:$S$11,6,FALSE)</f>
        <v>2.4129999999999998</v>
      </c>
      <c r="K62" s="122">
        <f>3.14*((Table13[[#This Row],[Diameter ]]/2)^2)*Table13[[#This Row],[Length]]</f>
        <v>16.381968750000002</v>
      </c>
    </row>
    <row r="63" spans="2:11" x14ac:dyDescent="0.25">
      <c r="B63" s="119">
        <v>57</v>
      </c>
      <c r="C63" s="126" t="s">
        <v>820</v>
      </c>
      <c r="D63" s="121" t="s">
        <v>565</v>
      </c>
      <c r="E63" s="121">
        <f t="shared" si="4"/>
        <v>0.75</v>
      </c>
      <c r="F63" s="121"/>
      <c r="G63" s="121">
        <f t="shared" si="5"/>
        <v>37.1</v>
      </c>
      <c r="H63" s="121">
        <f t="shared" si="2"/>
        <v>0.44156250000000002</v>
      </c>
      <c r="I63" s="121">
        <f>Table13[[#This Row],[Length]]*Table13[[#This Row],[Weight of  steel]]</f>
        <v>89.522300000000001</v>
      </c>
      <c r="J63" s="121">
        <f>VLOOKUP(Table13[[#This Row],[Pile No.]],$N$6:$S$11,6,FALSE)</f>
        <v>2.4129999999999998</v>
      </c>
      <c r="K63" s="122">
        <f>3.14*((Table13[[#This Row],[Diameter ]]/2)^2)*Table13[[#This Row],[Length]]</f>
        <v>16.381968750000002</v>
      </c>
    </row>
    <row r="64" spans="2:11" x14ac:dyDescent="0.25">
      <c r="B64" s="119">
        <v>58</v>
      </c>
      <c r="C64" s="127" t="s">
        <v>820</v>
      </c>
      <c r="D64" s="121" t="s">
        <v>565</v>
      </c>
      <c r="E64" s="121">
        <f t="shared" si="4"/>
        <v>0.75</v>
      </c>
      <c r="F64" s="121"/>
      <c r="G64" s="121">
        <f t="shared" si="5"/>
        <v>37.1</v>
      </c>
      <c r="H64" s="121">
        <f t="shared" si="2"/>
        <v>0.44156250000000002</v>
      </c>
      <c r="I64" s="121">
        <f>Table13[[#This Row],[Length]]*Table13[[#This Row],[Weight of  steel]]</f>
        <v>89.522300000000001</v>
      </c>
      <c r="J64" s="121">
        <f>VLOOKUP(Table13[[#This Row],[Pile No.]],$N$6:$S$11,6,FALSE)</f>
        <v>2.4129999999999998</v>
      </c>
      <c r="K64" s="122">
        <f>3.14*((Table13[[#This Row],[Diameter ]]/2)^2)*Table13[[#This Row],[Length]]</f>
        <v>16.381968750000002</v>
      </c>
    </row>
    <row r="65" spans="2:17" x14ac:dyDescent="0.25">
      <c r="B65" s="119">
        <v>59</v>
      </c>
      <c r="C65" s="128" t="s">
        <v>820</v>
      </c>
      <c r="D65" s="121" t="s">
        <v>813</v>
      </c>
      <c r="E65" s="121">
        <f t="shared" si="4"/>
        <v>0.75</v>
      </c>
      <c r="F65" s="121"/>
      <c r="G65" s="121">
        <f t="shared" si="5"/>
        <v>37.1</v>
      </c>
      <c r="H65" s="121">
        <f t="shared" si="2"/>
        <v>0.44156250000000002</v>
      </c>
      <c r="I65" s="121">
        <f>Table13[[#This Row],[Length]]*Table13[[#This Row],[Weight of  steel]]</f>
        <v>89.522300000000001</v>
      </c>
      <c r="J65" s="121">
        <f>VLOOKUP(Table13[[#This Row],[Pile No.]],$N$6:$S$11,6,FALSE)</f>
        <v>2.4129999999999998</v>
      </c>
      <c r="K65" s="122">
        <f>3.14*((Table13[[#This Row],[Diameter ]]/2)^2)*Table13[[#This Row],[Length]]</f>
        <v>16.381968750000002</v>
      </c>
    </row>
    <row r="66" spans="2:17" x14ac:dyDescent="0.25">
      <c r="B66" s="119">
        <v>60</v>
      </c>
      <c r="C66" s="129" t="s">
        <v>820</v>
      </c>
      <c r="D66" s="121" t="s">
        <v>813</v>
      </c>
      <c r="E66" s="121">
        <f t="shared" si="4"/>
        <v>0.75</v>
      </c>
      <c r="F66" s="121"/>
      <c r="G66" s="121">
        <f t="shared" si="5"/>
        <v>37.1</v>
      </c>
      <c r="H66" s="121">
        <f t="shared" si="2"/>
        <v>0.44156250000000002</v>
      </c>
      <c r="I66" s="121">
        <f>Table13[[#This Row],[Length]]*Table13[[#This Row],[Weight of  steel]]</f>
        <v>89.522300000000001</v>
      </c>
      <c r="J66" s="121">
        <f>VLOOKUP(Table13[[#This Row],[Pile No.]],$N$6:$S$11,6,FALSE)</f>
        <v>2.4129999999999998</v>
      </c>
      <c r="K66" s="122">
        <f>3.14*((Table13[[#This Row],[Diameter ]]/2)^2)*Table13[[#This Row],[Length]]</f>
        <v>16.381968750000002</v>
      </c>
    </row>
    <row r="67" spans="2:17" x14ac:dyDescent="0.25">
      <c r="B67" s="119">
        <v>61</v>
      </c>
      <c r="C67" s="130" t="s">
        <v>820</v>
      </c>
      <c r="D67" s="121" t="s">
        <v>813</v>
      </c>
      <c r="E67" s="121">
        <f t="shared" si="4"/>
        <v>0.75</v>
      </c>
      <c r="F67" s="121"/>
      <c r="G67" s="121">
        <f t="shared" si="5"/>
        <v>37.1</v>
      </c>
      <c r="H67" s="121">
        <f t="shared" si="2"/>
        <v>0.44156250000000002</v>
      </c>
      <c r="I67" s="121">
        <f>Table13[[#This Row],[Length]]*Table13[[#This Row],[Weight of  steel]]</f>
        <v>89.522300000000001</v>
      </c>
      <c r="J67" s="121">
        <f>VLOOKUP(Table13[[#This Row],[Pile No.]],$N$6:$S$11,6,FALSE)</f>
        <v>2.4129999999999998</v>
      </c>
      <c r="K67" s="122">
        <f>3.14*((Table13[[#This Row],[Diameter ]]/2)^2)*Table13[[#This Row],[Length]]</f>
        <v>16.381968750000002</v>
      </c>
    </row>
    <row r="68" spans="2:17" x14ac:dyDescent="0.25">
      <c r="B68" s="119">
        <v>62</v>
      </c>
      <c r="C68" s="153" t="s">
        <v>821</v>
      </c>
      <c r="D68" s="121" t="s">
        <v>813</v>
      </c>
      <c r="E68" s="121">
        <f t="shared" si="4"/>
        <v>0.75</v>
      </c>
      <c r="F68" s="121"/>
      <c r="G68" s="121">
        <f t="shared" si="5"/>
        <v>37.1</v>
      </c>
      <c r="H68" s="121">
        <f t="shared" si="2"/>
        <v>0.44156250000000002</v>
      </c>
      <c r="I68" s="121">
        <f>Table13[[#This Row],[Length]]*Table13[[#This Row],[Weight of  steel]]</f>
        <v>89.522300000000001</v>
      </c>
      <c r="J68" s="121">
        <f>VLOOKUP(Table13[[#This Row],[Pile No.]],$N$6:$S$11,6,FALSE)</f>
        <v>2.4129999999999998</v>
      </c>
      <c r="K68" s="122">
        <f>3.14*((Table13[[#This Row],[Diameter ]]/2)^2)*Table13[[#This Row],[Length]]</f>
        <v>16.381968750000002</v>
      </c>
      <c r="L68" s="113">
        <f>Table13[[#This Row],[Weight of  steel]]/7.9</f>
        <v>0.30544303797468353</v>
      </c>
      <c r="M68" s="113">
        <f>L68/Table13[[#This Row],[Volume of Concrete]]</f>
        <v>1.8645075121064645E-2</v>
      </c>
    </row>
    <row r="69" spans="2:17" x14ac:dyDescent="0.25">
      <c r="B69" s="119"/>
      <c r="C69" s="134"/>
      <c r="D69" s="121"/>
      <c r="E69" s="121"/>
      <c r="F69" s="121"/>
      <c r="G69" s="121"/>
      <c r="H69" s="121"/>
      <c r="I69" s="121">
        <f>Table13[[#This Row],[Length]]*Table13[[#This Row],[Weight of  steel]]</f>
        <v>0</v>
      </c>
      <c r="J69" s="121">
        <f>SUBTOTAL(109,J6:J68)</f>
        <v>151.36800000000002</v>
      </c>
      <c r="K69" s="122">
        <f>SUBTOTAL(109,K6:K68)</f>
        <v>1193.0430000000001</v>
      </c>
      <c r="L69" s="113">
        <f>Table13[[#This Row],[Weight of  steel]]/7.9</f>
        <v>19.160506329113925</v>
      </c>
      <c r="M69" s="155">
        <f>L69/Table13[[#This Row],[Volume of Concrete]]</f>
        <v>1.6060197603199485E-2</v>
      </c>
      <c r="O69" s="113">
        <f>(Table13[[#This Row],[Weight of  steel]]*74000)/59</f>
        <v>189851.3898305085</v>
      </c>
      <c r="P69" s="113">
        <f>(Table13[[#This Row],[Volume of Concrete]]*5700)/59</f>
        <v>115260.08644067797</v>
      </c>
      <c r="Q69" s="113">
        <f>(O69+P69)/37.1</f>
        <v>8224.0290100050261</v>
      </c>
    </row>
    <row r="70" spans="2:17" x14ac:dyDescent="0.25">
      <c r="B70" s="119">
        <v>63</v>
      </c>
      <c r="C70" s="134"/>
      <c r="D70" s="121"/>
      <c r="E70" s="121"/>
      <c r="F70" s="121"/>
      <c r="G70" s="121"/>
      <c r="H70" s="121"/>
      <c r="I70" s="121">
        <f>Table13[[#This Row],[Length]]*Table13[[#This Row],[Weight of  steel]]</f>
        <v>0</v>
      </c>
      <c r="J70" s="121"/>
      <c r="K70" s="122"/>
      <c r="L70" s="113">
        <f>Table13[[#This Row],[Volume of Concrete]]+Table13[[#This Row],[Weight of  steel]]</f>
        <v>0</v>
      </c>
    </row>
    <row r="71" spans="2:17" x14ac:dyDescent="0.25">
      <c r="B71" s="119"/>
      <c r="C71" s="156"/>
      <c r="D71" s="134" t="s">
        <v>777</v>
      </c>
      <c r="E71" s="121">
        <f t="shared" si="4"/>
        <v>0.6</v>
      </c>
      <c r="F71" s="121"/>
      <c r="G71" s="121">
        <f t="shared" si="5"/>
        <v>11.1</v>
      </c>
      <c r="H71" s="121">
        <f t="shared" ref="H71" si="6">3.14*((E71/2)^2)</f>
        <v>0.28260000000000002</v>
      </c>
      <c r="I71" s="121">
        <f>Table13[[#This Row],[Length]]*Table13[[#This Row],[Weight of  steel]]</f>
        <v>1.0027914048</v>
      </c>
      <c r="J71" s="157">
        <f>1.2%*2.4*Table13[[#This Row],[Volume of Concrete]]</f>
        <v>9.0341567999999997E-2</v>
      </c>
      <c r="K71" s="122">
        <f>3.14*((Table13[[#This Row],[Diameter ]]/2)^2)*Table13[[#This Row],[Length]]</f>
        <v>3.13686</v>
      </c>
      <c r="L71" s="113">
        <v>145</v>
      </c>
    </row>
    <row r="72" spans="2:17" x14ac:dyDescent="0.25">
      <c r="B72" s="119"/>
      <c r="C72" s="134"/>
      <c r="D72" s="121"/>
      <c r="E72" s="121"/>
      <c r="F72" s="121"/>
      <c r="G72" s="121"/>
      <c r="H72" s="121" t="s">
        <v>822</v>
      </c>
      <c r="I72" s="121">
        <f>Table13[[#This Row],[Length]]*Table13[[#This Row],[Weight of  steel]]</f>
        <v>0</v>
      </c>
      <c r="J72" s="121">
        <f>J71*L71</f>
        <v>13.09952736</v>
      </c>
      <c r="K72" s="122">
        <f>K71*L71</f>
        <v>454.84469999999999</v>
      </c>
    </row>
    <row r="73" spans="2:17" x14ac:dyDescent="0.25">
      <c r="B73" s="119"/>
      <c r="C73" s="134"/>
      <c r="D73" s="121"/>
      <c r="E73" s="121"/>
      <c r="F73" s="121"/>
      <c r="G73" s="121"/>
      <c r="H73" s="121" t="s">
        <v>823</v>
      </c>
      <c r="I73" s="121">
        <f>Table13[[#This Row],[Length]]*Table13[[#This Row],[Weight of  steel]]</f>
        <v>0</v>
      </c>
      <c r="J73" s="121">
        <f>J72+J69</f>
        <v>164.46752736000002</v>
      </c>
      <c r="K73" s="122">
        <f>K72+K69</f>
        <v>1647.8877000000002</v>
      </c>
    </row>
    <row r="74" spans="2:17" x14ac:dyDescent="0.25">
      <c r="B74" s="119"/>
      <c r="C74" s="134"/>
      <c r="D74" s="121"/>
      <c r="E74" s="121"/>
      <c r="F74" s="121"/>
      <c r="G74" s="121"/>
      <c r="H74" s="121"/>
      <c r="I74" s="121">
        <f>Table13[[#This Row],[Length]]*Table13[[#This Row],[Weight of  steel]]</f>
        <v>0</v>
      </c>
      <c r="J74" s="158">
        <f>J73*(74000+1000)</f>
        <v>12335064.552000001</v>
      </c>
      <c r="K74" s="159">
        <f>K73*8741</f>
        <v>14404186.385700002</v>
      </c>
    </row>
    <row r="75" spans="2:17" x14ac:dyDescent="0.25">
      <c r="B75" s="119"/>
      <c r="C75" s="135"/>
      <c r="D75" s="121"/>
      <c r="E75" s="121"/>
      <c r="F75" s="121"/>
      <c r="G75" s="121"/>
      <c r="H75" s="121"/>
      <c r="I75" s="121">
        <f>Table13[[#This Row],[Length]]*Table13[[#This Row],[Weight of  steel]]</f>
        <v>0</v>
      </c>
      <c r="J75" s="160">
        <f>J74+K74</f>
        <v>26739250.937700003</v>
      </c>
      <c r="K75" s="122"/>
      <c r="L75" s="151">
        <v>61846</v>
      </c>
      <c r="M75" s="151">
        <f>Table13[[#This Row],[Weight of  steel]]/L75</f>
        <v>432.35214787860173</v>
      </c>
    </row>
    <row r="76" spans="2:17" x14ac:dyDescent="0.25">
      <c r="B76" s="119"/>
      <c r="C76" s="135"/>
      <c r="D76" s="121"/>
      <c r="E76" s="121"/>
      <c r="F76" s="121"/>
      <c r="G76" s="121"/>
      <c r="H76" s="121"/>
      <c r="I76" s="121">
        <f>Table13[[#This Row],[Length]]*Table13[[#This Row],[Weight of  steel]]</f>
        <v>0</v>
      </c>
      <c r="J76" s="121">
        <f>J75/(145+59)</f>
        <v>131074.75949852943</v>
      </c>
      <c r="K76" s="122"/>
    </row>
    <row r="77" spans="2:17" x14ac:dyDescent="0.25">
      <c r="B77" s="119"/>
      <c r="C77" s="135"/>
      <c r="D77" s="121"/>
      <c r="E77" s="121"/>
      <c r="F77" s="121"/>
      <c r="G77" s="121"/>
      <c r="H77" s="121"/>
      <c r="I77" s="121">
        <f>Table13[[#This Row],[Length]]*Table13[[#This Row],[Weight of  steel]]</f>
        <v>0</v>
      </c>
      <c r="J77" s="121"/>
      <c r="K77" s="122"/>
    </row>
    <row r="78" spans="2:17" x14ac:dyDescent="0.25">
      <c r="B78" s="119"/>
      <c r="C78" s="135"/>
      <c r="D78" s="121"/>
      <c r="E78" s="121"/>
      <c r="F78" s="121"/>
      <c r="G78" s="121"/>
      <c r="H78" s="121"/>
      <c r="I78" s="121">
        <f>Table13[[#This Row],[Length]]*Table13[[#This Row],[Weight of  steel]]</f>
        <v>0</v>
      </c>
      <c r="J78" s="121">
        <f>(J72*74000)/145</f>
        <v>6685.2760319999998</v>
      </c>
      <c r="K78" s="121">
        <f>(K72*5700)/145</f>
        <v>17880.101999999999</v>
      </c>
      <c r="L78" s="113">
        <f>Table13[[#This Row],[Weight of  steel]]+Table13[[#This Row],[Volume of Concrete]]</f>
        <v>24565.378032000001</v>
      </c>
      <c r="M78" s="113">
        <f>L78/11</f>
        <v>2233.2161847272728</v>
      </c>
    </row>
    <row r="79" spans="2:17" x14ac:dyDescent="0.25">
      <c r="B79" s="119"/>
      <c r="C79" s="135"/>
      <c r="D79" s="121"/>
      <c r="E79" s="121"/>
      <c r="F79" s="121"/>
      <c r="G79" s="121"/>
      <c r="H79" s="121"/>
      <c r="I79" s="121">
        <f>Table13[[#This Row],[Length]]*Table13[[#This Row],[Weight of  steel]]</f>
        <v>0</v>
      </c>
      <c r="J79" s="121"/>
      <c r="K79" s="122"/>
    </row>
    <row r="80" spans="2:17" x14ac:dyDescent="0.25">
      <c r="B80" s="119"/>
      <c r="C80" s="135"/>
      <c r="D80" s="121"/>
      <c r="E80" s="121"/>
      <c r="F80" s="121"/>
      <c r="G80" s="121"/>
      <c r="H80" s="121"/>
      <c r="I80" s="121">
        <f>Table13[[#This Row],[Length]]*Table13[[#This Row],[Weight of  steel]]</f>
        <v>0</v>
      </c>
      <c r="J80" s="121"/>
      <c r="K80" s="122"/>
    </row>
    <row r="81" spans="2:11" x14ac:dyDescent="0.25">
      <c r="B81" s="119"/>
      <c r="C81" s="135"/>
      <c r="D81" s="121"/>
      <c r="E81" s="121"/>
      <c r="F81" s="121"/>
      <c r="G81" s="121"/>
      <c r="H81" s="121"/>
      <c r="I81" s="121">
        <f>Table13[[#This Row],[Length]]*Table13[[#This Row],[Weight of  steel]]</f>
        <v>0</v>
      </c>
      <c r="J81" s="121"/>
      <c r="K81" s="122"/>
    </row>
    <row r="82" spans="2:11" x14ac:dyDescent="0.25">
      <c r="B82" s="119"/>
      <c r="C82" s="135"/>
      <c r="D82" s="121"/>
      <c r="E82" s="121"/>
      <c r="F82" s="121"/>
      <c r="G82" s="121"/>
      <c r="H82" s="121"/>
      <c r="I82" s="121">
        <f>Table13[[#This Row],[Length]]*Table13[[#This Row],[Weight of  steel]]</f>
        <v>0</v>
      </c>
      <c r="J82" s="121"/>
      <c r="K82" s="122"/>
    </row>
    <row r="83" spans="2:11" x14ac:dyDescent="0.25">
      <c r="B83" s="119"/>
      <c r="C83" s="135"/>
      <c r="D83" s="121"/>
      <c r="E83" s="121"/>
      <c r="F83" s="121"/>
      <c r="G83" s="121"/>
      <c r="H83" s="121"/>
      <c r="I83" s="121">
        <f>Table13[[#This Row],[Length]]*Table13[[#This Row],[Weight of  steel]]</f>
        <v>0</v>
      </c>
      <c r="J83" s="121"/>
      <c r="K83" s="122"/>
    </row>
    <row r="84" spans="2:11" x14ac:dyDescent="0.25">
      <c r="B84" s="119"/>
      <c r="C84" s="135"/>
      <c r="D84" s="121"/>
      <c r="E84" s="121"/>
      <c r="F84" s="121"/>
      <c r="G84" s="121"/>
      <c r="H84" s="121"/>
      <c r="I84" s="121">
        <f>Table13[[#This Row],[Length]]*Table13[[#This Row],[Weight of  steel]]</f>
        <v>0</v>
      </c>
      <c r="J84" s="121"/>
      <c r="K84" s="122"/>
    </row>
    <row r="85" spans="2:11" x14ac:dyDescent="0.25">
      <c r="B85" s="119"/>
      <c r="C85" s="135"/>
      <c r="D85" s="121"/>
      <c r="E85" s="121"/>
      <c r="F85" s="121"/>
      <c r="G85" s="121"/>
      <c r="H85" s="121"/>
      <c r="I85" s="121">
        <f>Table13[[#This Row],[Length]]*Table13[[#This Row],[Weight of  steel]]</f>
        <v>0</v>
      </c>
      <c r="J85" s="121"/>
      <c r="K85" s="122"/>
    </row>
    <row r="86" spans="2:11" x14ac:dyDescent="0.25">
      <c r="B86" s="119"/>
      <c r="C86" s="135"/>
      <c r="D86" s="121"/>
      <c r="E86" s="121"/>
      <c r="F86" s="121"/>
      <c r="G86" s="121"/>
      <c r="H86" s="121"/>
      <c r="I86" s="121">
        <f>Table13[[#This Row],[Length]]*Table13[[#This Row],[Weight of  steel]]</f>
        <v>0</v>
      </c>
      <c r="J86" s="121"/>
      <c r="K86" s="122"/>
    </row>
    <row r="87" spans="2:11" x14ac:dyDescent="0.25">
      <c r="B87" s="119"/>
      <c r="C87" s="135"/>
      <c r="D87" s="121"/>
      <c r="E87" s="121"/>
      <c r="F87" s="121"/>
      <c r="G87" s="121"/>
      <c r="H87" s="121"/>
      <c r="I87" s="121">
        <f>Table13[[#This Row],[Length]]*Table13[[#This Row],[Weight of  steel]]</f>
        <v>0</v>
      </c>
      <c r="J87" s="121"/>
      <c r="K87" s="122"/>
    </row>
    <row r="88" spans="2:11" x14ac:dyDescent="0.25">
      <c r="B88" s="119"/>
      <c r="C88" s="135"/>
      <c r="D88" s="121"/>
      <c r="E88" s="121"/>
      <c r="F88" s="121"/>
      <c r="G88" s="121"/>
      <c r="H88" s="121"/>
      <c r="I88" s="121">
        <f>Table13[[#This Row],[Length]]*Table13[[#This Row],[Weight of  steel]]</f>
        <v>0</v>
      </c>
      <c r="J88" s="121"/>
      <c r="K88" s="122"/>
    </row>
    <row r="89" spans="2:11" x14ac:dyDescent="0.25">
      <c r="B89" s="119"/>
      <c r="C89" s="135"/>
      <c r="D89" s="121"/>
      <c r="E89" s="121"/>
      <c r="F89" s="121"/>
      <c r="G89" s="121"/>
      <c r="H89" s="121"/>
      <c r="I89" s="121">
        <f>Table13[[#This Row],[Length]]*Table13[[#This Row],[Weight of  steel]]</f>
        <v>0</v>
      </c>
      <c r="J89" s="121"/>
      <c r="K89" s="122"/>
    </row>
    <row r="90" spans="2:11" x14ac:dyDescent="0.25">
      <c r="B90" s="119"/>
      <c r="C90" s="136"/>
      <c r="D90" s="121"/>
      <c r="E90" s="121"/>
      <c r="F90" s="121"/>
      <c r="G90" s="121"/>
      <c r="H90" s="121"/>
      <c r="I90" s="121">
        <f>Table13[[#This Row],[Length]]*Table13[[#This Row],[Weight of  steel]]</f>
        <v>0</v>
      </c>
      <c r="J90" s="121"/>
      <c r="K90" s="122"/>
    </row>
    <row r="91" spans="2:11" x14ac:dyDescent="0.25">
      <c r="B91" s="119"/>
      <c r="C91" s="136"/>
      <c r="D91" s="121"/>
      <c r="E91" s="121"/>
      <c r="F91" s="121"/>
      <c r="G91" s="121"/>
      <c r="H91" s="121"/>
      <c r="I91" s="121">
        <f>Table13[[#This Row],[Length]]*Table13[[#This Row],[Weight of  steel]]</f>
        <v>0</v>
      </c>
      <c r="J91" s="121"/>
      <c r="K91" s="122"/>
    </row>
    <row r="92" spans="2:11" x14ac:dyDescent="0.25">
      <c r="B92" s="119"/>
      <c r="C92" s="136"/>
      <c r="D92" s="121"/>
      <c r="E92" s="121"/>
      <c r="F92" s="121"/>
      <c r="G92" s="121"/>
      <c r="H92" s="121"/>
      <c r="I92" s="121">
        <f>Table13[[#This Row],[Length]]*Table13[[#This Row],[Weight of  steel]]</f>
        <v>0</v>
      </c>
      <c r="J92" s="121"/>
      <c r="K92" s="122"/>
    </row>
    <row r="93" spans="2:11" x14ac:dyDescent="0.25">
      <c r="B93" s="119"/>
      <c r="C93" s="136"/>
      <c r="D93" s="121"/>
      <c r="E93" s="121"/>
      <c r="F93" s="121"/>
      <c r="G93" s="121"/>
      <c r="H93" s="121"/>
      <c r="I93" s="121">
        <f>Table13[[#This Row],[Length]]*Table13[[#This Row],[Weight of  steel]]</f>
        <v>0</v>
      </c>
      <c r="J93" s="121"/>
      <c r="K93" s="122"/>
    </row>
    <row r="94" spans="2:11" x14ac:dyDescent="0.25">
      <c r="B94" s="119"/>
      <c r="C94" s="136"/>
      <c r="D94" s="121"/>
      <c r="E94" s="121"/>
      <c r="F94" s="121"/>
      <c r="G94" s="121"/>
      <c r="H94" s="121"/>
      <c r="I94" s="121">
        <f>Table13[[#This Row],[Length]]*Table13[[#This Row],[Weight of  steel]]</f>
        <v>0</v>
      </c>
      <c r="J94" s="121"/>
      <c r="K94" s="122"/>
    </row>
    <row r="95" spans="2:11" x14ac:dyDescent="0.25">
      <c r="B95" s="119"/>
      <c r="C95" s="136"/>
      <c r="D95" s="121"/>
      <c r="E95" s="121"/>
      <c r="F95" s="121"/>
      <c r="G95" s="121"/>
      <c r="H95" s="121"/>
      <c r="I95" s="121">
        <f>Table13[[#This Row],[Length]]*Table13[[#This Row],[Weight of  steel]]</f>
        <v>0</v>
      </c>
      <c r="J95" s="121"/>
      <c r="K95" s="122"/>
    </row>
    <row r="96" spans="2:11" x14ac:dyDescent="0.25">
      <c r="B96" s="119"/>
      <c r="C96" s="136"/>
      <c r="D96" s="121"/>
      <c r="E96" s="121"/>
      <c r="F96" s="121"/>
      <c r="G96" s="121"/>
      <c r="H96" s="121"/>
      <c r="I96" s="121">
        <f>Table13[[#This Row],[Length]]*Table13[[#This Row],[Weight of  steel]]</f>
        <v>0</v>
      </c>
      <c r="J96" s="121"/>
      <c r="K96" s="122"/>
    </row>
    <row r="97" spans="2:11" x14ac:dyDescent="0.25">
      <c r="B97" s="119"/>
      <c r="C97" s="136"/>
      <c r="D97" s="121"/>
      <c r="E97" s="121"/>
      <c r="F97" s="121"/>
      <c r="G97" s="121"/>
      <c r="H97" s="121"/>
      <c r="I97" s="121">
        <f>Table13[[#This Row],[Length]]*Table13[[#This Row],[Weight of  steel]]</f>
        <v>0</v>
      </c>
      <c r="J97" s="121"/>
      <c r="K97" s="122"/>
    </row>
    <row r="98" spans="2:11" x14ac:dyDescent="0.25">
      <c r="B98" s="119"/>
      <c r="C98" s="136"/>
      <c r="D98" s="121"/>
      <c r="E98" s="121"/>
      <c r="F98" s="121"/>
      <c r="G98" s="121"/>
      <c r="H98" s="121"/>
      <c r="I98" s="121">
        <f>Table13[[#This Row],[Length]]*Table13[[#This Row],[Weight of  steel]]</f>
        <v>0</v>
      </c>
      <c r="J98" s="121"/>
      <c r="K98" s="122"/>
    </row>
    <row r="99" spans="2:11" x14ac:dyDescent="0.25">
      <c r="B99" s="119"/>
      <c r="C99" s="136"/>
      <c r="D99" s="121"/>
      <c r="E99" s="121"/>
      <c r="F99" s="121"/>
      <c r="G99" s="121"/>
      <c r="H99" s="121"/>
      <c r="I99" s="121">
        <f>Table13[[#This Row],[Length]]*Table13[[#This Row],[Weight of  steel]]</f>
        <v>0</v>
      </c>
      <c r="J99" s="121"/>
      <c r="K99" s="122"/>
    </row>
    <row r="100" spans="2:11" x14ac:dyDescent="0.25">
      <c r="B100" s="119"/>
      <c r="C100" s="136"/>
      <c r="D100" s="121"/>
      <c r="E100" s="121"/>
      <c r="F100" s="121"/>
      <c r="G100" s="121"/>
      <c r="H100" s="121"/>
      <c r="I100" s="121">
        <f>Table13[[#This Row],[Length]]*Table13[[#This Row],[Weight of  steel]]</f>
        <v>0</v>
      </c>
      <c r="J100" s="121"/>
      <c r="K100" s="122"/>
    </row>
    <row r="101" spans="2:11" x14ac:dyDescent="0.25">
      <c r="B101" s="119"/>
      <c r="C101" s="136"/>
      <c r="D101" s="121"/>
      <c r="E101" s="121"/>
      <c r="F101" s="121"/>
      <c r="G101" s="121"/>
      <c r="H101" s="121"/>
      <c r="I101" s="121">
        <f>Table13[[#This Row],[Length]]*Table13[[#This Row],[Weight of  steel]]</f>
        <v>0</v>
      </c>
      <c r="J101" s="121"/>
      <c r="K101" s="122"/>
    </row>
    <row r="102" spans="2:11" x14ac:dyDescent="0.25">
      <c r="B102" s="119"/>
      <c r="C102" s="136"/>
      <c r="D102" s="121"/>
      <c r="E102" s="121"/>
      <c r="F102" s="121"/>
      <c r="G102" s="121"/>
      <c r="H102" s="121"/>
      <c r="I102" s="121">
        <f>Table13[[#This Row],[Length]]*Table13[[#This Row],[Weight of  steel]]</f>
        <v>0</v>
      </c>
      <c r="J102" s="121"/>
      <c r="K102" s="122"/>
    </row>
    <row r="103" spans="2:11" x14ac:dyDescent="0.25">
      <c r="B103" s="119"/>
      <c r="C103" s="136"/>
      <c r="D103" s="121"/>
      <c r="E103" s="121"/>
      <c r="F103" s="121"/>
      <c r="G103" s="121"/>
      <c r="H103" s="121"/>
      <c r="I103" s="121">
        <f>Table13[[#This Row],[Length]]*Table13[[#This Row],[Weight of  steel]]</f>
        <v>0</v>
      </c>
      <c r="J103" s="121"/>
      <c r="K103" s="122"/>
    </row>
    <row r="104" spans="2:11" x14ac:dyDescent="0.25">
      <c r="B104" s="119"/>
      <c r="C104" s="136"/>
      <c r="D104" s="121"/>
      <c r="E104" s="121"/>
      <c r="F104" s="121"/>
      <c r="G104" s="121"/>
      <c r="H104" s="121"/>
      <c r="I104" s="121">
        <f>Table13[[#This Row],[Length]]*Table13[[#This Row],[Weight of  steel]]</f>
        <v>0</v>
      </c>
      <c r="J104" s="121"/>
      <c r="K104" s="122"/>
    </row>
    <row r="105" spans="2:11" x14ac:dyDescent="0.25">
      <c r="B105" s="119"/>
      <c r="C105" s="137"/>
      <c r="D105" s="121"/>
      <c r="E105" s="121"/>
      <c r="F105" s="121"/>
      <c r="G105" s="121"/>
      <c r="H105" s="121"/>
      <c r="I105" s="121">
        <f>Table13[[#This Row],[Length]]*Table13[[#This Row],[Weight of  steel]]</f>
        <v>0</v>
      </c>
      <c r="J105" s="121"/>
      <c r="K105" s="122"/>
    </row>
    <row r="106" spans="2:11" x14ac:dyDescent="0.25">
      <c r="B106" s="119"/>
      <c r="C106" s="137"/>
      <c r="D106" s="121"/>
      <c r="E106" s="121"/>
      <c r="F106" s="121"/>
      <c r="G106" s="121"/>
      <c r="H106" s="121"/>
      <c r="I106" s="121">
        <f>Table13[[#This Row],[Length]]*Table13[[#This Row],[Weight of  steel]]</f>
        <v>0</v>
      </c>
      <c r="J106" s="121"/>
      <c r="K106" s="122"/>
    </row>
    <row r="107" spans="2:11" x14ac:dyDescent="0.25">
      <c r="B107" s="119"/>
      <c r="C107" s="137"/>
      <c r="D107" s="121"/>
      <c r="E107" s="121"/>
      <c r="F107" s="121"/>
      <c r="G107" s="121"/>
      <c r="H107" s="121"/>
      <c r="I107" s="121">
        <f>Table13[[#This Row],[Length]]*Table13[[#This Row],[Weight of  steel]]</f>
        <v>0</v>
      </c>
      <c r="J107" s="121"/>
      <c r="K107" s="122"/>
    </row>
    <row r="108" spans="2:11" x14ac:dyDescent="0.25">
      <c r="B108" s="119"/>
      <c r="C108" s="137"/>
      <c r="D108" s="121"/>
      <c r="E108" s="121"/>
      <c r="F108" s="121"/>
      <c r="G108" s="121"/>
      <c r="H108" s="121"/>
      <c r="I108" s="121">
        <f>Table13[[#This Row],[Length]]*Table13[[#This Row],[Weight of  steel]]</f>
        <v>0</v>
      </c>
      <c r="J108" s="121"/>
      <c r="K108" s="122"/>
    </row>
    <row r="109" spans="2:11" x14ac:dyDescent="0.25">
      <c r="B109" s="119"/>
      <c r="C109" s="137"/>
      <c r="D109" s="121"/>
      <c r="E109" s="121"/>
      <c r="F109" s="121"/>
      <c r="G109" s="121"/>
      <c r="H109" s="121"/>
      <c r="I109" s="121">
        <f>Table13[[#This Row],[Length]]*Table13[[#This Row],[Weight of  steel]]</f>
        <v>0</v>
      </c>
      <c r="J109" s="121"/>
      <c r="K109" s="122"/>
    </row>
    <row r="110" spans="2:11" x14ac:dyDescent="0.25">
      <c r="B110" s="119"/>
      <c r="C110" s="137"/>
      <c r="D110" s="121"/>
      <c r="E110" s="121"/>
      <c r="F110" s="121"/>
      <c r="G110" s="121"/>
      <c r="H110" s="121"/>
      <c r="I110" s="121">
        <f>Table13[[#This Row],[Length]]*Table13[[#This Row],[Weight of  steel]]</f>
        <v>0</v>
      </c>
      <c r="J110" s="121"/>
      <c r="K110" s="122"/>
    </row>
    <row r="111" spans="2:11" x14ac:dyDescent="0.25">
      <c r="B111" s="119"/>
      <c r="C111" s="137"/>
      <c r="D111" s="121"/>
      <c r="E111" s="121"/>
      <c r="F111" s="121"/>
      <c r="G111" s="121"/>
      <c r="H111" s="121"/>
      <c r="I111" s="121">
        <f>Table13[[#This Row],[Length]]*Table13[[#This Row],[Weight of  steel]]</f>
        <v>0</v>
      </c>
      <c r="J111" s="121"/>
      <c r="K111" s="122"/>
    </row>
    <row r="112" spans="2:11" x14ac:dyDescent="0.25">
      <c r="B112" s="119"/>
      <c r="C112" s="137"/>
      <c r="D112" s="121"/>
      <c r="E112" s="121"/>
      <c r="F112" s="121"/>
      <c r="G112" s="121"/>
      <c r="H112" s="121"/>
      <c r="I112" s="121">
        <f>Table13[[#This Row],[Length]]*Table13[[#This Row],[Weight of  steel]]</f>
        <v>0</v>
      </c>
      <c r="J112" s="121"/>
      <c r="K112" s="122"/>
    </row>
    <row r="113" spans="2:11" x14ac:dyDescent="0.25">
      <c r="B113" s="119"/>
      <c r="C113" s="137"/>
      <c r="D113" s="121"/>
      <c r="E113" s="121"/>
      <c r="F113" s="121"/>
      <c r="G113" s="121"/>
      <c r="H113" s="121"/>
      <c r="I113" s="121">
        <f>Table13[[#This Row],[Length]]*Table13[[#This Row],[Weight of  steel]]</f>
        <v>0</v>
      </c>
      <c r="J113" s="121"/>
      <c r="K113" s="122"/>
    </row>
    <row r="114" spans="2:11" x14ac:dyDescent="0.25">
      <c r="B114" s="119"/>
      <c r="C114" s="137"/>
      <c r="D114" s="121"/>
      <c r="E114" s="121"/>
      <c r="F114" s="121"/>
      <c r="G114" s="121"/>
      <c r="H114" s="121"/>
      <c r="I114" s="121">
        <f>Table13[[#This Row],[Length]]*Table13[[#This Row],[Weight of  steel]]</f>
        <v>0</v>
      </c>
      <c r="J114" s="121"/>
      <c r="K114" s="122"/>
    </row>
    <row r="115" spans="2:11" x14ac:dyDescent="0.25">
      <c r="B115" s="119"/>
      <c r="C115" s="137"/>
      <c r="D115" s="121"/>
      <c r="E115" s="121"/>
      <c r="F115" s="121"/>
      <c r="G115" s="121"/>
      <c r="H115" s="121"/>
      <c r="I115" s="121">
        <f>Table13[[#This Row],[Length]]*Table13[[#This Row],[Weight of  steel]]</f>
        <v>0</v>
      </c>
      <c r="J115" s="121"/>
      <c r="K115" s="122"/>
    </row>
    <row r="116" spans="2:11" x14ac:dyDescent="0.25">
      <c r="B116" s="119"/>
      <c r="C116" s="137"/>
      <c r="D116" s="121"/>
      <c r="E116" s="121"/>
      <c r="F116" s="121"/>
      <c r="G116" s="121"/>
      <c r="H116" s="121"/>
      <c r="I116" s="121">
        <f>Table13[[#This Row],[Length]]*Table13[[#This Row],[Weight of  steel]]</f>
        <v>0</v>
      </c>
      <c r="J116" s="121"/>
      <c r="K116" s="122"/>
    </row>
    <row r="117" spans="2:11" x14ac:dyDescent="0.25">
      <c r="B117" s="119"/>
      <c r="C117" s="137"/>
      <c r="D117" s="121"/>
      <c r="E117" s="121"/>
      <c r="F117" s="121"/>
      <c r="G117" s="121"/>
      <c r="H117" s="121"/>
      <c r="I117" s="121">
        <f>Table13[[#This Row],[Length]]*Table13[[#This Row],[Weight of  steel]]</f>
        <v>0</v>
      </c>
      <c r="J117" s="121"/>
      <c r="K117" s="122"/>
    </row>
    <row r="118" spans="2:11" x14ac:dyDescent="0.25">
      <c r="B118" s="119"/>
      <c r="C118" s="137"/>
      <c r="D118" s="121"/>
      <c r="E118" s="121"/>
      <c r="F118" s="121"/>
      <c r="G118" s="121"/>
      <c r="H118" s="121"/>
      <c r="I118" s="121">
        <f>Table13[[#This Row],[Length]]*Table13[[#This Row],[Weight of  steel]]</f>
        <v>0</v>
      </c>
      <c r="J118" s="121"/>
      <c r="K118" s="122"/>
    </row>
    <row r="119" spans="2:11" x14ac:dyDescent="0.25">
      <c r="B119" s="119"/>
      <c r="C119" s="137"/>
      <c r="D119" s="121"/>
      <c r="E119" s="121"/>
      <c r="F119" s="121"/>
      <c r="G119" s="121"/>
      <c r="H119" s="121"/>
      <c r="I119" s="121">
        <f>Table13[[#This Row],[Length]]*Table13[[#This Row],[Weight of  steel]]</f>
        <v>0</v>
      </c>
      <c r="J119" s="121"/>
      <c r="K119" s="122"/>
    </row>
    <row r="120" spans="2:11" x14ac:dyDescent="0.25">
      <c r="B120" s="119"/>
      <c r="C120" s="138"/>
      <c r="D120" s="121"/>
      <c r="E120" s="121"/>
      <c r="F120" s="121"/>
      <c r="G120" s="121"/>
      <c r="H120" s="121"/>
      <c r="I120" s="121">
        <f>Table13[[#This Row],[Length]]*Table13[[#This Row],[Weight of  steel]]</f>
        <v>0</v>
      </c>
      <c r="J120" s="121"/>
      <c r="K120" s="122"/>
    </row>
    <row r="121" spans="2:11" x14ac:dyDescent="0.25">
      <c r="B121" s="119"/>
      <c r="C121" s="138"/>
      <c r="D121" s="121"/>
      <c r="E121" s="121"/>
      <c r="F121" s="121"/>
      <c r="G121" s="121"/>
      <c r="H121" s="121"/>
      <c r="I121" s="121">
        <f>Table13[[#This Row],[Length]]*Table13[[#This Row],[Weight of  steel]]</f>
        <v>0</v>
      </c>
      <c r="J121" s="121"/>
      <c r="K121" s="122"/>
    </row>
    <row r="122" spans="2:11" x14ac:dyDescent="0.25">
      <c r="B122" s="119"/>
      <c r="C122" s="138"/>
      <c r="D122" s="121"/>
      <c r="E122" s="121"/>
      <c r="F122" s="121"/>
      <c r="G122" s="121"/>
      <c r="H122" s="121"/>
      <c r="I122" s="121">
        <f>Table13[[#This Row],[Length]]*Table13[[#This Row],[Weight of  steel]]</f>
        <v>0</v>
      </c>
      <c r="J122" s="121"/>
      <c r="K122" s="122"/>
    </row>
    <row r="123" spans="2:11" x14ac:dyDescent="0.25">
      <c r="B123" s="119"/>
      <c r="C123" s="138"/>
      <c r="D123" s="121"/>
      <c r="E123" s="121"/>
      <c r="F123" s="121"/>
      <c r="G123" s="121"/>
      <c r="H123" s="121"/>
      <c r="I123" s="121">
        <f>Table13[[#This Row],[Length]]*Table13[[#This Row],[Weight of  steel]]</f>
        <v>0</v>
      </c>
      <c r="J123" s="121"/>
      <c r="K123" s="122"/>
    </row>
    <row r="124" spans="2:11" x14ac:dyDescent="0.25">
      <c r="B124" s="119"/>
      <c r="C124" s="138"/>
      <c r="D124" s="121"/>
      <c r="E124" s="121"/>
      <c r="F124" s="121"/>
      <c r="G124" s="121"/>
      <c r="H124" s="121"/>
      <c r="I124" s="121">
        <f>Table13[[#This Row],[Length]]*Table13[[#This Row],[Weight of  steel]]</f>
        <v>0</v>
      </c>
      <c r="J124" s="121"/>
      <c r="K124" s="122"/>
    </row>
    <row r="125" spans="2:11" x14ac:dyDescent="0.25">
      <c r="B125" s="119"/>
      <c r="C125" s="138"/>
      <c r="D125" s="121"/>
      <c r="E125" s="121"/>
      <c r="F125" s="121"/>
      <c r="G125" s="121"/>
      <c r="H125" s="121"/>
      <c r="I125" s="121">
        <f>Table13[[#This Row],[Length]]*Table13[[#This Row],[Weight of  steel]]</f>
        <v>0</v>
      </c>
      <c r="J125" s="121"/>
      <c r="K125" s="122"/>
    </row>
    <row r="126" spans="2:11" x14ac:dyDescent="0.25">
      <c r="B126" s="119"/>
      <c r="C126" s="139"/>
      <c r="D126" s="121"/>
      <c r="E126" s="121"/>
      <c r="F126" s="121"/>
      <c r="G126" s="121"/>
      <c r="H126" s="121"/>
      <c r="I126" s="121">
        <f>Table13[[#This Row],[Length]]*Table13[[#This Row],[Weight of  steel]]</f>
        <v>0</v>
      </c>
      <c r="J126" s="121"/>
      <c r="K126" s="122"/>
    </row>
    <row r="127" spans="2:11" x14ac:dyDescent="0.25">
      <c r="B127" s="119"/>
      <c r="C127" s="139"/>
      <c r="D127" s="121"/>
      <c r="E127" s="121"/>
      <c r="F127" s="121"/>
      <c r="G127" s="121"/>
      <c r="H127" s="121"/>
      <c r="I127" s="121">
        <f>Table13[[#This Row],[Length]]*Table13[[#This Row],[Weight of  steel]]</f>
        <v>0</v>
      </c>
      <c r="J127" s="121"/>
      <c r="K127" s="122"/>
    </row>
    <row r="128" spans="2:11" x14ac:dyDescent="0.25">
      <c r="B128" s="119"/>
      <c r="C128" s="139"/>
      <c r="D128" s="121"/>
      <c r="E128" s="121"/>
      <c r="F128" s="121"/>
      <c r="G128" s="121"/>
      <c r="H128" s="121"/>
      <c r="I128" s="121">
        <f>Table13[[#This Row],[Length]]*Table13[[#This Row],[Weight of  steel]]</f>
        <v>0</v>
      </c>
      <c r="J128" s="121"/>
      <c r="K128" s="122"/>
    </row>
    <row r="129" spans="2:11" x14ac:dyDescent="0.25">
      <c r="B129" s="119"/>
      <c r="C129" s="139"/>
      <c r="D129" s="121"/>
      <c r="E129" s="121"/>
      <c r="F129" s="121"/>
      <c r="G129" s="121"/>
      <c r="H129" s="121"/>
      <c r="I129" s="121">
        <f>Table13[[#This Row],[Length]]*Table13[[#This Row],[Weight of  steel]]</f>
        <v>0</v>
      </c>
      <c r="J129" s="121"/>
      <c r="K129" s="122"/>
    </row>
    <row r="130" spans="2:11" x14ac:dyDescent="0.25">
      <c r="B130" s="119"/>
      <c r="C130" s="139"/>
      <c r="D130" s="121"/>
      <c r="E130" s="121"/>
      <c r="F130" s="121"/>
      <c r="G130" s="121"/>
      <c r="H130" s="121"/>
      <c r="I130" s="121">
        <f>Table13[[#This Row],[Length]]*Table13[[#This Row],[Weight of  steel]]</f>
        <v>0</v>
      </c>
      <c r="J130" s="121"/>
      <c r="K130" s="122"/>
    </row>
    <row r="131" spans="2:11" x14ac:dyDescent="0.25">
      <c r="B131" s="140"/>
      <c r="C131" s="141"/>
      <c r="D131" s="142"/>
      <c r="E131" s="142"/>
      <c r="F131" s="142"/>
      <c r="G131" s="142"/>
      <c r="H131" s="121"/>
      <c r="I131" s="142">
        <f>Table13[[#This Row],[Length]]*Table13[[#This Row],[Weight of  steel]]</f>
        <v>0</v>
      </c>
      <c r="J131" s="121"/>
      <c r="K131" s="122"/>
    </row>
    <row r="132" spans="2:11" x14ac:dyDescent="0.25">
      <c r="B132" s="143"/>
      <c r="C132" s="144"/>
      <c r="D132" s="145"/>
      <c r="E132" s="145"/>
      <c r="F132" s="145"/>
      <c r="G132" s="145"/>
      <c r="H132" s="145"/>
      <c r="I132" s="145"/>
      <c r="J132" s="145"/>
      <c r="K132" s="146"/>
    </row>
    <row r="133" spans="2:11" x14ac:dyDescent="0.25">
      <c r="J133" s="148">
        <f>Table13[[#Totals],[Weight of  steel]]*7.9</f>
        <v>0</v>
      </c>
      <c r="K133" s="149">
        <f>Table13[[#Totals],[Volume of Concrete]]*5700</f>
        <v>0</v>
      </c>
    </row>
    <row r="134" spans="2:11" x14ac:dyDescent="0.25">
      <c r="J134" s="150">
        <f>J133*93000</f>
        <v>0</v>
      </c>
      <c r="K134" s="149">
        <f>K133+J134</f>
        <v>0</v>
      </c>
    </row>
    <row r="135" spans="2:11" x14ac:dyDescent="0.25">
      <c r="J135" s="149"/>
      <c r="K135" s="112" t="e">
        <f>K134/Table13[[#Totals],[Length]]</f>
        <v>#DIV/0!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16"/>
  <sheetViews>
    <sheetView workbookViewId="0">
      <selection activeCell="F18" sqref="F18"/>
    </sheetView>
  </sheetViews>
  <sheetFormatPr defaultRowHeight="15" x14ac:dyDescent="0.25"/>
  <cols>
    <col min="4" max="4" width="100.140625" customWidth="1"/>
  </cols>
  <sheetData>
    <row r="2" spans="3:5" x14ac:dyDescent="0.25">
      <c r="C2" s="49" t="s">
        <v>25</v>
      </c>
      <c r="D2" s="50" t="s">
        <v>179</v>
      </c>
      <c r="E2" s="50" t="s">
        <v>180</v>
      </c>
    </row>
    <row r="3" spans="3:5" ht="45" x14ac:dyDescent="0.25">
      <c r="C3" s="51">
        <v>1</v>
      </c>
      <c r="D3" s="52" t="s">
        <v>181</v>
      </c>
      <c r="E3" s="53"/>
    </row>
    <row r="4" spans="3:5" x14ac:dyDescent="0.25">
      <c r="C4" s="51">
        <v>2</v>
      </c>
      <c r="D4" s="52" t="s">
        <v>182</v>
      </c>
      <c r="E4" s="53"/>
    </row>
    <row r="5" spans="3:5" x14ac:dyDescent="0.25">
      <c r="C5" s="54">
        <v>3</v>
      </c>
      <c r="D5" s="55" t="s">
        <v>183</v>
      </c>
      <c r="E5" s="4"/>
    </row>
    <row r="6" spans="3:5" x14ac:dyDescent="0.25">
      <c r="C6" s="51">
        <v>4</v>
      </c>
      <c r="D6" s="55" t="s">
        <v>184</v>
      </c>
      <c r="E6" s="4"/>
    </row>
    <row r="7" spans="3:5" x14ac:dyDescent="0.25">
      <c r="C7" s="51">
        <v>5</v>
      </c>
      <c r="D7" s="55" t="s">
        <v>185</v>
      </c>
      <c r="E7" s="4"/>
    </row>
    <row r="8" spans="3:5" x14ac:dyDescent="0.25">
      <c r="C8" s="54">
        <v>6</v>
      </c>
      <c r="D8" s="55" t="s">
        <v>186</v>
      </c>
      <c r="E8" s="4"/>
    </row>
    <row r="9" spans="3:5" x14ac:dyDescent="0.25">
      <c r="C9" s="51">
        <v>7</v>
      </c>
      <c r="D9" s="55" t="s">
        <v>187</v>
      </c>
      <c r="E9" s="4"/>
    </row>
    <row r="10" spans="3:5" x14ac:dyDescent="0.25">
      <c r="C10" s="51">
        <v>8</v>
      </c>
      <c r="D10" s="55" t="s">
        <v>188</v>
      </c>
      <c r="E10" s="4"/>
    </row>
    <row r="11" spans="3:5" x14ac:dyDescent="0.25">
      <c r="C11" s="54">
        <v>9</v>
      </c>
      <c r="D11" s="55" t="s">
        <v>189</v>
      </c>
      <c r="E11" s="4"/>
    </row>
    <row r="12" spans="3:5" x14ac:dyDescent="0.25">
      <c r="C12" s="54">
        <v>10</v>
      </c>
      <c r="D12" s="55" t="s">
        <v>190</v>
      </c>
      <c r="E12" s="4"/>
    </row>
    <row r="13" spans="3:5" ht="30" x14ac:dyDescent="0.25">
      <c r="C13" s="51">
        <v>11</v>
      </c>
      <c r="D13" s="55" t="s">
        <v>191</v>
      </c>
      <c r="E13" s="4" t="s">
        <v>192</v>
      </c>
    </row>
    <row r="14" spans="3:5" x14ac:dyDescent="0.25">
      <c r="C14" s="51">
        <v>12</v>
      </c>
      <c r="D14" s="55" t="s">
        <v>193</v>
      </c>
      <c r="E14" s="4"/>
    </row>
    <row r="15" spans="3:5" x14ac:dyDescent="0.25">
      <c r="C15" s="54">
        <v>13</v>
      </c>
      <c r="D15" s="55" t="s">
        <v>194</v>
      </c>
      <c r="E15" s="4"/>
    </row>
    <row r="16" spans="3:5" x14ac:dyDescent="0.25">
      <c r="C16" s="56" t="s">
        <v>195</v>
      </c>
      <c r="D16" s="243" t="s">
        <v>196</v>
      </c>
      <c r="E16" s="244"/>
    </row>
  </sheetData>
  <mergeCells count="1">
    <mergeCell ref="D16:E1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55"/>
  <sheetViews>
    <sheetView workbookViewId="0">
      <selection sqref="A1:XFD1048576"/>
    </sheetView>
  </sheetViews>
  <sheetFormatPr defaultRowHeight="15" x14ac:dyDescent="0.25"/>
  <cols>
    <col min="1" max="1" width="2" style="113" customWidth="1"/>
    <col min="2" max="2" width="12.85546875" style="112" bestFit="1" customWidth="1"/>
    <col min="3" max="3" width="14.42578125" style="147" bestFit="1" customWidth="1"/>
    <col min="4" max="4" width="13.7109375" style="112" bestFit="1" customWidth="1"/>
    <col min="5" max="5" width="16.140625" style="112" customWidth="1"/>
    <col min="6" max="6" width="11.28515625" style="112" hidden="1" customWidth="1"/>
    <col min="7" max="7" width="13.140625" style="112" bestFit="1" customWidth="1"/>
    <col min="8" max="8" width="32" style="112" customWidth="1"/>
    <col min="9" max="9" width="29.85546875" style="112" hidden="1" customWidth="1"/>
    <col min="10" max="10" width="22.140625" style="112" customWidth="1"/>
    <col min="11" max="11" width="25.5703125" style="112" bestFit="1" customWidth="1"/>
    <col min="12" max="18" width="9.140625" style="113"/>
    <col min="19" max="19" width="12.5703125" style="113" bestFit="1" customWidth="1"/>
    <col min="20" max="16384" width="9.140625" style="113"/>
  </cols>
  <sheetData>
    <row r="1" spans="2:19" x14ac:dyDescent="0.25">
      <c r="C1" s="112"/>
    </row>
    <row r="2" spans="2:19" ht="23.25" x14ac:dyDescent="0.25">
      <c r="B2" s="114" t="s">
        <v>794</v>
      </c>
      <c r="C2" s="114"/>
    </row>
    <row r="3" spans="2:19" x14ac:dyDescent="0.25">
      <c r="C3" s="112"/>
    </row>
    <row r="4" spans="2:19" x14ac:dyDescent="0.25">
      <c r="C4" s="112"/>
    </row>
    <row r="5" spans="2:19" ht="15.75" x14ac:dyDescent="0.25">
      <c r="B5" s="115" t="s">
        <v>102</v>
      </c>
      <c r="C5" s="116" t="s">
        <v>517</v>
      </c>
      <c r="D5" s="116" t="s">
        <v>518</v>
      </c>
      <c r="E5" s="116" t="s">
        <v>795</v>
      </c>
      <c r="F5" s="116" t="s">
        <v>520</v>
      </c>
      <c r="G5" s="116" t="s">
        <v>521</v>
      </c>
      <c r="H5" s="117" t="s">
        <v>796</v>
      </c>
      <c r="I5" s="117" t="s">
        <v>797</v>
      </c>
      <c r="J5" s="117" t="s">
        <v>809</v>
      </c>
      <c r="K5" s="118" t="s">
        <v>788</v>
      </c>
    </row>
    <row r="6" spans="2:19" x14ac:dyDescent="0.25">
      <c r="B6" s="119"/>
      <c r="C6" s="120"/>
      <c r="D6" s="121"/>
      <c r="E6" s="121"/>
      <c r="F6" s="121"/>
      <c r="G6" s="121"/>
      <c r="H6" s="121"/>
      <c r="I6" s="121">
        <f>Table134[[#This Row],[Length]]*Table134[[#This Row],[Weight of  steel]]</f>
        <v>0</v>
      </c>
      <c r="J6" s="121"/>
      <c r="K6" s="122"/>
      <c r="N6" s="123" t="s">
        <v>800</v>
      </c>
      <c r="O6" s="123" t="s">
        <v>801</v>
      </c>
      <c r="P6" s="123" t="s">
        <v>802</v>
      </c>
      <c r="Q6" s="123" t="s">
        <v>803</v>
      </c>
      <c r="R6" s="123" t="s">
        <v>810</v>
      </c>
      <c r="S6" s="123" t="s">
        <v>824</v>
      </c>
    </row>
    <row r="7" spans="2:19" x14ac:dyDescent="0.25">
      <c r="B7" s="119">
        <v>1</v>
      </c>
      <c r="C7" s="124" t="s">
        <v>527</v>
      </c>
      <c r="D7" s="121" t="s">
        <v>565</v>
      </c>
      <c r="E7" s="121">
        <f>VLOOKUP(D7,$N$6:$S$15,3,FALSE)</f>
        <v>0.75</v>
      </c>
      <c r="F7" s="121" t="s">
        <v>799</v>
      </c>
      <c r="G7" s="121">
        <f>VLOOKUP(D7,$N$6:$S$15,4,FALSE)</f>
        <v>37.1</v>
      </c>
      <c r="H7" s="121">
        <f t="shared" ref="H7:H58" si="0">3.14*((E7/2)^2)</f>
        <v>0.44156250000000002</v>
      </c>
      <c r="I7" s="121">
        <f>Table134[[#This Row],[Length]]*Table134[[#This Row],[Weight of  steel]]</f>
        <v>9.7243366500000015</v>
      </c>
      <c r="J7" s="121">
        <f>Table134[[#This Row],[Cross sectional area of pile ]]*1.6%*Table134[[#This Row],[Length]]</f>
        <v>0.26211150000000005</v>
      </c>
      <c r="K7" s="122">
        <f>3.14*((Table134[[#This Row],[Diameter ]]/2)^2)*Table134[[#This Row],[Length]]</f>
        <v>16.381968750000002</v>
      </c>
      <c r="N7" s="123" t="s">
        <v>526</v>
      </c>
      <c r="O7" s="123">
        <v>1000</v>
      </c>
      <c r="P7" s="123">
        <f>O7/1000</f>
        <v>1</v>
      </c>
      <c r="Q7" s="123">
        <v>42.1</v>
      </c>
      <c r="R7" s="132">
        <v>4500</v>
      </c>
      <c r="S7" s="123"/>
    </row>
    <row r="8" spans="2:19" x14ac:dyDescent="0.25">
      <c r="B8" s="119">
        <v>2</v>
      </c>
      <c r="C8" s="125" t="s">
        <v>527</v>
      </c>
      <c r="D8" s="121" t="s">
        <v>571</v>
      </c>
      <c r="E8" s="121">
        <f t="shared" ref="E8:E71" si="1">VLOOKUP(D8,$N$6:$S$15,3,FALSE)</f>
        <v>0.75</v>
      </c>
      <c r="F8" s="121" t="s">
        <v>799</v>
      </c>
      <c r="G8" s="121">
        <f t="shared" ref="G8:G58" si="2">VLOOKUP(D8,$N$6:$S$15,4,FALSE)</f>
        <v>37.1</v>
      </c>
      <c r="H8" s="121">
        <f>2*3.14*((E8/2)^2)</f>
        <v>0.88312500000000005</v>
      </c>
      <c r="I8" s="121">
        <f>Table134[[#This Row],[Length]]*Table134[[#This Row],[Weight of  steel]]</f>
        <v>19.448673300000003</v>
      </c>
      <c r="J8" s="121">
        <f>Table134[[#This Row],[Cross sectional area of pile ]]*1.6%*Table134[[#This Row],[Length]]</f>
        <v>0.52422300000000011</v>
      </c>
      <c r="K8" s="122">
        <f>2*3.14*((Table134[[#This Row],[Diameter ]]/2)^2)*Table134[[#This Row],[Length]]</f>
        <v>32.763937500000004</v>
      </c>
      <c r="N8" s="123" t="s">
        <v>565</v>
      </c>
      <c r="O8" s="123">
        <v>750</v>
      </c>
      <c r="P8" s="123">
        <f t="shared" ref="P8:P12" si="3">O8/1000</f>
        <v>0.75</v>
      </c>
      <c r="Q8" s="123">
        <v>37.1</v>
      </c>
      <c r="R8" s="132">
        <v>2700</v>
      </c>
      <c r="S8" s="123"/>
    </row>
    <row r="9" spans="2:19" x14ac:dyDescent="0.25">
      <c r="B9" s="119">
        <v>3</v>
      </c>
      <c r="C9" s="126" t="s">
        <v>527</v>
      </c>
      <c r="D9" s="121" t="s">
        <v>571</v>
      </c>
      <c r="E9" s="121">
        <f t="shared" si="1"/>
        <v>0.75</v>
      </c>
      <c r="F9" s="121" t="s">
        <v>799</v>
      </c>
      <c r="G9" s="121">
        <f t="shared" si="2"/>
        <v>37.1</v>
      </c>
      <c r="H9" s="121">
        <f t="shared" ref="H9:H12" si="4">2*3.14*((E9/2)^2)</f>
        <v>0.88312500000000005</v>
      </c>
      <c r="I9" s="121">
        <f>Table134[[#This Row],[Length]]*Table134[[#This Row],[Weight of  steel]]</f>
        <v>19.448673300000003</v>
      </c>
      <c r="J9" s="121">
        <f>Table134[[#This Row],[Cross sectional area of pile ]]*1.6%*Table134[[#This Row],[Length]]</f>
        <v>0.52422300000000011</v>
      </c>
      <c r="K9" s="122">
        <f>2*3.14*((Table134[[#This Row],[Diameter ]]/2)^2)*Table134[[#This Row],[Length]]</f>
        <v>32.763937500000004</v>
      </c>
      <c r="N9" s="123" t="s">
        <v>568</v>
      </c>
      <c r="O9" s="123">
        <v>1000</v>
      </c>
      <c r="P9" s="123">
        <f t="shared" si="3"/>
        <v>1</v>
      </c>
      <c r="Q9" s="123">
        <v>38.1</v>
      </c>
      <c r="R9" s="132">
        <v>4000</v>
      </c>
      <c r="S9" s="123"/>
    </row>
    <row r="10" spans="2:19" x14ac:dyDescent="0.25">
      <c r="B10" s="119">
        <v>4</v>
      </c>
      <c r="C10" s="127" t="s">
        <v>527</v>
      </c>
      <c r="D10" s="121" t="s">
        <v>571</v>
      </c>
      <c r="E10" s="121">
        <f t="shared" si="1"/>
        <v>0.75</v>
      </c>
      <c r="F10" s="121" t="s">
        <v>799</v>
      </c>
      <c r="G10" s="121">
        <f t="shared" si="2"/>
        <v>37.1</v>
      </c>
      <c r="H10" s="121">
        <f t="shared" si="4"/>
        <v>0.88312500000000005</v>
      </c>
      <c r="I10" s="121">
        <f>Table134[[#This Row],[Length]]*Table134[[#This Row],[Weight of  steel]]</f>
        <v>19.448673300000003</v>
      </c>
      <c r="J10" s="121">
        <f>Table134[[#This Row],[Cross sectional area of pile ]]*1.6%*Table134[[#This Row],[Length]]</f>
        <v>0.52422300000000011</v>
      </c>
      <c r="K10" s="122">
        <f>2*3.14*((Table134[[#This Row],[Diameter ]]/2)^2)*Table134[[#This Row],[Length]]</f>
        <v>32.763937500000004</v>
      </c>
      <c r="N10" s="123" t="s">
        <v>571</v>
      </c>
      <c r="O10" s="123">
        <v>750</v>
      </c>
      <c r="P10" s="123">
        <f t="shared" si="3"/>
        <v>0.75</v>
      </c>
      <c r="Q10" s="123">
        <v>37.1</v>
      </c>
      <c r="R10" s="132">
        <v>2700</v>
      </c>
      <c r="S10" s="123"/>
    </row>
    <row r="11" spans="2:19" x14ac:dyDescent="0.25">
      <c r="B11" s="119">
        <v>5</v>
      </c>
      <c r="C11" s="128" t="s">
        <v>527</v>
      </c>
      <c r="D11" s="121" t="s">
        <v>571</v>
      </c>
      <c r="E11" s="121">
        <f t="shared" si="1"/>
        <v>0.75</v>
      </c>
      <c r="F11" s="121" t="s">
        <v>799</v>
      </c>
      <c r="G11" s="121">
        <f t="shared" si="2"/>
        <v>37.1</v>
      </c>
      <c r="H11" s="121">
        <f t="shared" si="4"/>
        <v>0.88312500000000005</v>
      </c>
      <c r="I11" s="121">
        <f>Table134[[#This Row],[Length]]*Table134[[#This Row],[Weight of  steel]]</f>
        <v>19.448673300000003</v>
      </c>
      <c r="J11" s="121">
        <f>Table134[[#This Row],[Cross sectional area of pile ]]*1.6%*Table134[[#This Row],[Length]]</f>
        <v>0.52422300000000011</v>
      </c>
      <c r="K11" s="122">
        <f>2*3.14*((Table134[[#This Row],[Diameter ]]/2)^2)*Table134[[#This Row],[Length]]</f>
        <v>32.763937500000004</v>
      </c>
      <c r="N11" s="123" t="s">
        <v>825</v>
      </c>
      <c r="O11" s="123">
        <v>1000</v>
      </c>
      <c r="P11" s="123">
        <f t="shared" si="3"/>
        <v>1</v>
      </c>
      <c r="Q11" s="123">
        <v>44.1</v>
      </c>
      <c r="R11" s="132">
        <v>5000</v>
      </c>
      <c r="S11" s="132"/>
    </row>
    <row r="12" spans="2:19" x14ac:dyDescent="0.25">
      <c r="B12" s="119">
        <v>6</v>
      </c>
      <c r="C12" s="129" t="s">
        <v>527</v>
      </c>
      <c r="D12" s="121" t="s">
        <v>571</v>
      </c>
      <c r="E12" s="121">
        <f t="shared" si="1"/>
        <v>0.75</v>
      </c>
      <c r="F12" s="121" t="s">
        <v>799</v>
      </c>
      <c r="G12" s="121">
        <f t="shared" si="2"/>
        <v>37.1</v>
      </c>
      <c r="H12" s="121">
        <f t="shared" si="4"/>
        <v>0.88312500000000005</v>
      </c>
      <c r="I12" s="121">
        <f>Table134[[#This Row],[Length]]*Table134[[#This Row],[Weight of  steel]]</f>
        <v>19.448673300000003</v>
      </c>
      <c r="J12" s="121">
        <f>Table134[[#This Row],[Cross sectional area of pile ]]*1.6%*Table134[[#This Row],[Length]]</f>
        <v>0.52422300000000011</v>
      </c>
      <c r="K12" s="122">
        <f>2*3.14*((Table134[[#This Row],[Diameter ]]/2)^2)*Table134[[#This Row],[Length]]</f>
        <v>32.763937500000004</v>
      </c>
      <c r="N12" s="123" t="s">
        <v>826</v>
      </c>
      <c r="O12" s="123">
        <v>750</v>
      </c>
      <c r="P12" s="123">
        <f t="shared" si="3"/>
        <v>0.75</v>
      </c>
      <c r="Q12" s="123">
        <v>37.1</v>
      </c>
      <c r="R12" s="132">
        <v>2700</v>
      </c>
      <c r="S12" s="132"/>
    </row>
    <row r="13" spans="2:19" x14ac:dyDescent="0.25">
      <c r="B13" s="119">
        <v>7</v>
      </c>
      <c r="C13" s="130" t="s">
        <v>527</v>
      </c>
      <c r="D13" s="121" t="s">
        <v>565</v>
      </c>
      <c r="E13" s="121">
        <f t="shared" si="1"/>
        <v>0.75</v>
      </c>
      <c r="F13" s="121" t="s">
        <v>799</v>
      </c>
      <c r="G13" s="121">
        <f t="shared" si="2"/>
        <v>37.1</v>
      </c>
      <c r="H13" s="121">
        <f t="shared" si="0"/>
        <v>0.44156250000000002</v>
      </c>
      <c r="I13" s="121">
        <f>Table134[[#This Row],[Length]]*Table134[[#This Row],[Weight of  steel]]</f>
        <v>9.7243366500000015</v>
      </c>
      <c r="J13" s="121">
        <f>Table134[[#This Row],[Cross sectional area of pile ]]*1.6%*Table134[[#This Row],[Length]]</f>
        <v>0.26211150000000005</v>
      </c>
      <c r="K13" s="122">
        <f>3.14*((Table134[[#This Row],[Diameter ]]/2)^2)*Table134[[#This Row],[Length]]</f>
        <v>16.381968750000002</v>
      </c>
      <c r="N13" s="123" t="s">
        <v>777</v>
      </c>
      <c r="O13" s="123">
        <v>600</v>
      </c>
      <c r="P13" s="123">
        <f>O13/1000</f>
        <v>0.6</v>
      </c>
      <c r="Q13" s="123">
        <v>11.1</v>
      </c>
      <c r="R13" s="132">
        <v>750</v>
      </c>
      <c r="S13" s="132"/>
    </row>
    <row r="14" spans="2:19" x14ac:dyDescent="0.25">
      <c r="B14" s="119">
        <v>8</v>
      </c>
      <c r="C14" s="153"/>
      <c r="D14" s="121"/>
      <c r="E14" s="121"/>
      <c r="F14" s="121" t="s">
        <v>799</v>
      </c>
      <c r="G14" s="121"/>
      <c r="H14" s="121"/>
      <c r="I14" s="121">
        <f>Table134[[#This Row],[Length]]*Table134[[#This Row],[Weight of  steel]]</f>
        <v>0</v>
      </c>
      <c r="J14" s="121"/>
      <c r="K14" s="122"/>
      <c r="N14" s="123" t="s">
        <v>780</v>
      </c>
      <c r="O14" s="123">
        <v>600</v>
      </c>
      <c r="P14" s="123">
        <f>O14/1000</f>
        <v>0.6</v>
      </c>
      <c r="Q14" s="123">
        <v>11.1</v>
      </c>
      <c r="R14" s="132">
        <v>750</v>
      </c>
      <c r="S14" s="132"/>
    </row>
    <row r="15" spans="2:19" x14ac:dyDescent="0.25">
      <c r="B15" s="119">
        <v>9</v>
      </c>
      <c r="C15" s="154"/>
      <c r="D15" s="121"/>
      <c r="E15" s="121"/>
      <c r="F15" s="121"/>
      <c r="G15" s="121"/>
      <c r="H15" s="121"/>
      <c r="I15" s="121"/>
      <c r="J15" s="121"/>
      <c r="K15" s="122"/>
      <c r="N15" s="123" t="s">
        <v>827</v>
      </c>
      <c r="O15" s="123">
        <v>600</v>
      </c>
      <c r="P15" s="123">
        <f>O15/1000</f>
        <v>0.6</v>
      </c>
      <c r="Q15" s="123">
        <v>11.1</v>
      </c>
      <c r="R15" s="132">
        <v>750</v>
      </c>
      <c r="S15" s="132"/>
    </row>
    <row r="16" spans="2:19" x14ac:dyDescent="0.25">
      <c r="B16" s="119">
        <v>10</v>
      </c>
      <c r="C16" s="124" t="s">
        <v>799</v>
      </c>
      <c r="D16" s="121" t="s">
        <v>526</v>
      </c>
      <c r="E16" s="121">
        <f t="shared" si="1"/>
        <v>1</v>
      </c>
      <c r="F16" s="121" t="s">
        <v>799</v>
      </c>
      <c r="G16" s="121">
        <f t="shared" si="2"/>
        <v>42.1</v>
      </c>
      <c r="H16" s="121">
        <f t="shared" si="0"/>
        <v>0.78500000000000003</v>
      </c>
      <c r="I16" s="121">
        <f>Table134[[#This Row],[Length]]*Table134[[#This Row],[Weight of  steel]]</f>
        <v>22.261469600000002</v>
      </c>
      <c r="J16" s="121">
        <f>Table134[[#This Row],[Cross sectional area of pile ]]*1.6%*Table134[[#This Row],[Length]]</f>
        <v>0.52877600000000002</v>
      </c>
      <c r="K16" s="122">
        <f>3.14*((Table134[[#This Row],[Diameter ]]/2)^2)*Table134[[#This Row],[Length]]</f>
        <v>33.048500000000004</v>
      </c>
    </row>
    <row r="17" spans="2:11" x14ac:dyDescent="0.25">
      <c r="B17" s="119">
        <v>11</v>
      </c>
      <c r="C17" s="125" t="s">
        <v>799</v>
      </c>
      <c r="D17" s="121" t="s">
        <v>825</v>
      </c>
      <c r="E17" s="121">
        <f t="shared" si="1"/>
        <v>1</v>
      </c>
      <c r="F17" s="121" t="s">
        <v>799</v>
      </c>
      <c r="G17" s="121">
        <f t="shared" si="2"/>
        <v>44.1</v>
      </c>
      <c r="H17" s="121">
        <f t="shared" ref="H17:H22" si="5">2*3.14*((E17/2)^2)</f>
        <v>1.57</v>
      </c>
      <c r="I17" s="121">
        <f>Table134[[#This Row],[Length]]*Table134[[#This Row],[Weight of  steel]]</f>
        <v>48.853627200000005</v>
      </c>
      <c r="J17" s="121">
        <f>Table134[[#This Row],[Cross sectional area of pile ]]*1.6%*Table134[[#This Row],[Length]]</f>
        <v>1.1077920000000001</v>
      </c>
      <c r="K17" s="122">
        <f>2*3.14*((Table134[[#This Row],[Diameter ]]/2)^2)*Table134[[#This Row],[Length]]</f>
        <v>69.237000000000009</v>
      </c>
    </row>
    <row r="18" spans="2:11" x14ac:dyDescent="0.25">
      <c r="B18" s="119">
        <v>12</v>
      </c>
      <c r="C18" s="126" t="s">
        <v>799</v>
      </c>
      <c r="D18" s="121" t="s">
        <v>825</v>
      </c>
      <c r="E18" s="121">
        <f t="shared" si="1"/>
        <v>1</v>
      </c>
      <c r="F18" s="121" t="s">
        <v>799</v>
      </c>
      <c r="G18" s="121">
        <f t="shared" si="2"/>
        <v>44.1</v>
      </c>
      <c r="H18" s="121">
        <f t="shared" si="5"/>
        <v>1.57</v>
      </c>
      <c r="I18" s="121">
        <f>Table134[[#This Row],[Length]]*Table134[[#This Row],[Weight of  steel]]</f>
        <v>48.853627200000005</v>
      </c>
      <c r="J18" s="121">
        <f>Table134[[#This Row],[Cross sectional area of pile ]]*1.6%*Table134[[#This Row],[Length]]</f>
        <v>1.1077920000000001</v>
      </c>
      <c r="K18" s="122">
        <f>2*3.14*((Table134[[#This Row],[Diameter ]]/2)^2)*Table134[[#This Row],[Length]]</f>
        <v>69.237000000000009</v>
      </c>
    </row>
    <row r="19" spans="2:11" x14ac:dyDescent="0.25">
      <c r="B19" s="119">
        <v>13</v>
      </c>
      <c r="C19" s="127" t="s">
        <v>799</v>
      </c>
      <c r="D19" s="121" t="s">
        <v>825</v>
      </c>
      <c r="E19" s="121">
        <f t="shared" si="1"/>
        <v>1</v>
      </c>
      <c r="F19" s="121" t="s">
        <v>799</v>
      </c>
      <c r="G19" s="121">
        <f t="shared" si="2"/>
        <v>44.1</v>
      </c>
      <c r="H19" s="121">
        <f t="shared" si="5"/>
        <v>1.57</v>
      </c>
      <c r="I19" s="121">
        <f>Table134[[#This Row],[Length]]*Table134[[#This Row],[Weight of  steel]]</f>
        <v>48.853627200000005</v>
      </c>
      <c r="J19" s="121">
        <f>Table134[[#This Row],[Cross sectional area of pile ]]*1.6%*Table134[[#This Row],[Length]]</f>
        <v>1.1077920000000001</v>
      </c>
      <c r="K19" s="122">
        <f>2*3.14*((Table134[[#This Row],[Diameter ]]/2)^2)*Table134[[#This Row],[Length]]</f>
        <v>69.237000000000009</v>
      </c>
    </row>
    <row r="20" spans="2:11" x14ac:dyDescent="0.25">
      <c r="B20" s="119">
        <v>14</v>
      </c>
      <c r="C20" s="128" t="s">
        <v>799</v>
      </c>
      <c r="D20" s="121" t="s">
        <v>825</v>
      </c>
      <c r="E20" s="121">
        <f t="shared" si="1"/>
        <v>1</v>
      </c>
      <c r="F20" s="121" t="s">
        <v>799</v>
      </c>
      <c r="G20" s="121">
        <f t="shared" si="2"/>
        <v>44.1</v>
      </c>
      <c r="H20" s="121">
        <f t="shared" si="5"/>
        <v>1.57</v>
      </c>
      <c r="I20" s="121">
        <f>Table134[[#This Row],[Length]]*Table134[[#This Row],[Weight of  steel]]</f>
        <v>48.853627200000005</v>
      </c>
      <c r="J20" s="121">
        <f>Table134[[#This Row],[Cross sectional area of pile ]]*1.6%*Table134[[#This Row],[Length]]</f>
        <v>1.1077920000000001</v>
      </c>
      <c r="K20" s="122">
        <f>2*3.14*((Table134[[#This Row],[Diameter ]]/2)^2)*Table134[[#This Row],[Length]]</f>
        <v>69.237000000000009</v>
      </c>
    </row>
    <row r="21" spans="2:11" x14ac:dyDescent="0.25">
      <c r="B21" s="119">
        <v>15</v>
      </c>
      <c r="C21" s="129" t="s">
        <v>799</v>
      </c>
      <c r="D21" s="121" t="s">
        <v>825</v>
      </c>
      <c r="E21" s="121">
        <f t="shared" si="1"/>
        <v>1</v>
      </c>
      <c r="F21" s="121" t="s">
        <v>799</v>
      </c>
      <c r="G21" s="121">
        <f t="shared" si="2"/>
        <v>44.1</v>
      </c>
      <c r="H21" s="121">
        <f t="shared" si="5"/>
        <v>1.57</v>
      </c>
      <c r="I21" s="121">
        <f>Table134[[#This Row],[Length]]*Table134[[#This Row],[Weight of  steel]]</f>
        <v>48.853627200000005</v>
      </c>
      <c r="J21" s="121">
        <f>Table134[[#This Row],[Cross sectional area of pile ]]*1.6%*Table134[[#This Row],[Length]]</f>
        <v>1.1077920000000001</v>
      </c>
      <c r="K21" s="122">
        <f>2*3.14*((Table134[[#This Row],[Diameter ]]/2)^2)*Table134[[#This Row],[Length]]</f>
        <v>69.237000000000009</v>
      </c>
    </row>
    <row r="22" spans="2:11" x14ac:dyDescent="0.25">
      <c r="B22" s="119">
        <v>16</v>
      </c>
      <c r="C22" s="130" t="s">
        <v>799</v>
      </c>
      <c r="D22" s="121" t="s">
        <v>571</v>
      </c>
      <c r="E22" s="121">
        <f t="shared" si="1"/>
        <v>0.75</v>
      </c>
      <c r="F22" s="121" t="s">
        <v>799</v>
      </c>
      <c r="G22" s="121">
        <f t="shared" si="2"/>
        <v>37.1</v>
      </c>
      <c r="H22" s="121">
        <f t="shared" si="5"/>
        <v>0.88312500000000005</v>
      </c>
      <c r="I22" s="121">
        <f>Table134[[#This Row],[Length]]*Table134[[#This Row],[Weight of  steel]]</f>
        <v>19.448673300000003</v>
      </c>
      <c r="J22" s="121">
        <f>Table134[[#This Row],[Cross sectional area of pile ]]*1.6%*Table134[[#This Row],[Length]]</f>
        <v>0.52422300000000011</v>
      </c>
      <c r="K22" s="122">
        <f>2*3.14*((Table134[[#This Row],[Diameter ]]/2)^2)*Table134[[#This Row],[Length]]</f>
        <v>32.763937500000004</v>
      </c>
    </row>
    <row r="23" spans="2:11" x14ac:dyDescent="0.25">
      <c r="B23" s="119">
        <v>17</v>
      </c>
      <c r="C23" s="153"/>
      <c r="D23" s="121"/>
      <c r="E23" s="121"/>
      <c r="F23" s="121"/>
      <c r="G23" s="121"/>
      <c r="H23" s="121"/>
      <c r="I23" s="121"/>
      <c r="J23" s="121"/>
      <c r="K23" s="122"/>
    </row>
    <row r="24" spans="2:11" x14ac:dyDescent="0.25">
      <c r="B24" s="119">
        <v>18</v>
      </c>
      <c r="C24" s="120"/>
      <c r="D24" s="121"/>
      <c r="E24" s="121"/>
      <c r="F24" s="121"/>
      <c r="G24" s="121"/>
      <c r="H24" s="121"/>
      <c r="I24" s="121">
        <f>Table134[[#This Row],[Length]]*Table134[[#This Row],[Weight of  steel]]</f>
        <v>0</v>
      </c>
      <c r="J24" s="121"/>
      <c r="K24" s="122"/>
    </row>
    <row r="25" spans="2:11" x14ac:dyDescent="0.25">
      <c r="B25" s="119">
        <v>19</v>
      </c>
      <c r="C25" s="124" t="s">
        <v>805</v>
      </c>
      <c r="D25" s="121" t="s">
        <v>526</v>
      </c>
      <c r="E25" s="121">
        <f t="shared" si="1"/>
        <v>1</v>
      </c>
      <c r="F25" s="121" t="s">
        <v>799</v>
      </c>
      <c r="G25" s="121">
        <f t="shared" si="2"/>
        <v>42.1</v>
      </c>
      <c r="H25" s="121">
        <f t="shared" si="0"/>
        <v>0.78500000000000003</v>
      </c>
      <c r="I25" s="121">
        <f>Table134[[#This Row],[Length]]*Table134[[#This Row],[Weight of  steel]]</f>
        <v>22.261469600000002</v>
      </c>
      <c r="J25" s="121">
        <f>Table134[[#This Row],[Cross sectional area of pile ]]*1.6%*Table134[[#This Row],[Length]]</f>
        <v>0.52877600000000002</v>
      </c>
      <c r="K25" s="122">
        <f>3.14*((Table134[[#This Row],[Diameter ]]/2)^2)*Table134[[#This Row],[Length]]</f>
        <v>33.048500000000004</v>
      </c>
    </row>
    <row r="26" spans="2:11" x14ac:dyDescent="0.25">
      <c r="B26" s="119">
        <v>20</v>
      </c>
      <c r="C26" s="125" t="s">
        <v>805</v>
      </c>
      <c r="D26" s="121" t="s">
        <v>825</v>
      </c>
      <c r="E26" s="121">
        <f t="shared" si="1"/>
        <v>1</v>
      </c>
      <c r="F26" s="121" t="s">
        <v>799</v>
      </c>
      <c r="G26" s="121">
        <f t="shared" si="2"/>
        <v>44.1</v>
      </c>
      <c r="H26" s="121">
        <f t="shared" ref="H26:H31" si="6">2*3.14*((E26/2)^2)</f>
        <v>1.57</v>
      </c>
      <c r="I26" s="121">
        <f>Table134[[#This Row],[Length]]*Table134[[#This Row],[Weight of  steel]]</f>
        <v>48.853627200000005</v>
      </c>
      <c r="J26" s="121">
        <f>Table134[[#This Row],[Cross sectional area of pile ]]*1.6%*Table134[[#This Row],[Length]]</f>
        <v>1.1077920000000001</v>
      </c>
      <c r="K26" s="122">
        <f>2*3.14*((Table134[[#This Row],[Diameter ]]/2)^2)*Table134[[#This Row],[Length]]</f>
        <v>69.237000000000009</v>
      </c>
    </row>
    <row r="27" spans="2:11" x14ac:dyDescent="0.25">
      <c r="B27" s="119">
        <v>21</v>
      </c>
      <c r="C27" s="126" t="s">
        <v>805</v>
      </c>
      <c r="D27" s="121" t="s">
        <v>825</v>
      </c>
      <c r="E27" s="121">
        <f t="shared" si="1"/>
        <v>1</v>
      </c>
      <c r="F27" s="121" t="s">
        <v>799</v>
      </c>
      <c r="G27" s="121">
        <f t="shared" si="2"/>
        <v>44.1</v>
      </c>
      <c r="H27" s="121">
        <f t="shared" si="6"/>
        <v>1.57</v>
      </c>
      <c r="I27" s="121">
        <f>Table134[[#This Row],[Length]]*Table134[[#This Row],[Weight of  steel]]</f>
        <v>48.853627200000005</v>
      </c>
      <c r="J27" s="121">
        <f>Table134[[#This Row],[Cross sectional area of pile ]]*1.6%*Table134[[#This Row],[Length]]</f>
        <v>1.1077920000000001</v>
      </c>
      <c r="K27" s="122">
        <f>2*3.14*((Table134[[#This Row],[Diameter ]]/2)^2)*Table134[[#This Row],[Length]]</f>
        <v>69.237000000000009</v>
      </c>
    </row>
    <row r="28" spans="2:11" x14ac:dyDescent="0.25">
      <c r="B28" s="119">
        <v>22</v>
      </c>
      <c r="C28" s="127" t="s">
        <v>805</v>
      </c>
      <c r="D28" s="121" t="s">
        <v>825</v>
      </c>
      <c r="E28" s="121">
        <f t="shared" si="1"/>
        <v>1</v>
      </c>
      <c r="F28" s="121" t="s">
        <v>799</v>
      </c>
      <c r="G28" s="121">
        <f t="shared" si="2"/>
        <v>44.1</v>
      </c>
      <c r="H28" s="121">
        <f t="shared" si="6"/>
        <v>1.57</v>
      </c>
      <c r="I28" s="121">
        <f>Table134[[#This Row],[Length]]*Table134[[#This Row],[Weight of  steel]]</f>
        <v>48.853627200000005</v>
      </c>
      <c r="J28" s="121">
        <f>Table134[[#This Row],[Cross sectional area of pile ]]*1.6%*Table134[[#This Row],[Length]]</f>
        <v>1.1077920000000001</v>
      </c>
      <c r="K28" s="122">
        <f>2*3.14*((Table134[[#This Row],[Diameter ]]/2)^2)*Table134[[#This Row],[Length]]</f>
        <v>69.237000000000009</v>
      </c>
    </row>
    <row r="29" spans="2:11" x14ac:dyDescent="0.25">
      <c r="B29" s="119">
        <v>23</v>
      </c>
      <c r="C29" s="128" t="s">
        <v>805</v>
      </c>
      <c r="D29" s="121" t="s">
        <v>825</v>
      </c>
      <c r="E29" s="121">
        <f t="shared" si="1"/>
        <v>1</v>
      </c>
      <c r="F29" s="121" t="s">
        <v>799</v>
      </c>
      <c r="G29" s="121">
        <f t="shared" si="2"/>
        <v>44.1</v>
      </c>
      <c r="H29" s="121">
        <f t="shared" si="6"/>
        <v>1.57</v>
      </c>
      <c r="I29" s="121">
        <f>Table134[[#This Row],[Length]]*Table134[[#This Row],[Weight of  steel]]</f>
        <v>48.853627200000005</v>
      </c>
      <c r="J29" s="121">
        <f>Table134[[#This Row],[Cross sectional area of pile ]]*1.6%*Table134[[#This Row],[Length]]</f>
        <v>1.1077920000000001</v>
      </c>
      <c r="K29" s="122">
        <f>2*3.14*((Table134[[#This Row],[Diameter ]]/2)^2)*Table134[[#This Row],[Length]]</f>
        <v>69.237000000000009</v>
      </c>
    </row>
    <row r="30" spans="2:11" x14ac:dyDescent="0.25">
      <c r="B30" s="119">
        <v>24</v>
      </c>
      <c r="C30" s="129" t="s">
        <v>805</v>
      </c>
      <c r="D30" s="121" t="s">
        <v>825</v>
      </c>
      <c r="E30" s="121">
        <f t="shared" si="1"/>
        <v>1</v>
      </c>
      <c r="F30" s="121" t="s">
        <v>799</v>
      </c>
      <c r="G30" s="121">
        <f t="shared" si="2"/>
        <v>44.1</v>
      </c>
      <c r="H30" s="121">
        <f t="shared" si="6"/>
        <v>1.57</v>
      </c>
      <c r="I30" s="121">
        <f>Table134[[#This Row],[Length]]*Table134[[#This Row],[Weight of  steel]]</f>
        <v>48.853627200000005</v>
      </c>
      <c r="J30" s="121">
        <f>Table134[[#This Row],[Cross sectional area of pile ]]*1.6%*Table134[[#This Row],[Length]]</f>
        <v>1.1077920000000001</v>
      </c>
      <c r="K30" s="122">
        <f>2*3.14*((Table134[[#This Row],[Diameter ]]/2)^2)*Table134[[#This Row],[Length]]</f>
        <v>69.237000000000009</v>
      </c>
    </row>
    <row r="31" spans="2:11" x14ac:dyDescent="0.25">
      <c r="B31" s="119">
        <v>25</v>
      </c>
      <c r="C31" s="130" t="s">
        <v>805</v>
      </c>
      <c r="D31" s="121" t="s">
        <v>571</v>
      </c>
      <c r="E31" s="121">
        <f t="shared" si="1"/>
        <v>0.75</v>
      </c>
      <c r="F31" s="121" t="s">
        <v>799</v>
      </c>
      <c r="G31" s="121">
        <f t="shared" si="2"/>
        <v>37.1</v>
      </c>
      <c r="H31" s="121">
        <f t="shared" si="6"/>
        <v>0.88312500000000005</v>
      </c>
      <c r="I31" s="121">
        <f>Table134[[#This Row],[Length]]*Table134[[#This Row],[Weight of  steel]]</f>
        <v>19.448673300000003</v>
      </c>
      <c r="J31" s="121">
        <f>Table134[[#This Row],[Cross sectional area of pile ]]*1.6%*Table134[[#This Row],[Length]]</f>
        <v>0.52422300000000011</v>
      </c>
      <c r="K31" s="122">
        <f>2*3.14*((Table134[[#This Row],[Diameter ]]/2)^2)*Table134[[#This Row],[Length]]</f>
        <v>32.763937500000004</v>
      </c>
    </row>
    <row r="32" spans="2:11" x14ac:dyDescent="0.25">
      <c r="B32" s="119">
        <v>26</v>
      </c>
      <c r="C32" s="153"/>
      <c r="D32" s="121"/>
      <c r="E32" s="121"/>
      <c r="F32" s="121"/>
      <c r="G32" s="121"/>
      <c r="H32" s="121"/>
      <c r="I32" s="121">
        <f>Table134[[#This Row],[Length]]*Table134[[#This Row],[Weight of  steel]]</f>
        <v>0</v>
      </c>
      <c r="J32" s="121"/>
      <c r="K32" s="122"/>
    </row>
    <row r="33" spans="2:16" x14ac:dyDescent="0.25">
      <c r="B33" s="119">
        <v>27</v>
      </c>
      <c r="C33" s="153"/>
      <c r="D33" s="121"/>
      <c r="E33" s="121"/>
      <c r="F33" s="121"/>
      <c r="G33" s="121"/>
      <c r="H33" s="121"/>
      <c r="I33" s="121"/>
      <c r="J33" s="121"/>
      <c r="K33" s="122"/>
    </row>
    <row r="34" spans="2:16" x14ac:dyDescent="0.25">
      <c r="B34" s="119">
        <v>28</v>
      </c>
      <c r="C34" s="124" t="s">
        <v>806</v>
      </c>
      <c r="D34" s="121" t="s">
        <v>526</v>
      </c>
      <c r="E34" s="121">
        <f t="shared" si="1"/>
        <v>1</v>
      </c>
      <c r="F34" s="121" t="s">
        <v>799</v>
      </c>
      <c r="G34" s="121">
        <f t="shared" si="2"/>
        <v>42.1</v>
      </c>
      <c r="H34" s="121">
        <f t="shared" si="0"/>
        <v>0.78500000000000003</v>
      </c>
      <c r="I34" s="121">
        <f>Table134[[#This Row],[Length]]*Table134[[#This Row],[Weight of  steel]]</f>
        <v>22.261469600000002</v>
      </c>
      <c r="J34" s="121">
        <f>Table134[[#This Row],[Cross sectional area of pile ]]*1.6%*Table134[[#This Row],[Length]]</f>
        <v>0.52877600000000002</v>
      </c>
      <c r="K34" s="122">
        <f>3.14*((Table134[[#This Row],[Diameter ]]/2)^2)*Table134[[#This Row],[Length]]</f>
        <v>33.048500000000004</v>
      </c>
    </row>
    <row r="35" spans="2:16" x14ac:dyDescent="0.25">
      <c r="B35" s="119">
        <v>29</v>
      </c>
      <c r="C35" s="125" t="s">
        <v>806</v>
      </c>
      <c r="D35" s="121" t="s">
        <v>568</v>
      </c>
      <c r="E35" s="121">
        <f t="shared" si="1"/>
        <v>1</v>
      </c>
      <c r="F35" s="121" t="s">
        <v>799</v>
      </c>
      <c r="G35" s="121">
        <f t="shared" si="2"/>
        <v>38.1</v>
      </c>
      <c r="H35" s="121">
        <f t="shared" ref="H35:H40" si="7">2*3.14*((E35/2)^2)</f>
        <v>1.57</v>
      </c>
      <c r="I35" s="121">
        <f>Table134[[#This Row],[Length]]*Table134[[#This Row],[Weight of  steel]]</f>
        <v>36.464443200000005</v>
      </c>
      <c r="J35" s="121">
        <f>Table134[[#This Row],[Cross sectional area of pile ]]*1.6%*Table134[[#This Row],[Length]]</f>
        <v>0.95707200000000003</v>
      </c>
      <c r="K35" s="122">
        <f>2*3.14*((Table134[[#This Row],[Diameter ]]/2)^2)*Table134[[#This Row],[Length]]</f>
        <v>59.817000000000007</v>
      </c>
    </row>
    <row r="36" spans="2:16" x14ac:dyDescent="0.25">
      <c r="B36" s="119">
        <v>30</v>
      </c>
      <c r="C36" s="126" t="s">
        <v>806</v>
      </c>
      <c r="D36" s="121" t="s">
        <v>568</v>
      </c>
      <c r="E36" s="121">
        <f t="shared" si="1"/>
        <v>1</v>
      </c>
      <c r="F36" s="121" t="s">
        <v>799</v>
      </c>
      <c r="G36" s="121">
        <f t="shared" si="2"/>
        <v>38.1</v>
      </c>
      <c r="H36" s="121">
        <f t="shared" si="7"/>
        <v>1.57</v>
      </c>
      <c r="I36" s="121">
        <f>Table134[[#This Row],[Length]]*Table134[[#This Row],[Weight of  steel]]</f>
        <v>36.464443200000005</v>
      </c>
      <c r="J36" s="121">
        <f>Table134[[#This Row],[Cross sectional area of pile ]]*1.6%*Table134[[#This Row],[Length]]</f>
        <v>0.95707200000000003</v>
      </c>
      <c r="K36" s="122">
        <f>2*3.14*((Table134[[#This Row],[Diameter ]]/2)^2)*Table134[[#This Row],[Length]]</f>
        <v>59.817000000000007</v>
      </c>
    </row>
    <row r="37" spans="2:16" x14ac:dyDescent="0.25">
      <c r="B37" s="119">
        <v>31</v>
      </c>
      <c r="C37" s="127" t="s">
        <v>806</v>
      </c>
      <c r="D37" s="121" t="s">
        <v>568</v>
      </c>
      <c r="E37" s="121">
        <f t="shared" si="1"/>
        <v>1</v>
      </c>
      <c r="F37" s="121" t="s">
        <v>799</v>
      </c>
      <c r="G37" s="121">
        <f t="shared" si="2"/>
        <v>38.1</v>
      </c>
      <c r="H37" s="121">
        <f t="shared" si="7"/>
        <v>1.57</v>
      </c>
      <c r="I37" s="121">
        <f>Table134[[#This Row],[Length]]*Table134[[#This Row],[Weight of  steel]]</f>
        <v>36.464443200000005</v>
      </c>
      <c r="J37" s="121">
        <f>Table134[[#This Row],[Cross sectional area of pile ]]*1.6%*Table134[[#This Row],[Length]]</f>
        <v>0.95707200000000003</v>
      </c>
      <c r="K37" s="122">
        <f>2*3.14*((Table134[[#This Row],[Diameter ]]/2)^2)*Table134[[#This Row],[Length]]</f>
        <v>59.817000000000007</v>
      </c>
    </row>
    <row r="38" spans="2:16" x14ac:dyDescent="0.25">
      <c r="B38" s="119">
        <v>32</v>
      </c>
      <c r="C38" s="128" t="s">
        <v>806</v>
      </c>
      <c r="D38" s="121" t="s">
        <v>568</v>
      </c>
      <c r="E38" s="121">
        <f t="shared" si="1"/>
        <v>1</v>
      </c>
      <c r="F38" s="121" t="s">
        <v>799</v>
      </c>
      <c r="G38" s="121">
        <f t="shared" si="2"/>
        <v>38.1</v>
      </c>
      <c r="H38" s="121">
        <f t="shared" si="7"/>
        <v>1.57</v>
      </c>
      <c r="I38" s="121">
        <f>Table134[[#This Row],[Length]]*Table134[[#This Row],[Weight of  steel]]</f>
        <v>36.464443200000005</v>
      </c>
      <c r="J38" s="121">
        <f>Table134[[#This Row],[Cross sectional area of pile ]]*1.6%*Table134[[#This Row],[Length]]</f>
        <v>0.95707200000000003</v>
      </c>
      <c r="K38" s="122">
        <f>2*3.14*((Table134[[#This Row],[Diameter ]]/2)^2)*Table134[[#This Row],[Length]]</f>
        <v>59.817000000000007</v>
      </c>
    </row>
    <row r="39" spans="2:16" x14ac:dyDescent="0.25">
      <c r="B39" s="119">
        <v>33</v>
      </c>
      <c r="C39" s="129" t="s">
        <v>806</v>
      </c>
      <c r="D39" s="121" t="s">
        <v>568</v>
      </c>
      <c r="E39" s="121">
        <f t="shared" si="1"/>
        <v>1</v>
      </c>
      <c r="F39" s="121" t="s">
        <v>799</v>
      </c>
      <c r="G39" s="121">
        <f t="shared" si="2"/>
        <v>38.1</v>
      </c>
      <c r="H39" s="121">
        <f t="shared" si="7"/>
        <v>1.57</v>
      </c>
      <c r="I39" s="121">
        <f>Table134[[#This Row],[Length]]*Table134[[#This Row],[Weight of  steel]]</f>
        <v>36.464443200000005</v>
      </c>
      <c r="J39" s="121">
        <f>Table134[[#This Row],[Cross sectional area of pile ]]*1.6%*Table134[[#This Row],[Length]]</f>
        <v>0.95707200000000003</v>
      </c>
      <c r="K39" s="122">
        <f>2*3.14*((Table134[[#This Row],[Diameter ]]/2)^2)*Table134[[#This Row],[Length]]</f>
        <v>59.817000000000007</v>
      </c>
    </row>
    <row r="40" spans="2:16" x14ac:dyDescent="0.25">
      <c r="B40" s="119">
        <v>34</v>
      </c>
      <c r="C40" s="130" t="s">
        <v>806</v>
      </c>
      <c r="D40" s="121" t="s">
        <v>571</v>
      </c>
      <c r="E40" s="121">
        <f t="shared" si="1"/>
        <v>0.75</v>
      </c>
      <c r="F40" s="121" t="s">
        <v>799</v>
      </c>
      <c r="G40" s="121">
        <f t="shared" si="2"/>
        <v>37.1</v>
      </c>
      <c r="H40" s="121">
        <f t="shared" si="7"/>
        <v>0.88312500000000005</v>
      </c>
      <c r="I40" s="121">
        <f>Table134[[#This Row],[Length]]*Table134[[#This Row],[Weight of  steel]]</f>
        <v>19.448673300000003</v>
      </c>
      <c r="J40" s="121">
        <f>Table134[[#This Row],[Cross sectional area of pile ]]*1.6%*Table134[[#This Row],[Length]]</f>
        <v>0.52422300000000011</v>
      </c>
      <c r="K40" s="122">
        <f>2*3.14*((Table134[[#This Row],[Diameter ]]/2)^2)*Table134[[#This Row],[Length]]</f>
        <v>32.763937500000004</v>
      </c>
      <c r="P40" s="113" t="s">
        <v>527</v>
      </c>
    </row>
    <row r="41" spans="2:16" x14ac:dyDescent="0.25">
      <c r="B41" s="119">
        <v>35</v>
      </c>
      <c r="C41" s="153"/>
      <c r="D41" s="121"/>
      <c r="E41" s="121"/>
      <c r="F41" s="121"/>
      <c r="G41" s="121"/>
      <c r="H41" s="121"/>
      <c r="I41" s="121">
        <f>Table134[[#This Row],[Length]]*Table134[[#This Row],[Weight of  steel]]</f>
        <v>0</v>
      </c>
      <c r="J41" s="121"/>
      <c r="K41" s="122"/>
      <c r="P41" s="113" t="s">
        <v>799</v>
      </c>
    </row>
    <row r="42" spans="2:16" x14ac:dyDescent="0.25">
      <c r="B42" s="119">
        <v>36</v>
      </c>
      <c r="C42" s="153"/>
      <c r="D42" s="121"/>
      <c r="E42" s="121"/>
      <c r="F42" s="121"/>
      <c r="G42" s="121"/>
      <c r="H42" s="121"/>
      <c r="I42" s="121"/>
      <c r="J42" s="121"/>
      <c r="K42" s="122"/>
      <c r="P42" s="113" t="s">
        <v>805</v>
      </c>
    </row>
    <row r="43" spans="2:16" x14ac:dyDescent="0.25">
      <c r="B43" s="119">
        <v>37</v>
      </c>
      <c r="C43" s="124" t="s">
        <v>807</v>
      </c>
      <c r="D43" s="121" t="s">
        <v>526</v>
      </c>
      <c r="E43" s="121">
        <f t="shared" si="1"/>
        <v>1</v>
      </c>
      <c r="F43" s="121" t="s">
        <v>799</v>
      </c>
      <c r="G43" s="121">
        <f t="shared" si="2"/>
        <v>42.1</v>
      </c>
      <c r="H43" s="121">
        <f t="shared" si="0"/>
        <v>0.78500000000000003</v>
      </c>
      <c r="I43" s="121">
        <f>Table134[[#This Row],[Length]]*Table134[[#This Row],[Weight of  steel]]</f>
        <v>22.261469600000002</v>
      </c>
      <c r="J43" s="121">
        <f>Table134[[#This Row],[Cross sectional area of pile ]]*1.6%*Table134[[#This Row],[Length]]</f>
        <v>0.52877600000000002</v>
      </c>
      <c r="K43" s="122">
        <f>3.14*((Table134[[#This Row],[Diameter ]]/2)^2)*Table134[[#This Row],[Length]]</f>
        <v>33.048500000000004</v>
      </c>
      <c r="P43" s="113" t="s">
        <v>806</v>
      </c>
    </row>
    <row r="44" spans="2:16" x14ac:dyDescent="0.25">
      <c r="B44" s="119">
        <v>38</v>
      </c>
      <c r="C44" s="125" t="s">
        <v>807</v>
      </c>
      <c r="D44" s="121" t="s">
        <v>568</v>
      </c>
      <c r="E44" s="121">
        <f t="shared" si="1"/>
        <v>1</v>
      </c>
      <c r="F44" s="121" t="s">
        <v>799</v>
      </c>
      <c r="G44" s="121">
        <f t="shared" si="2"/>
        <v>38.1</v>
      </c>
      <c r="H44" s="121">
        <f t="shared" ref="H44:H49" si="8">2*3.14*((E44/2)^2)</f>
        <v>1.57</v>
      </c>
      <c r="I44" s="121">
        <f>Table134[[#This Row],[Length]]*Table134[[#This Row],[Weight of  steel]]</f>
        <v>36.464443200000005</v>
      </c>
      <c r="J44" s="121">
        <f>Table134[[#This Row],[Cross sectional area of pile ]]*1.6%*Table134[[#This Row],[Length]]</f>
        <v>0.95707200000000003</v>
      </c>
      <c r="K44" s="122">
        <f>2*3.14*((Table134[[#This Row],[Diameter ]]/2)^2)*Table134[[#This Row],[Length]]</f>
        <v>59.817000000000007</v>
      </c>
      <c r="P44" s="113" t="s">
        <v>807</v>
      </c>
    </row>
    <row r="45" spans="2:16" x14ac:dyDescent="0.25">
      <c r="B45" s="119">
        <v>39</v>
      </c>
      <c r="C45" s="126" t="s">
        <v>807</v>
      </c>
      <c r="D45" s="121" t="s">
        <v>568</v>
      </c>
      <c r="E45" s="121">
        <f t="shared" si="1"/>
        <v>1</v>
      </c>
      <c r="F45" s="121" t="s">
        <v>799</v>
      </c>
      <c r="G45" s="121">
        <f t="shared" si="2"/>
        <v>38.1</v>
      </c>
      <c r="H45" s="121">
        <f t="shared" si="8"/>
        <v>1.57</v>
      </c>
      <c r="I45" s="121">
        <f>Table134[[#This Row],[Length]]*Table134[[#This Row],[Weight of  steel]]</f>
        <v>36.464443200000005</v>
      </c>
      <c r="J45" s="121">
        <f>Table134[[#This Row],[Cross sectional area of pile ]]*1.6%*Table134[[#This Row],[Length]]</f>
        <v>0.95707200000000003</v>
      </c>
      <c r="K45" s="122">
        <f>2*3.14*((Table134[[#This Row],[Diameter ]]/2)^2)*Table134[[#This Row],[Length]]</f>
        <v>59.817000000000007</v>
      </c>
      <c r="P45" s="113" t="s">
        <v>808</v>
      </c>
    </row>
    <row r="46" spans="2:16" x14ac:dyDescent="0.25">
      <c r="B46" s="119">
        <v>40</v>
      </c>
      <c r="C46" s="127" t="s">
        <v>807</v>
      </c>
      <c r="D46" s="121" t="s">
        <v>568</v>
      </c>
      <c r="E46" s="121">
        <f t="shared" si="1"/>
        <v>1</v>
      </c>
      <c r="F46" s="121" t="s">
        <v>799</v>
      </c>
      <c r="G46" s="121">
        <f t="shared" si="2"/>
        <v>38.1</v>
      </c>
      <c r="H46" s="121">
        <f t="shared" si="8"/>
        <v>1.57</v>
      </c>
      <c r="I46" s="121">
        <f>Table134[[#This Row],[Length]]*Table134[[#This Row],[Weight of  steel]]</f>
        <v>36.464443200000005</v>
      </c>
      <c r="J46" s="121">
        <f>Table134[[#This Row],[Cross sectional area of pile ]]*1.6%*Table134[[#This Row],[Length]]</f>
        <v>0.95707200000000003</v>
      </c>
      <c r="K46" s="122">
        <f>2*3.14*((Table134[[#This Row],[Diameter ]]/2)^2)*Table134[[#This Row],[Length]]</f>
        <v>59.817000000000007</v>
      </c>
    </row>
    <row r="47" spans="2:16" x14ac:dyDescent="0.25">
      <c r="B47" s="119">
        <v>41</v>
      </c>
      <c r="C47" s="128" t="s">
        <v>807</v>
      </c>
      <c r="D47" s="121" t="s">
        <v>568</v>
      </c>
      <c r="E47" s="121">
        <f t="shared" si="1"/>
        <v>1</v>
      </c>
      <c r="F47" s="121" t="s">
        <v>799</v>
      </c>
      <c r="G47" s="121">
        <f t="shared" si="2"/>
        <v>38.1</v>
      </c>
      <c r="H47" s="121">
        <f t="shared" si="8"/>
        <v>1.57</v>
      </c>
      <c r="I47" s="121">
        <f>Table134[[#This Row],[Length]]*Table134[[#This Row],[Weight of  steel]]</f>
        <v>36.464443200000005</v>
      </c>
      <c r="J47" s="121">
        <f>Table134[[#This Row],[Cross sectional area of pile ]]*1.6%*Table134[[#This Row],[Length]]</f>
        <v>0.95707200000000003</v>
      </c>
      <c r="K47" s="122">
        <f>2*3.14*((Table134[[#This Row],[Diameter ]]/2)^2)*Table134[[#This Row],[Length]]</f>
        <v>59.817000000000007</v>
      </c>
    </row>
    <row r="48" spans="2:16" x14ac:dyDescent="0.25">
      <c r="B48" s="119">
        <v>42</v>
      </c>
      <c r="C48" s="129" t="s">
        <v>807</v>
      </c>
      <c r="D48" s="121" t="s">
        <v>568</v>
      </c>
      <c r="E48" s="121">
        <f t="shared" si="1"/>
        <v>1</v>
      </c>
      <c r="F48" s="121" t="s">
        <v>799</v>
      </c>
      <c r="G48" s="121">
        <f t="shared" si="2"/>
        <v>38.1</v>
      </c>
      <c r="H48" s="121">
        <f t="shared" si="8"/>
        <v>1.57</v>
      </c>
      <c r="I48" s="121">
        <f>Table134[[#This Row],[Length]]*Table134[[#This Row],[Weight of  steel]]</f>
        <v>36.464443200000005</v>
      </c>
      <c r="J48" s="121">
        <f>Table134[[#This Row],[Cross sectional area of pile ]]*1.6%*Table134[[#This Row],[Length]]</f>
        <v>0.95707200000000003</v>
      </c>
      <c r="K48" s="122">
        <f>2*3.14*((Table134[[#This Row],[Diameter ]]/2)^2)*Table134[[#This Row],[Length]]</f>
        <v>59.817000000000007</v>
      </c>
    </row>
    <row r="49" spans="2:12" x14ac:dyDescent="0.25">
      <c r="B49" s="119">
        <v>43</v>
      </c>
      <c r="C49" s="130" t="s">
        <v>807</v>
      </c>
      <c r="D49" s="121" t="s">
        <v>571</v>
      </c>
      <c r="E49" s="121">
        <f t="shared" si="1"/>
        <v>0.75</v>
      </c>
      <c r="F49" s="121" t="s">
        <v>799</v>
      </c>
      <c r="G49" s="121">
        <f t="shared" si="2"/>
        <v>37.1</v>
      </c>
      <c r="H49" s="121">
        <f t="shared" si="8"/>
        <v>0.88312500000000005</v>
      </c>
      <c r="I49" s="121">
        <f>Table134[[#This Row],[Length]]*Table134[[#This Row],[Weight of  steel]]</f>
        <v>19.448673300000003</v>
      </c>
      <c r="J49" s="121">
        <f>Table134[[#This Row],[Cross sectional area of pile ]]*1.6%*Table134[[#This Row],[Length]]</f>
        <v>0.52422300000000011</v>
      </c>
      <c r="K49" s="122">
        <f>2*3.14*((Table134[[#This Row],[Diameter ]]/2)^2)*Table134[[#This Row],[Length]]</f>
        <v>32.763937500000004</v>
      </c>
    </row>
    <row r="50" spans="2:12" x14ac:dyDescent="0.25">
      <c r="B50" s="119">
        <v>44</v>
      </c>
      <c r="C50" s="153"/>
      <c r="D50" s="121"/>
      <c r="E50" s="121"/>
      <c r="F50" s="121"/>
      <c r="G50" s="121"/>
      <c r="H50" s="121"/>
      <c r="I50" s="121">
        <f>Table134[[#This Row],[Length]]*Table134[[#This Row],[Weight of  steel]]</f>
        <v>0</v>
      </c>
      <c r="J50" s="121"/>
      <c r="K50" s="122"/>
    </row>
    <row r="51" spans="2:12" x14ac:dyDescent="0.25">
      <c r="B51" s="119">
        <v>45</v>
      </c>
      <c r="C51" s="153"/>
      <c r="D51" s="132"/>
      <c r="E51" s="121"/>
      <c r="F51" s="121"/>
      <c r="G51" s="121"/>
      <c r="H51" s="121"/>
      <c r="I51" s="121"/>
      <c r="J51" s="121"/>
      <c r="K51" s="122"/>
    </row>
    <row r="52" spans="2:12" x14ac:dyDescent="0.25">
      <c r="B52" s="119">
        <v>46</v>
      </c>
      <c r="C52" s="124" t="s">
        <v>808</v>
      </c>
      <c r="D52" s="121" t="s">
        <v>565</v>
      </c>
      <c r="E52" s="121">
        <f t="shared" si="1"/>
        <v>0.75</v>
      </c>
      <c r="F52" s="121" t="s">
        <v>799</v>
      </c>
      <c r="G52" s="121">
        <f t="shared" si="2"/>
        <v>37.1</v>
      </c>
      <c r="H52" s="121">
        <f t="shared" si="0"/>
        <v>0.44156250000000002</v>
      </c>
      <c r="I52" s="121">
        <f>Table134[[#This Row],[Length]]*Table134[[#This Row],[Weight of  steel]]</f>
        <v>9.7243366500000015</v>
      </c>
      <c r="J52" s="121">
        <f>Table134[[#This Row],[Cross sectional area of pile ]]*1.6%*Table134[[#This Row],[Length]]</f>
        <v>0.26211150000000005</v>
      </c>
      <c r="K52" s="122">
        <f>3.14*((Table134[[#This Row],[Diameter ]]/2)^2)*Table134[[#This Row],[Length]]</f>
        <v>16.381968750000002</v>
      </c>
    </row>
    <row r="53" spans="2:12" x14ac:dyDescent="0.25">
      <c r="B53" s="119">
        <v>47</v>
      </c>
      <c r="C53" s="125" t="s">
        <v>808</v>
      </c>
      <c r="D53" s="121" t="s">
        <v>526</v>
      </c>
      <c r="E53" s="121">
        <f t="shared" si="1"/>
        <v>1</v>
      </c>
      <c r="F53" s="121" t="s">
        <v>799</v>
      </c>
      <c r="G53" s="121">
        <f t="shared" si="2"/>
        <v>42.1</v>
      </c>
      <c r="H53" s="121">
        <f t="shared" si="0"/>
        <v>0.78500000000000003</v>
      </c>
      <c r="I53" s="121">
        <f>Table134[[#This Row],[Length]]*Table134[[#This Row],[Weight of  steel]]</f>
        <v>22.261469600000002</v>
      </c>
      <c r="J53" s="121">
        <f>Table134[[#This Row],[Cross sectional area of pile ]]*1.6%*Table134[[#This Row],[Length]]</f>
        <v>0.52877600000000002</v>
      </c>
      <c r="K53" s="122">
        <f>3.14*((Table134[[#This Row],[Diameter ]]/2)^2)*Table134[[#This Row],[Length]]</f>
        <v>33.048500000000004</v>
      </c>
    </row>
    <row r="54" spans="2:12" x14ac:dyDescent="0.25">
      <c r="B54" s="119">
        <v>48</v>
      </c>
      <c r="C54" s="126" t="s">
        <v>808</v>
      </c>
      <c r="D54" s="121" t="s">
        <v>526</v>
      </c>
      <c r="E54" s="121">
        <f t="shared" si="1"/>
        <v>1</v>
      </c>
      <c r="F54" s="121" t="s">
        <v>799</v>
      </c>
      <c r="G54" s="121">
        <f t="shared" si="2"/>
        <v>42.1</v>
      </c>
      <c r="H54" s="121">
        <f t="shared" si="0"/>
        <v>0.78500000000000003</v>
      </c>
      <c r="I54" s="121">
        <f>Table134[[#This Row],[Length]]*Table134[[#This Row],[Weight of  steel]]</f>
        <v>22.261469600000002</v>
      </c>
      <c r="J54" s="121">
        <f>Table134[[#This Row],[Cross sectional area of pile ]]*1.6%*Table134[[#This Row],[Length]]</f>
        <v>0.52877600000000002</v>
      </c>
      <c r="K54" s="122">
        <f>3.14*((Table134[[#This Row],[Diameter ]]/2)^2)*Table134[[#This Row],[Length]]</f>
        <v>33.048500000000004</v>
      </c>
    </row>
    <row r="55" spans="2:12" x14ac:dyDescent="0.25">
      <c r="B55" s="119">
        <v>49</v>
      </c>
      <c r="C55" s="127" t="s">
        <v>808</v>
      </c>
      <c r="D55" s="121" t="s">
        <v>526</v>
      </c>
      <c r="E55" s="121">
        <f t="shared" si="1"/>
        <v>1</v>
      </c>
      <c r="F55" s="121" t="s">
        <v>799</v>
      </c>
      <c r="G55" s="121">
        <f t="shared" si="2"/>
        <v>42.1</v>
      </c>
      <c r="H55" s="121">
        <f t="shared" si="0"/>
        <v>0.78500000000000003</v>
      </c>
      <c r="I55" s="121">
        <f>Table134[[#This Row],[Length]]*Table134[[#This Row],[Weight of  steel]]</f>
        <v>22.261469600000002</v>
      </c>
      <c r="J55" s="121">
        <f>Table134[[#This Row],[Cross sectional area of pile ]]*1.6%*Table134[[#This Row],[Length]]</f>
        <v>0.52877600000000002</v>
      </c>
      <c r="K55" s="122">
        <f>3.14*((Table134[[#This Row],[Diameter ]]/2)^2)*Table134[[#This Row],[Length]]</f>
        <v>33.048500000000004</v>
      </c>
    </row>
    <row r="56" spans="2:12" x14ac:dyDescent="0.25">
      <c r="B56" s="119">
        <v>50</v>
      </c>
      <c r="C56" s="128" t="s">
        <v>808</v>
      </c>
      <c r="D56" s="121" t="s">
        <v>526</v>
      </c>
      <c r="E56" s="121">
        <f t="shared" si="1"/>
        <v>1</v>
      </c>
      <c r="F56" s="121" t="s">
        <v>799</v>
      </c>
      <c r="G56" s="121">
        <f t="shared" si="2"/>
        <v>42.1</v>
      </c>
      <c r="H56" s="121">
        <f t="shared" si="0"/>
        <v>0.78500000000000003</v>
      </c>
      <c r="I56" s="121">
        <f>Table134[[#This Row],[Length]]*Table134[[#This Row],[Weight of  steel]]</f>
        <v>22.261469600000002</v>
      </c>
      <c r="J56" s="121">
        <f>Table134[[#This Row],[Cross sectional area of pile ]]*1.6%*Table134[[#This Row],[Length]]</f>
        <v>0.52877600000000002</v>
      </c>
      <c r="K56" s="122">
        <f>3.14*((Table134[[#This Row],[Diameter ]]/2)^2)*Table134[[#This Row],[Length]]</f>
        <v>33.048500000000004</v>
      </c>
    </row>
    <row r="57" spans="2:12" x14ac:dyDescent="0.25">
      <c r="B57" s="119">
        <v>51</v>
      </c>
      <c r="C57" s="129" t="s">
        <v>808</v>
      </c>
      <c r="D57" s="121" t="s">
        <v>526</v>
      </c>
      <c r="E57" s="121">
        <f t="shared" si="1"/>
        <v>1</v>
      </c>
      <c r="F57" s="121" t="s">
        <v>799</v>
      </c>
      <c r="G57" s="121">
        <f t="shared" si="2"/>
        <v>42.1</v>
      </c>
      <c r="H57" s="121">
        <f t="shared" si="0"/>
        <v>0.78500000000000003</v>
      </c>
      <c r="I57" s="121">
        <f>Table134[[#This Row],[Length]]*Table134[[#This Row],[Weight of  steel]]</f>
        <v>22.261469600000002</v>
      </c>
      <c r="J57" s="121">
        <f>Table134[[#This Row],[Cross sectional area of pile ]]*1.6%*Table134[[#This Row],[Length]]</f>
        <v>0.52877600000000002</v>
      </c>
      <c r="K57" s="122">
        <f>3.14*((Table134[[#This Row],[Diameter ]]/2)^2)*Table134[[#This Row],[Length]]</f>
        <v>33.048500000000004</v>
      </c>
    </row>
    <row r="58" spans="2:12" x14ac:dyDescent="0.25">
      <c r="B58" s="119">
        <v>52</v>
      </c>
      <c r="C58" s="130" t="s">
        <v>808</v>
      </c>
      <c r="D58" s="121" t="s">
        <v>565</v>
      </c>
      <c r="E58" s="121">
        <f t="shared" si="1"/>
        <v>0.75</v>
      </c>
      <c r="F58" s="121" t="s">
        <v>799</v>
      </c>
      <c r="G58" s="121">
        <f t="shared" si="2"/>
        <v>37.1</v>
      </c>
      <c r="H58" s="121">
        <f t="shared" si="0"/>
        <v>0.44156250000000002</v>
      </c>
      <c r="I58" s="121">
        <f>Table134[[#This Row],[Length]]*Table134[[#This Row],[Weight of  steel]]</f>
        <v>9.7243366500000015</v>
      </c>
      <c r="J58" s="121">
        <f>Table134[[#This Row],[Cross sectional area of pile ]]*1.6%*Table134[[#This Row],[Length]]</f>
        <v>0.26211150000000005</v>
      </c>
      <c r="K58" s="122">
        <f>3.14*((Table134[[#This Row],[Diameter ]]/2)^2)*Table134[[#This Row],[Length]]</f>
        <v>16.381968750000002</v>
      </c>
    </row>
    <row r="59" spans="2:12" x14ac:dyDescent="0.25">
      <c r="B59" s="119"/>
      <c r="C59" s="153"/>
      <c r="D59" s="121"/>
      <c r="E59" s="121"/>
      <c r="F59" s="121"/>
      <c r="G59" s="121"/>
      <c r="H59" s="121"/>
      <c r="I59" s="121"/>
      <c r="J59" s="121"/>
      <c r="K59" s="122"/>
    </row>
    <row r="60" spans="2:12" x14ac:dyDescent="0.25">
      <c r="B60" s="119"/>
      <c r="C60" s="134"/>
      <c r="D60" s="161"/>
      <c r="E60" s="121"/>
      <c r="F60" s="121"/>
      <c r="G60" s="121"/>
      <c r="H60" s="121"/>
      <c r="I60" s="121"/>
      <c r="J60" s="121"/>
      <c r="K60" s="122"/>
    </row>
    <row r="61" spans="2:12" x14ac:dyDescent="0.25">
      <c r="B61" s="119"/>
      <c r="C61" s="133" t="s">
        <v>527</v>
      </c>
      <c r="D61" s="121" t="s">
        <v>827</v>
      </c>
      <c r="E61" s="121">
        <f t="shared" si="1"/>
        <v>0.6</v>
      </c>
      <c r="F61" s="121" t="s">
        <v>799</v>
      </c>
      <c r="G61" s="121">
        <f t="shared" ref="G61:G91" si="9">VLOOKUP(D61,$N$6:$S$15,4,FALSE)</f>
        <v>11.1</v>
      </c>
      <c r="H61" s="121">
        <f t="shared" ref="H61:H91" si="10">3.14*((E61/2)^2)</f>
        <v>0.28260000000000002</v>
      </c>
      <c r="I61" s="121">
        <f>Table134[[#This Row],[Length]]*Table134[[#This Row],[Weight of  steel]]</f>
        <v>0.55710633600000004</v>
      </c>
      <c r="J61" s="121">
        <f>Table134[[#This Row],[Cross sectional area of pile ]]*1.6%*Table134[[#This Row],[Length]]</f>
        <v>5.0189760000000007E-2</v>
      </c>
      <c r="K61" s="122">
        <f>3.14*L61*((Table134[[#This Row],[Diameter ]]/2)^2)*Table134[[#This Row],[Length]]</f>
        <v>40.779179999999997</v>
      </c>
      <c r="L61" s="113">
        <v>13</v>
      </c>
    </row>
    <row r="62" spans="2:12" x14ac:dyDescent="0.25">
      <c r="B62" s="119"/>
      <c r="C62" s="133"/>
      <c r="D62" s="121" t="s">
        <v>565</v>
      </c>
      <c r="E62" s="121">
        <f t="shared" si="1"/>
        <v>0.75</v>
      </c>
      <c r="F62" s="121" t="s">
        <v>799</v>
      </c>
      <c r="G62" s="121">
        <f t="shared" si="9"/>
        <v>37.1</v>
      </c>
      <c r="H62" s="121">
        <f t="shared" si="10"/>
        <v>0.44156250000000002</v>
      </c>
      <c r="I62" s="121">
        <f>Table134[[#This Row],[Length]]*Table134[[#This Row],[Weight of  steel]]</f>
        <v>9.7243366500000015</v>
      </c>
      <c r="J62" s="121">
        <f>Table134[[#This Row],[Cross sectional area of pile ]]*1.6%*Table134[[#This Row],[Length]]</f>
        <v>0.26211150000000005</v>
      </c>
      <c r="K62" s="122">
        <f>3.14*L62*((Table134[[#This Row],[Diameter ]]/2)^2)*Table134[[#This Row],[Length]]</f>
        <v>16.381968750000002</v>
      </c>
      <c r="L62" s="113">
        <v>1</v>
      </c>
    </row>
    <row r="63" spans="2:12" x14ac:dyDescent="0.25">
      <c r="B63" s="119"/>
      <c r="C63" s="153" t="s">
        <v>828</v>
      </c>
      <c r="D63" s="121" t="s">
        <v>827</v>
      </c>
      <c r="E63" s="121">
        <f t="shared" si="1"/>
        <v>0.6</v>
      </c>
      <c r="F63" s="121" t="s">
        <v>799</v>
      </c>
      <c r="G63" s="121">
        <f t="shared" si="9"/>
        <v>11.1</v>
      </c>
      <c r="H63" s="121">
        <f t="shared" si="10"/>
        <v>0.28260000000000002</v>
      </c>
      <c r="I63" s="121">
        <f>Table134[[#This Row],[Length]]*Table134[[#This Row],[Weight of  steel]]</f>
        <v>0.55710633600000004</v>
      </c>
      <c r="J63" s="121">
        <f>Table134[[#This Row],[Cross sectional area of pile ]]*1.6%*Table134[[#This Row],[Length]]</f>
        <v>5.0189760000000007E-2</v>
      </c>
      <c r="K63" s="122">
        <f>3.14*L63*((Table134[[#This Row],[Diameter ]]/2)^2)*Table134[[#This Row],[Length]]</f>
        <v>18.821159999999999</v>
      </c>
      <c r="L63" s="113">
        <v>6</v>
      </c>
    </row>
    <row r="64" spans="2:12" x14ac:dyDescent="0.25">
      <c r="B64" s="119"/>
      <c r="C64" s="153"/>
      <c r="D64" s="121" t="s">
        <v>777</v>
      </c>
      <c r="E64" s="121">
        <f t="shared" si="1"/>
        <v>0.6</v>
      </c>
      <c r="F64" s="121" t="s">
        <v>799</v>
      </c>
      <c r="G64" s="121">
        <f t="shared" si="9"/>
        <v>11.1</v>
      </c>
      <c r="H64" s="121">
        <f t="shared" si="10"/>
        <v>0.28260000000000002</v>
      </c>
      <c r="I64" s="121">
        <f>Table134[[#This Row],[Length]]*Table134[[#This Row],[Weight of  steel]]</f>
        <v>0.55710633600000004</v>
      </c>
      <c r="J64" s="121">
        <f>Table134[[#This Row],[Cross sectional area of pile ]]*1.6%*Table134[[#This Row],[Length]]</f>
        <v>5.0189760000000007E-2</v>
      </c>
      <c r="K64" s="122">
        <f>3.14*L64*((Table134[[#This Row],[Diameter ]]/2)^2)*Table134[[#This Row],[Length]]</f>
        <v>59.600339999999996</v>
      </c>
      <c r="L64" s="113">
        <v>19</v>
      </c>
    </row>
    <row r="65" spans="2:12" x14ac:dyDescent="0.25">
      <c r="B65" s="119"/>
      <c r="C65" s="153"/>
      <c r="D65" s="121" t="s">
        <v>780</v>
      </c>
      <c r="E65" s="121">
        <f t="shared" si="1"/>
        <v>0.6</v>
      </c>
      <c r="F65" s="121" t="s">
        <v>799</v>
      </c>
      <c r="G65" s="121">
        <f t="shared" si="9"/>
        <v>11.1</v>
      </c>
      <c r="H65" s="121">
        <f t="shared" si="10"/>
        <v>0.28260000000000002</v>
      </c>
      <c r="I65" s="121">
        <f>Table134[[#This Row],[Length]]*Table134[[#This Row],[Weight of  steel]]</f>
        <v>0.55710633600000004</v>
      </c>
      <c r="J65" s="121">
        <f>Table134[[#This Row],[Cross sectional area of pile ]]*1.6%*Table134[[#This Row],[Length]]</f>
        <v>5.0189760000000007E-2</v>
      </c>
      <c r="K65" s="122">
        <f>3.14*L65*((Table134[[#This Row],[Diameter ]]/2)^2)*Table134[[#This Row],[Length]]</f>
        <v>25.09488</v>
      </c>
      <c r="L65" s="113">
        <v>8</v>
      </c>
    </row>
    <row r="66" spans="2:12" x14ac:dyDescent="0.25">
      <c r="B66" s="119"/>
      <c r="C66" s="153" t="s">
        <v>799</v>
      </c>
      <c r="D66" s="121" t="s">
        <v>777</v>
      </c>
      <c r="E66" s="121">
        <f t="shared" si="1"/>
        <v>0.6</v>
      </c>
      <c r="F66" s="121" t="s">
        <v>799</v>
      </c>
      <c r="G66" s="121">
        <f t="shared" si="9"/>
        <v>11.1</v>
      </c>
      <c r="H66" s="121">
        <f t="shared" si="10"/>
        <v>0.28260000000000002</v>
      </c>
      <c r="I66" s="121">
        <f>Table134[[#This Row],[Length]]*Table134[[#This Row],[Weight of  steel]]</f>
        <v>0.55710633600000004</v>
      </c>
      <c r="J66" s="121">
        <f>Table134[[#This Row],[Cross sectional area of pile ]]*1.6%*Table134[[#This Row],[Length]]</f>
        <v>5.0189760000000007E-2</v>
      </c>
      <c r="K66" s="122">
        <f>3.14*L66*((Table134[[#This Row],[Diameter ]]/2)^2)*Table134[[#This Row],[Length]]</f>
        <v>15.6843</v>
      </c>
      <c r="L66" s="113">
        <v>5</v>
      </c>
    </row>
    <row r="67" spans="2:12" x14ac:dyDescent="0.25">
      <c r="B67" s="119"/>
      <c r="C67" s="153"/>
      <c r="D67" s="121" t="s">
        <v>780</v>
      </c>
      <c r="E67" s="121">
        <f t="shared" si="1"/>
        <v>0.6</v>
      </c>
      <c r="F67" s="121" t="s">
        <v>799</v>
      </c>
      <c r="G67" s="121">
        <f t="shared" si="9"/>
        <v>11.1</v>
      </c>
      <c r="H67" s="121">
        <f t="shared" si="10"/>
        <v>0.28260000000000002</v>
      </c>
      <c r="I67" s="121">
        <f>Table134[[#This Row],[Length]]*Table134[[#This Row],[Weight of  steel]]</f>
        <v>0.55710633600000004</v>
      </c>
      <c r="J67" s="121">
        <f>Table134[[#This Row],[Cross sectional area of pile ]]*1.6%*Table134[[#This Row],[Length]]</f>
        <v>5.0189760000000007E-2</v>
      </c>
      <c r="K67" s="122">
        <f>3.14*L67*((Table134[[#This Row],[Diameter ]]/2)^2)*Table134[[#This Row],[Length]]</f>
        <v>6.27372</v>
      </c>
      <c r="L67" s="113">
        <v>2</v>
      </c>
    </row>
    <row r="68" spans="2:12" x14ac:dyDescent="0.25">
      <c r="B68" s="119"/>
      <c r="C68" s="153"/>
      <c r="D68" s="121" t="s">
        <v>827</v>
      </c>
      <c r="E68" s="121">
        <f t="shared" si="1"/>
        <v>0.6</v>
      </c>
      <c r="F68" s="121" t="s">
        <v>799</v>
      </c>
      <c r="G68" s="121">
        <f t="shared" si="9"/>
        <v>11.1</v>
      </c>
      <c r="H68" s="121">
        <f t="shared" si="10"/>
        <v>0.28260000000000002</v>
      </c>
      <c r="I68" s="121">
        <f>Table134[[#This Row],[Length]]*Table134[[#This Row],[Weight of  steel]]</f>
        <v>0.55710633600000004</v>
      </c>
      <c r="J68" s="121">
        <f>Table134[[#This Row],[Cross sectional area of pile ]]*1.6%*Table134[[#This Row],[Length]]</f>
        <v>5.0189760000000007E-2</v>
      </c>
      <c r="K68" s="122">
        <f>3.14*L68*((Table134[[#This Row],[Diameter ]]/2)^2)*Table134[[#This Row],[Length]]</f>
        <v>3.13686</v>
      </c>
      <c r="L68" s="113">
        <v>1</v>
      </c>
    </row>
    <row r="69" spans="2:12" x14ac:dyDescent="0.25">
      <c r="B69" s="119"/>
      <c r="C69" s="153" t="s">
        <v>829</v>
      </c>
      <c r="D69" s="121" t="s">
        <v>826</v>
      </c>
      <c r="E69" s="121">
        <f t="shared" si="1"/>
        <v>0.75</v>
      </c>
      <c r="F69" s="121" t="s">
        <v>799</v>
      </c>
      <c r="G69" s="121">
        <f t="shared" si="9"/>
        <v>37.1</v>
      </c>
      <c r="H69" s="121">
        <f>2*3.14*((E69/2)^2)</f>
        <v>0.88312500000000005</v>
      </c>
      <c r="I69" s="121">
        <f>Table134[[#This Row],[Length]]*Table134[[#This Row],[Weight of  steel]]</f>
        <v>19.448673300000003</v>
      </c>
      <c r="J69" s="121">
        <f>Table134[[#This Row],[Cross sectional area of pile ]]*1.6%*Table134[[#This Row],[Length]]</f>
        <v>0.52422300000000011</v>
      </c>
      <c r="K69" s="122">
        <f>2*3.14*((Table134[[#This Row],[Diameter ]]/2)^2)*Table134[[#This Row],[Length]]</f>
        <v>32.763937500000004</v>
      </c>
      <c r="L69" s="113">
        <v>1</v>
      </c>
    </row>
    <row r="70" spans="2:12" x14ac:dyDescent="0.25">
      <c r="B70" s="119"/>
      <c r="C70" s="153"/>
      <c r="D70" s="121" t="s">
        <v>827</v>
      </c>
      <c r="E70" s="121">
        <f t="shared" si="1"/>
        <v>0.6</v>
      </c>
      <c r="F70" s="121" t="s">
        <v>799</v>
      </c>
      <c r="G70" s="121">
        <f t="shared" si="9"/>
        <v>11.1</v>
      </c>
      <c r="H70" s="121">
        <f t="shared" si="10"/>
        <v>0.28260000000000002</v>
      </c>
      <c r="I70" s="121">
        <f>Table134[[#This Row],[Length]]*Table134[[#This Row],[Weight of  steel]]</f>
        <v>0.55710633600000004</v>
      </c>
      <c r="J70" s="121">
        <f>Table134[[#This Row],[Cross sectional area of pile ]]*1.6%*Table134[[#This Row],[Length]]</f>
        <v>5.0189760000000007E-2</v>
      </c>
      <c r="K70" s="122">
        <f>3.14*L70*((Table134[[#This Row],[Diameter ]]/2)^2)*Table134[[#This Row],[Length]]</f>
        <v>15.6843</v>
      </c>
      <c r="L70" s="113">
        <v>5</v>
      </c>
    </row>
    <row r="71" spans="2:12" x14ac:dyDescent="0.25">
      <c r="B71" s="119"/>
      <c r="C71" s="153"/>
      <c r="D71" s="121" t="s">
        <v>777</v>
      </c>
      <c r="E71" s="121">
        <f t="shared" si="1"/>
        <v>0.6</v>
      </c>
      <c r="F71" s="121" t="s">
        <v>799</v>
      </c>
      <c r="G71" s="121">
        <f t="shared" si="9"/>
        <v>11.1</v>
      </c>
      <c r="H71" s="121">
        <f t="shared" si="10"/>
        <v>0.28260000000000002</v>
      </c>
      <c r="I71" s="121">
        <f>Table134[[#This Row],[Length]]*Table134[[#This Row],[Weight of  steel]]</f>
        <v>0.55710633600000004</v>
      </c>
      <c r="J71" s="121">
        <f>Table134[[#This Row],[Cross sectional area of pile ]]*1.6%*Table134[[#This Row],[Length]]</f>
        <v>5.0189760000000007E-2</v>
      </c>
      <c r="K71" s="122">
        <f>3.14*L71*((Table134[[#This Row],[Diameter ]]/2)^2)*Table134[[#This Row],[Length]]</f>
        <v>56.463479999999997</v>
      </c>
      <c r="L71" s="113">
        <v>18</v>
      </c>
    </row>
    <row r="72" spans="2:12" x14ac:dyDescent="0.25">
      <c r="B72" s="119"/>
      <c r="C72" s="153"/>
      <c r="D72" s="121" t="s">
        <v>780</v>
      </c>
      <c r="E72" s="121">
        <f t="shared" ref="E72:E91" si="11">VLOOKUP(D72,$N$6:$S$15,3,FALSE)</f>
        <v>0.6</v>
      </c>
      <c r="F72" s="121" t="s">
        <v>799</v>
      </c>
      <c r="G72" s="121">
        <f t="shared" si="9"/>
        <v>11.1</v>
      </c>
      <c r="H72" s="121">
        <f t="shared" si="10"/>
        <v>0.28260000000000002</v>
      </c>
      <c r="I72" s="121">
        <f>Table134[[#This Row],[Length]]*Table134[[#This Row],[Weight of  steel]]</f>
        <v>0.55710633600000004</v>
      </c>
      <c r="J72" s="121">
        <f>Table134[[#This Row],[Cross sectional area of pile ]]*1.6%*Table134[[#This Row],[Length]]</f>
        <v>5.0189760000000007E-2</v>
      </c>
      <c r="K72" s="122">
        <f>3.14*L72*((Table134[[#This Row],[Diameter ]]/2)^2)*Table134[[#This Row],[Length]]</f>
        <v>25.09488</v>
      </c>
      <c r="L72" s="113">
        <v>8</v>
      </c>
    </row>
    <row r="73" spans="2:12" x14ac:dyDescent="0.25">
      <c r="B73" s="119"/>
      <c r="C73" s="153" t="s">
        <v>805</v>
      </c>
      <c r="D73" s="121" t="s">
        <v>777</v>
      </c>
      <c r="E73" s="121">
        <f t="shared" si="11"/>
        <v>0.6</v>
      </c>
      <c r="F73" s="121" t="s">
        <v>799</v>
      </c>
      <c r="G73" s="121">
        <f t="shared" si="9"/>
        <v>11.1</v>
      </c>
      <c r="H73" s="121">
        <f t="shared" si="10"/>
        <v>0.28260000000000002</v>
      </c>
      <c r="I73" s="121">
        <f>Table134[[#This Row],[Length]]*Table134[[#This Row],[Weight of  steel]]</f>
        <v>0.55710633600000004</v>
      </c>
      <c r="J73" s="121">
        <f>Table134[[#This Row],[Cross sectional area of pile ]]*1.6%*Table134[[#This Row],[Length]]</f>
        <v>5.0189760000000007E-2</v>
      </c>
      <c r="K73" s="122">
        <f>3.14*L73*((Table134[[#This Row],[Diameter ]]/2)^2)*Table134[[#This Row],[Length]]</f>
        <v>15.6843</v>
      </c>
      <c r="L73" s="113">
        <v>5</v>
      </c>
    </row>
    <row r="74" spans="2:12" x14ac:dyDescent="0.25">
      <c r="B74" s="119"/>
      <c r="C74" s="153"/>
      <c r="D74" s="121" t="s">
        <v>827</v>
      </c>
      <c r="E74" s="121">
        <f t="shared" si="11"/>
        <v>0.6</v>
      </c>
      <c r="F74" s="121" t="s">
        <v>799</v>
      </c>
      <c r="G74" s="121">
        <f t="shared" si="9"/>
        <v>11.1</v>
      </c>
      <c r="H74" s="121">
        <f t="shared" si="10"/>
        <v>0.28260000000000002</v>
      </c>
      <c r="I74" s="121">
        <f>Table134[[#This Row],[Length]]*Table134[[#This Row],[Weight of  steel]]</f>
        <v>0.55710633600000004</v>
      </c>
      <c r="J74" s="121">
        <f>Table134[[#This Row],[Cross sectional area of pile ]]*1.6%*Table134[[#This Row],[Length]]</f>
        <v>5.0189760000000007E-2</v>
      </c>
      <c r="K74" s="122">
        <f>3.14*L74*((Table134[[#This Row],[Diameter ]]/2)^2)*Table134[[#This Row],[Length]]</f>
        <v>6.27372</v>
      </c>
      <c r="L74" s="113">
        <v>2</v>
      </c>
    </row>
    <row r="75" spans="2:12" x14ac:dyDescent="0.25">
      <c r="B75" s="119"/>
      <c r="C75" s="153"/>
      <c r="D75" s="121" t="s">
        <v>780</v>
      </c>
      <c r="E75" s="121">
        <f t="shared" si="11"/>
        <v>0.6</v>
      </c>
      <c r="F75" s="121" t="s">
        <v>799</v>
      </c>
      <c r="G75" s="121">
        <f t="shared" si="9"/>
        <v>11.1</v>
      </c>
      <c r="H75" s="121">
        <f t="shared" si="10"/>
        <v>0.28260000000000002</v>
      </c>
      <c r="I75" s="121">
        <f>Table134[[#This Row],[Length]]*Table134[[#This Row],[Weight of  steel]]</f>
        <v>0.55710633600000004</v>
      </c>
      <c r="J75" s="121">
        <f>Table134[[#This Row],[Cross sectional area of pile ]]*1.6%*Table134[[#This Row],[Length]]</f>
        <v>5.0189760000000007E-2</v>
      </c>
      <c r="K75" s="122">
        <f>3.14*L75*((Table134[[#This Row],[Diameter ]]/2)^2)*Table134[[#This Row],[Length]]</f>
        <v>6.27372</v>
      </c>
      <c r="L75" s="113">
        <v>2</v>
      </c>
    </row>
    <row r="76" spans="2:12" x14ac:dyDescent="0.25">
      <c r="B76" s="119"/>
      <c r="C76" s="153" t="s">
        <v>830</v>
      </c>
      <c r="D76" s="121" t="s">
        <v>827</v>
      </c>
      <c r="E76" s="121">
        <f t="shared" si="11"/>
        <v>0.6</v>
      </c>
      <c r="F76" s="121" t="s">
        <v>799</v>
      </c>
      <c r="G76" s="121">
        <f t="shared" si="9"/>
        <v>11.1</v>
      </c>
      <c r="H76" s="121">
        <f t="shared" si="10"/>
        <v>0.28260000000000002</v>
      </c>
      <c r="I76" s="121">
        <f>Table134[[#This Row],[Length]]*Table134[[#This Row],[Weight of  steel]]</f>
        <v>0.55710633600000004</v>
      </c>
      <c r="J76" s="121">
        <f>Table134[[#This Row],[Cross sectional area of pile ]]*1.6%*Table134[[#This Row],[Length]]</f>
        <v>5.0189760000000007E-2</v>
      </c>
      <c r="K76" s="122">
        <f>3.14*L76*((Table134[[#This Row],[Diameter ]]/2)^2)*Table134[[#This Row],[Length]]</f>
        <v>18.821159999999999</v>
      </c>
      <c r="L76" s="113">
        <v>6</v>
      </c>
    </row>
    <row r="77" spans="2:12" x14ac:dyDescent="0.25">
      <c r="B77" s="119"/>
      <c r="C77" s="153"/>
      <c r="D77" s="121" t="s">
        <v>777</v>
      </c>
      <c r="E77" s="121">
        <f t="shared" si="11"/>
        <v>0.6</v>
      </c>
      <c r="F77" s="121" t="s">
        <v>799</v>
      </c>
      <c r="G77" s="121">
        <f t="shared" si="9"/>
        <v>11.1</v>
      </c>
      <c r="H77" s="121">
        <f t="shared" si="10"/>
        <v>0.28260000000000002</v>
      </c>
      <c r="I77" s="121">
        <f>Table134[[#This Row],[Length]]*Table134[[#This Row],[Weight of  steel]]</f>
        <v>0.55710633600000004</v>
      </c>
      <c r="J77" s="121">
        <f>Table134[[#This Row],[Cross sectional area of pile ]]*1.6%*Table134[[#This Row],[Length]]</f>
        <v>5.0189760000000007E-2</v>
      </c>
      <c r="K77" s="122">
        <f>3.14*L77*((Table134[[#This Row],[Diameter ]]/2)^2)*Table134[[#This Row],[Length]]</f>
        <v>56.463479999999997</v>
      </c>
      <c r="L77" s="113">
        <v>18</v>
      </c>
    </row>
    <row r="78" spans="2:12" x14ac:dyDescent="0.25">
      <c r="B78" s="119"/>
      <c r="C78" s="153"/>
      <c r="D78" s="121" t="s">
        <v>780</v>
      </c>
      <c r="E78" s="121">
        <f t="shared" si="11"/>
        <v>0.6</v>
      </c>
      <c r="F78" s="121" t="s">
        <v>799</v>
      </c>
      <c r="G78" s="121">
        <f t="shared" si="9"/>
        <v>11.1</v>
      </c>
      <c r="H78" s="121">
        <f t="shared" si="10"/>
        <v>0.28260000000000002</v>
      </c>
      <c r="I78" s="121">
        <f>Table134[[#This Row],[Length]]*Table134[[#This Row],[Weight of  steel]]</f>
        <v>0.55710633600000004</v>
      </c>
      <c r="J78" s="121">
        <f>Table134[[#This Row],[Cross sectional area of pile ]]*1.6%*Table134[[#This Row],[Length]]</f>
        <v>5.0189760000000007E-2</v>
      </c>
      <c r="K78" s="122">
        <f>3.14*L78*((Table134[[#This Row],[Diameter ]]/2)^2)*Table134[[#This Row],[Length]]</f>
        <v>25.09488</v>
      </c>
      <c r="L78" s="113">
        <v>8</v>
      </c>
    </row>
    <row r="79" spans="2:12" x14ac:dyDescent="0.25">
      <c r="B79" s="119"/>
      <c r="C79" s="153" t="s">
        <v>806</v>
      </c>
      <c r="D79" s="121" t="s">
        <v>777</v>
      </c>
      <c r="E79" s="121">
        <f t="shared" si="11"/>
        <v>0.6</v>
      </c>
      <c r="F79" s="121" t="s">
        <v>799</v>
      </c>
      <c r="G79" s="121">
        <f t="shared" si="9"/>
        <v>11.1</v>
      </c>
      <c r="H79" s="121">
        <f t="shared" si="10"/>
        <v>0.28260000000000002</v>
      </c>
      <c r="I79" s="121">
        <f>Table134[[#This Row],[Length]]*Table134[[#This Row],[Weight of  steel]]</f>
        <v>0.55710633600000004</v>
      </c>
      <c r="J79" s="121">
        <f>Table134[[#This Row],[Cross sectional area of pile ]]*1.6%*Table134[[#This Row],[Length]]</f>
        <v>5.0189760000000007E-2</v>
      </c>
      <c r="K79" s="122">
        <f>3.14*L79*((Table134[[#This Row],[Diameter ]]/2)^2)*Table134[[#This Row],[Length]]</f>
        <v>15.6843</v>
      </c>
      <c r="L79" s="113">
        <v>5</v>
      </c>
    </row>
    <row r="80" spans="2:12" x14ac:dyDescent="0.25">
      <c r="B80" s="119"/>
      <c r="C80" s="153"/>
      <c r="D80" s="121" t="s">
        <v>827</v>
      </c>
      <c r="E80" s="121">
        <f t="shared" si="11"/>
        <v>0.6</v>
      </c>
      <c r="F80" s="121" t="s">
        <v>799</v>
      </c>
      <c r="G80" s="121">
        <f t="shared" si="9"/>
        <v>11.1</v>
      </c>
      <c r="H80" s="121">
        <f t="shared" si="10"/>
        <v>0.28260000000000002</v>
      </c>
      <c r="I80" s="121">
        <f>Table134[[#This Row],[Length]]*Table134[[#This Row],[Weight of  steel]]</f>
        <v>0.55710633600000004</v>
      </c>
      <c r="J80" s="121">
        <f>Table134[[#This Row],[Cross sectional area of pile ]]*1.6%*Table134[[#This Row],[Length]]</f>
        <v>5.0189760000000007E-2</v>
      </c>
      <c r="K80" s="122">
        <f>3.14*L80*((Table134[[#This Row],[Diameter ]]/2)^2)*Table134[[#This Row],[Length]]</f>
        <v>6.27372</v>
      </c>
      <c r="L80" s="113">
        <v>2</v>
      </c>
    </row>
    <row r="81" spans="2:14" x14ac:dyDescent="0.25">
      <c r="B81" s="119"/>
      <c r="C81" s="153"/>
      <c r="D81" s="121" t="s">
        <v>780</v>
      </c>
      <c r="E81" s="121">
        <f t="shared" si="11"/>
        <v>0.6</v>
      </c>
      <c r="F81" s="121" t="s">
        <v>799</v>
      </c>
      <c r="G81" s="121">
        <f t="shared" si="9"/>
        <v>11.1</v>
      </c>
      <c r="H81" s="121">
        <f t="shared" si="10"/>
        <v>0.28260000000000002</v>
      </c>
      <c r="I81" s="121">
        <f>Table134[[#This Row],[Length]]*Table134[[#This Row],[Weight of  steel]]</f>
        <v>0.55710633600000004</v>
      </c>
      <c r="J81" s="121">
        <f>Table134[[#This Row],[Cross sectional area of pile ]]*1.6%*Table134[[#This Row],[Length]]</f>
        <v>5.0189760000000007E-2</v>
      </c>
      <c r="K81" s="122">
        <f>3.14*L81*((Table134[[#This Row],[Diameter ]]/2)^2)*Table134[[#This Row],[Length]]</f>
        <v>6.27372</v>
      </c>
      <c r="L81" s="113">
        <v>2</v>
      </c>
    </row>
    <row r="82" spans="2:14" x14ac:dyDescent="0.25">
      <c r="B82" s="119"/>
      <c r="C82" s="153" t="s">
        <v>831</v>
      </c>
      <c r="D82" s="121" t="s">
        <v>827</v>
      </c>
      <c r="E82" s="121">
        <f t="shared" si="11"/>
        <v>0.6</v>
      </c>
      <c r="F82" s="121" t="s">
        <v>799</v>
      </c>
      <c r="G82" s="121">
        <f t="shared" si="9"/>
        <v>11.1</v>
      </c>
      <c r="H82" s="121">
        <f t="shared" si="10"/>
        <v>0.28260000000000002</v>
      </c>
      <c r="I82" s="121">
        <f>Table134[[#This Row],[Length]]*Table134[[#This Row],[Weight of  steel]]</f>
        <v>0.55710633600000004</v>
      </c>
      <c r="J82" s="121">
        <f>Table134[[#This Row],[Cross sectional area of pile ]]*1.6%*Table134[[#This Row],[Length]]</f>
        <v>5.0189760000000007E-2</v>
      </c>
      <c r="K82" s="122">
        <f>3.14*L82*((Table134[[#This Row],[Diameter ]]/2)^2)*Table134[[#This Row],[Length]]</f>
        <v>18.821159999999999</v>
      </c>
      <c r="L82" s="113">
        <v>6</v>
      </c>
    </row>
    <row r="83" spans="2:14" x14ac:dyDescent="0.25">
      <c r="B83" s="119"/>
      <c r="C83" s="153"/>
      <c r="D83" s="121" t="s">
        <v>777</v>
      </c>
      <c r="E83" s="121">
        <f t="shared" si="11"/>
        <v>0.6</v>
      </c>
      <c r="F83" s="121" t="s">
        <v>799</v>
      </c>
      <c r="G83" s="121">
        <f t="shared" si="9"/>
        <v>11.1</v>
      </c>
      <c r="H83" s="121">
        <f t="shared" si="10"/>
        <v>0.28260000000000002</v>
      </c>
      <c r="I83" s="121">
        <f>Table134[[#This Row],[Length]]*Table134[[#This Row],[Weight of  steel]]</f>
        <v>0.55710633600000004</v>
      </c>
      <c r="J83" s="121">
        <f>Table134[[#This Row],[Cross sectional area of pile ]]*1.6%*Table134[[#This Row],[Length]]</f>
        <v>5.0189760000000007E-2</v>
      </c>
      <c r="K83" s="122">
        <f>3.14*L83*((Table134[[#This Row],[Diameter ]]/2)^2)*Table134[[#This Row],[Length]]</f>
        <v>56.463479999999997</v>
      </c>
      <c r="L83" s="113">
        <v>18</v>
      </c>
    </row>
    <row r="84" spans="2:14" x14ac:dyDescent="0.25">
      <c r="B84" s="119"/>
      <c r="C84" s="153"/>
      <c r="D84" s="121" t="s">
        <v>780</v>
      </c>
      <c r="E84" s="121">
        <f t="shared" si="11"/>
        <v>0.6</v>
      </c>
      <c r="F84" s="121" t="s">
        <v>799</v>
      </c>
      <c r="G84" s="121">
        <f t="shared" si="9"/>
        <v>11.1</v>
      </c>
      <c r="H84" s="121">
        <f t="shared" si="10"/>
        <v>0.28260000000000002</v>
      </c>
      <c r="I84" s="121">
        <f>Table134[[#This Row],[Length]]*Table134[[#This Row],[Weight of  steel]]</f>
        <v>0.55710633600000004</v>
      </c>
      <c r="J84" s="121">
        <f>Table134[[#This Row],[Cross sectional area of pile ]]*1.6%*Table134[[#This Row],[Length]]</f>
        <v>5.0189760000000007E-2</v>
      </c>
      <c r="K84" s="122">
        <f>3.14*L84*((Table134[[#This Row],[Diameter ]]/2)^2)*Table134[[#This Row],[Length]]</f>
        <v>25.09488</v>
      </c>
      <c r="L84" s="113">
        <v>8</v>
      </c>
    </row>
    <row r="85" spans="2:14" x14ac:dyDescent="0.25">
      <c r="B85" s="119"/>
      <c r="C85" s="133" t="s">
        <v>807</v>
      </c>
      <c r="D85" s="121" t="s">
        <v>777</v>
      </c>
      <c r="E85" s="121">
        <f t="shared" si="11"/>
        <v>0.6</v>
      </c>
      <c r="F85" s="121" t="s">
        <v>799</v>
      </c>
      <c r="G85" s="121">
        <f t="shared" si="9"/>
        <v>11.1</v>
      </c>
      <c r="H85" s="121">
        <f t="shared" si="10"/>
        <v>0.28260000000000002</v>
      </c>
      <c r="I85" s="121">
        <f>Table134[[#This Row],[Length]]*Table134[[#This Row],[Weight of  steel]]</f>
        <v>0.55710633600000004</v>
      </c>
      <c r="J85" s="121">
        <f>Table134[[#This Row],[Cross sectional area of pile ]]*1.6%*Table134[[#This Row],[Length]]</f>
        <v>5.0189760000000007E-2</v>
      </c>
      <c r="K85" s="122">
        <f>3.14*L85*((Table134[[#This Row],[Diameter ]]/2)^2)*Table134[[#This Row],[Length]]</f>
        <v>15.6843</v>
      </c>
      <c r="L85" s="113">
        <v>5</v>
      </c>
    </row>
    <row r="86" spans="2:14" x14ac:dyDescent="0.25">
      <c r="B86" s="119"/>
      <c r="C86" s="133"/>
      <c r="D86" s="121" t="s">
        <v>827</v>
      </c>
      <c r="E86" s="121">
        <f t="shared" si="11"/>
        <v>0.6</v>
      </c>
      <c r="F86" s="121" t="s">
        <v>799</v>
      </c>
      <c r="G86" s="121">
        <f t="shared" si="9"/>
        <v>11.1</v>
      </c>
      <c r="H86" s="121">
        <f t="shared" si="10"/>
        <v>0.28260000000000002</v>
      </c>
      <c r="I86" s="121">
        <f>Table134[[#This Row],[Length]]*Table134[[#This Row],[Weight of  steel]]</f>
        <v>0.55710633600000004</v>
      </c>
      <c r="J86" s="121">
        <f>Table134[[#This Row],[Cross sectional area of pile ]]*1.6%*Table134[[#This Row],[Length]]</f>
        <v>5.0189760000000007E-2</v>
      </c>
      <c r="K86" s="122">
        <f>3.14*L86*((Table134[[#This Row],[Diameter ]]/2)^2)*Table134[[#This Row],[Length]]</f>
        <v>6.27372</v>
      </c>
      <c r="L86" s="113">
        <v>2</v>
      </c>
    </row>
    <row r="87" spans="2:14" x14ac:dyDescent="0.25">
      <c r="B87" s="119"/>
      <c r="C87" s="133"/>
      <c r="D87" s="121" t="s">
        <v>780</v>
      </c>
      <c r="E87" s="121">
        <f t="shared" si="11"/>
        <v>0.6</v>
      </c>
      <c r="F87" s="121" t="s">
        <v>799</v>
      </c>
      <c r="G87" s="121">
        <f t="shared" si="9"/>
        <v>11.1</v>
      </c>
      <c r="H87" s="121">
        <f t="shared" si="10"/>
        <v>0.28260000000000002</v>
      </c>
      <c r="I87" s="121">
        <f>Table134[[#This Row],[Length]]*Table134[[#This Row],[Weight of  steel]]</f>
        <v>0.55710633600000004</v>
      </c>
      <c r="J87" s="121">
        <f>Table134[[#This Row],[Cross sectional area of pile ]]*1.6%*Table134[[#This Row],[Length]]</f>
        <v>5.0189760000000007E-2</v>
      </c>
      <c r="K87" s="122">
        <f>3.14*L87*((Table134[[#This Row],[Diameter ]]/2)^2)*Table134[[#This Row],[Length]]</f>
        <v>6.27372</v>
      </c>
      <c r="L87" s="113">
        <v>2</v>
      </c>
    </row>
    <row r="88" spans="2:14" x14ac:dyDescent="0.25">
      <c r="B88" s="119"/>
      <c r="C88" s="133" t="s">
        <v>832</v>
      </c>
      <c r="D88" s="121" t="s">
        <v>827</v>
      </c>
      <c r="E88" s="121">
        <f t="shared" si="11"/>
        <v>0.6</v>
      </c>
      <c r="F88" s="121" t="s">
        <v>799</v>
      </c>
      <c r="G88" s="121">
        <f t="shared" si="9"/>
        <v>11.1</v>
      </c>
      <c r="H88" s="121">
        <f t="shared" si="10"/>
        <v>0.28260000000000002</v>
      </c>
      <c r="I88" s="121">
        <f>Table134[[#This Row],[Length]]*Table134[[#This Row],[Weight of  steel]]</f>
        <v>0.55710633600000004</v>
      </c>
      <c r="J88" s="121">
        <f>Table134[[#This Row],[Cross sectional area of pile ]]*1.6%*Table134[[#This Row],[Length]]</f>
        <v>5.0189760000000007E-2</v>
      </c>
      <c r="K88" s="122">
        <f>3.14*L88*((Table134[[#This Row],[Diameter ]]/2)^2)*Table134[[#This Row],[Length]]</f>
        <v>21.958019999999998</v>
      </c>
      <c r="L88" s="113">
        <v>7</v>
      </c>
    </row>
    <row r="89" spans="2:14" x14ac:dyDescent="0.25">
      <c r="B89" s="119"/>
      <c r="C89" s="133"/>
      <c r="D89" s="121" t="s">
        <v>777</v>
      </c>
      <c r="E89" s="121">
        <f t="shared" si="11"/>
        <v>0.6</v>
      </c>
      <c r="F89" s="121" t="s">
        <v>799</v>
      </c>
      <c r="G89" s="121">
        <f t="shared" si="9"/>
        <v>11.1</v>
      </c>
      <c r="H89" s="121">
        <f t="shared" si="10"/>
        <v>0.28260000000000002</v>
      </c>
      <c r="I89" s="121">
        <f>Table134[[#This Row],[Length]]*Table134[[#This Row],[Weight of  steel]]</f>
        <v>0.55710633600000004</v>
      </c>
      <c r="J89" s="121">
        <f>Table134[[#This Row],[Cross sectional area of pile ]]*1.6%*Table134[[#This Row],[Length]]</f>
        <v>5.0189760000000007E-2</v>
      </c>
      <c r="K89" s="122">
        <f>3.14*L89*((Table134[[#This Row],[Diameter ]]/2)^2)*Table134[[#This Row],[Length]]</f>
        <v>59.600339999999996</v>
      </c>
      <c r="L89" s="113">
        <v>19</v>
      </c>
    </row>
    <row r="90" spans="2:14" x14ac:dyDescent="0.25">
      <c r="B90" s="119"/>
      <c r="C90" s="133"/>
      <c r="D90" s="121" t="s">
        <v>780</v>
      </c>
      <c r="E90" s="121">
        <f t="shared" si="11"/>
        <v>0.6</v>
      </c>
      <c r="F90" s="121" t="s">
        <v>799</v>
      </c>
      <c r="G90" s="121">
        <f t="shared" si="9"/>
        <v>11.1</v>
      </c>
      <c r="H90" s="121">
        <f t="shared" si="10"/>
        <v>0.28260000000000002</v>
      </c>
      <c r="I90" s="121">
        <f>Table134[[#This Row],[Length]]*Table134[[#This Row],[Weight of  steel]]</f>
        <v>0.55710633600000004</v>
      </c>
      <c r="J90" s="121">
        <f>Table134[[#This Row],[Cross sectional area of pile ]]*1.6%*Table134[[#This Row],[Length]]</f>
        <v>5.0189760000000007E-2</v>
      </c>
      <c r="K90" s="122">
        <f>3.14*L90*((Table134[[#This Row],[Diameter ]]/2)^2)*Table134[[#This Row],[Length]]</f>
        <v>25.09488</v>
      </c>
      <c r="L90" s="113">
        <v>8</v>
      </c>
    </row>
    <row r="91" spans="2:14" x14ac:dyDescent="0.25">
      <c r="B91" s="119"/>
      <c r="C91" s="162" t="s">
        <v>808</v>
      </c>
      <c r="D91" s="121" t="s">
        <v>827</v>
      </c>
      <c r="E91" s="121">
        <f t="shared" si="11"/>
        <v>0.6</v>
      </c>
      <c r="F91" s="121" t="s">
        <v>799</v>
      </c>
      <c r="G91" s="121">
        <f t="shared" si="9"/>
        <v>11.1</v>
      </c>
      <c r="H91" s="121">
        <f t="shared" si="10"/>
        <v>0.28260000000000002</v>
      </c>
      <c r="I91" s="121">
        <f>Table134[[#This Row],[Length]]*Table134[[#This Row],[Weight of  steel]]</f>
        <v>0.55710633600000004</v>
      </c>
      <c r="J91" s="121">
        <f>Table134[[#This Row],[Cross sectional area of pile ]]*1.6%*Table134[[#This Row],[Length]]</f>
        <v>5.0189760000000007E-2</v>
      </c>
      <c r="K91" s="122">
        <f>3.14*L91*((Table134[[#This Row],[Diameter ]]/2)^2)*Table134[[#This Row],[Length]]</f>
        <v>37.642319999999998</v>
      </c>
      <c r="L91" s="113">
        <v>12</v>
      </c>
    </row>
    <row r="92" spans="2:14" x14ac:dyDescent="0.25">
      <c r="B92" s="119"/>
      <c r="C92" s="133"/>
      <c r="D92" s="121"/>
      <c r="E92" s="121"/>
      <c r="F92" s="121"/>
      <c r="G92" s="121"/>
      <c r="H92" s="121"/>
      <c r="I92" s="121"/>
      <c r="J92" s="158">
        <f>SUM(J7:J91)</f>
        <v>33.415914540000038</v>
      </c>
      <c r="K92" s="159">
        <f>SUBTOTAL(109,K6:K91)</f>
        <v>2693.908638750001</v>
      </c>
    </row>
    <row r="93" spans="2:14" x14ac:dyDescent="0.25">
      <c r="B93" s="119"/>
      <c r="C93" s="133"/>
      <c r="D93" s="121"/>
      <c r="E93" s="121"/>
      <c r="F93" s="121"/>
      <c r="G93" s="121"/>
      <c r="H93" s="121"/>
      <c r="I93" s="121"/>
      <c r="J93" s="163">
        <f>J92*(74000+1000)</f>
        <v>2506193.5905000027</v>
      </c>
      <c r="K93" s="163">
        <f>K92*8741</f>
        <v>23547455.411313757</v>
      </c>
      <c r="L93" s="113">
        <f>Table134[[#This Row],[Weight of  steel]]+Table134[[#This Row],[Volume of Concrete]]</f>
        <v>26053649.001813762</v>
      </c>
      <c r="M93" s="113">
        <v>70807</v>
      </c>
      <c r="N93" s="113">
        <f>L93/M93</f>
        <v>367.95301314578728</v>
      </c>
    </row>
    <row r="94" spans="2:14" x14ac:dyDescent="0.25">
      <c r="B94" s="119"/>
      <c r="C94" s="133"/>
      <c r="D94" s="121"/>
      <c r="E94" s="121"/>
      <c r="F94" s="121"/>
      <c r="G94" s="121"/>
      <c r="H94" s="121"/>
      <c r="I94" s="121"/>
      <c r="J94" s="133"/>
      <c r="K94" s="164"/>
    </row>
    <row r="95" spans="2:14" x14ac:dyDescent="0.25">
      <c r="B95" s="119"/>
      <c r="C95" s="133"/>
      <c r="D95" s="121"/>
      <c r="E95" s="121"/>
      <c r="F95" s="121"/>
      <c r="G95" s="121"/>
      <c r="H95" s="121"/>
      <c r="I95" s="121"/>
      <c r="J95" s="160"/>
      <c r="K95" s="122"/>
    </row>
    <row r="96" spans="2:14" x14ac:dyDescent="0.25">
      <c r="B96" s="119"/>
      <c r="C96" s="133"/>
      <c r="D96" s="121"/>
      <c r="E96" s="121"/>
      <c r="F96" s="121"/>
      <c r="G96" s="121"/>
      <c r="H96" s="121"/>
      <c r="I96" s="121">
        <f>Table134[[#This Row],[Length]]*Table134[[#This Row],[Weight of  steel]]</f>
        <v>0</v>
      </c>
      <c r="J96" s="121"/>
      <c r="K96" s="122"/>
    </row>
    <row r="97" spans="2:11" x14ac:dyDescent="0.25">
      <c r="B97" s="119"/>
      <c r="C97" s="133"/>
      <c r="D97" s="121"/>
      <c r="E97" s="121"/>
      <c r="F97" s="121"/>
      <c r="G97" s="121"/>
      <c r="H97" s="121"/>
      <c r="I97" s="121">
        <f>Table134[[#This Row],[Length]]*Table134[[#This Row],[Weight of  steel]]</f>
        <v>0</v>
      </c>
      <c r="J97" s="121"/>
      <c r="K97" s="122"/>
    </row>
    <row r="98" spans="2:11" x14ac:dyDescent="0.25">
      <c r="B98" s="119"/>
      <c r="C98" s="133"/>
      <c r="D98" s="121"/>
      <c r="E98" s="121"/>
      <c r="F98" s="121"/>
      <c r="G98" s="121"/>
      <c r="H98" s="121"/>
      <c r="I98" s="121">
        <f>Table134[[#This Row],[Length]]*Table134[[#This Row],[Weight of  steel]]</f>
        <v>0</v>
      </c>
      <c r="J98" s="121"/>
      <c r="K98" s="122"/>
    </row>
    <row r="99" spans="2:11" x14ac:dyDescent="0.25">
      <c r="B99" s="119"/>
      <c r="C99" s="133"/>
      <c r="D99" s="121"/>
      <c r="E99" s="121"/>
      <c r="F99" s="121"/>
      <c r="G99" s="121"/>
      <c r="H99" s="121"/>
      <c r="I99" s="121">
        <f>Table134[[#This Row],[Length]]*Table134[[#This Row],[Weight of  steel]]</f>
        <v>0</v>
      </c>
      <c r="J99" s="121"/>
      <c r="K99" s="122"/>
    </row>
    <row r="100" spans="2:11" x14ac:dyDescent="0.25">
      <c r="B100" s="119"/>
      <c r="C100" s="133"/>
      <c r="D100" s="121"/>
      <c r="E100" s="121"/>
      <c r="F100" s="121"/>
      <c r="G100" s="121"/>
      <c r="H100" s="121"/>
      <c r="I100" s="121">
        <f>Table134[[#This Row],[Length]]*Table134[[#This Row],[Weight of  steel]]</f>
        <v>0</v>
      </c>
      <c r="J100" s="121"/>
      <c r="K100" s="122"/>
    </row>
    <row r="101" spans="2:11" x14ac:dyDescent="0.25">
      <c r="B101" s="119"/>
      <c r="C101" s="135"/>
      <c r="D101" s="121"/>
      <c r="E101" s="121"/>
      <c r="F101" s="121"/>
      <c r="G101" s="121"/>
      <c r="H101" s="121"/>
      <c r="I101" s="121">
        <f>Table134[[#This Row],[Length]]*Table134[[#This Row],[Weight of  steel]]</f>
        <v>0</v>
      </c>
      <c r="J101" s="121"/>
      <c r="K101" s="122"/>
    </row>
    <row r="102" spans="2:11" x14ac:dyDescent="0.25">
      <c r="B102" s="119"/>
      <c r="C102" s="135"/>
      <c r="D102" s="121"/>
      <c r="E102" s="121"/>
      <c r="F102" s="121"/>
      <c r="G102" s="121"/>
      <c r="H102" s="121"/>
      <c r="I102" s="121">
        <f>Table134[[#This Row],[Length]]*Table134[[#This Row],[Weight of  steel]]</f>
        <v>0</v>
      </c>
      <c r="J102" s="121"/>
      <c r="K102" s="122"/>
    </row>
    <row r="103" spans="2:11" x14ac:dyDescent="0.25">
      <c r="B103" s="119"/>
      <c r="C103" s="135"/>
      <c r="D103" s="121"/>
      <c r="E103" s="121"/>
      <c r="F103" s="121"/>
      <c r="G103" s="121"/>
      <c r="H103" s="121"/>
      <c r="I103" s="121">
        <f>Table134[[#This Row],[Length]]*Table134[[#This Row],[Weight of  steel]]</f>
        <v>0</v>
      </c>
      <c r="J103" s="121"/>
      <c r="K103" s="122"/>
    </row>
    <row r="104" spans="2:11" x14ac:dyDescent="0.25">
      <c r="B104" s="119"/>
      <c r="C104" s="135"/>
      <c r="D104" s="121"/>
      <c r="E104" s="121"/>
      <c r="F104" s="121"/>
      <c r="G104" s="121"/>
      <c r="H104" s="121"/>
      <c r="I104" s="121">
        <f>Table134[[#This Row],[Length]]*Table134[[#This Row],[Weight of  steel]]</f>
        <v>0</v>
      </c>
      <c r="J104" s="121"/>
      <c r="K104" s="122"/>
    </row>
    <row r="105" spans="2:11" x14ac:dyDescent="0.25">
      <c r="B105" s="119"/>
      <c r="C105" s="135"/>
      <c r="D105" s="121"/>
      <c r="E105" s="121"/>
      <c r="F105" s="121"/>
      <c r="G105" s="121"/>
      <c r="H105" s="121"/>
      <c r="I105" s="121">
        <f>Table134[[#This Row],[Length]]*Table134[[#This Row],[Weight of  steel]]</f>
        <v>0</v>
      </c>
      <c r="J105" s="121"/>
      <c r="K105" s="122"/>
    </row>
    <row r="106" spans="2:11" x14ac:dyDescent="0.25">
      <c r="B106" s="119"/>
      <c r="C106" s="135"/>
      <c r="D106" s="121"/>
      <c r="E106" s="121"/>
      <c r="F106" s="121"/>
      <c r="G106" s="121"/>
      <c r="H106" s="121"/>
      <c r="I106" s="121">
        <f>Table134[[#This Row],[Length]]*Table134[[#This Row],[Weight of  steel]]</f>
        <v>0</v>
      </c>
      <c r="J106" s="121"/>
      <c r="K106" s="122"/>
    </row>
    <row r="107" spans="2:11" x14ac:dyDescent="0.25">
      <c r="B107" s="119"/>
      <c r="C107" s="135"/>
      <c r="D107" s="121"/>
      <c r="E107" s="121"/>
      <c r="F107" s="121"/>
      <c r="G107" s="121"/>
      <c r="H107" s="121"/>
      <c r="I107" s="121">
        <f>Table134[[#This Row],[Length]]*Table134[[#This Row],[Weight of  steel]]</f>
        <v>0</v>
      </c>
      <c r="J107" s="121"/>
      <c r="K107" s="122"/>
    </row>
    <row r="108" spans="2:11" x14ac:dyDescent="0.25">
      <c r="B108" s="119"/>
      <c r="C108" s="135"/>
      <c r="D108" s="121"/>
      <c r="E108" s="121"/>
      <c r="F108" s="121"/>
      <c r="G108" s="121"/>
      <c r="H108" s="121"/>
      <c r="I108" s="121">
        <f>Table134[[#This Row],[Length]]*Table134[[#This Row],[Weight of  steel]]</f>
        <v>0</v>
      </c>
      <c r="J108" s="121"/>
      <c r="K108" s="122"/>
    </row>
    <row r="109" spans="2:11" x14ac:dyDescent="0.25">
      <c r="B109" s="119"/>
      <c r="C109" s="135"/>
      <c r="D109" s="121"/>
      <c r="E109" s="121"/>
      <c r="F109" s="121"/>
      <c r="G109" s="121"/>
      <c r="H109" s="121"/>
      <c r="I109" s="121">
        <f>Table134[[#This Row],[Length]]*Table134[[#This Row],[Weight of  steel]]</f>
        <v>0</v>
      </c>
      <c r="J109" s="121"/>
      <c r="K109" s="122"/>
    </row>
    <row r="110" spans="2:11" x14ac:dyDescent="0.25">
      <c r="B110" s="119"/>
      <c r="C110" s="136"/>
      <c r="D110" s="121"/>
      <c r="E110" s="121"/>
      <c r="F110" s="121"/>
      <c r="G110" s="121"/>
      <c r="H110" s="121"/>
      <c r="I110" s="121">
        <f>Table134[[#This Row],[Length]]*Table134[[#This Row],[Weight of  steel]]</f>
        <v>0</v>
      </c>
      <c r="J110" s="121"/>
      <c r="K110" s="122"/>
    </row>
    <row r="111" spans="2:11" x14ac:dyDescent="0.25">
      <c r="B111" s="119"/>
      <c r="C111" s="136"/>
      <c r="D111" s="121"/>
      <c r="E111" s="121"/>
      <c r="F111" s="121"/>
      <c r="G111" s="121"/>
      <c r="H111" s="121"/>
      <c r="I111" s="121">
        <f>Table134[[#This Row],[Length]]*Table134[[#This Row],[Weight of  steel]]</f>
        <v>0</v>
      </c>
      <c r="J111" s="121"/>
      <c r="K111" s="122"/>
    </row>
    <row r="112" spans="2:11" x14ac:dyDescent="0.25">
      <c r="B112" s="119"/>
      <c r="C112" s="136"/>
      <c r="D112" s="121"/>
      <c r="E112" s="121"/>
      <c r="F112" s="121"/>
      <c r="G112" s="121"/>
      <c r="H112" s="121"/>
      <c r="I112" s="121">
        <f>Table134[[#This Row],[Length]]*Table134[[#This Row],[Weight of  steel]]</f>
        <v>0</v>
      </c>
      <c r="J112" s="121"/>
      <c r="K112" s="122"/>
    </row>
    <row r="113" spans="2:11" x14ac:dyDescent="0.25">
      <c r="B113" s="119"/>
      <c r="C113" s="136"/>
      <c r="D113" s="121"/>
      <c r="E113" s="121"/>
      <c r="F113" s="121"/>
      <c r="G113" s="121"/>
      <c r="H113" s="121"/>
      <c r="I113" s="121">
        <f>Table134[[#This Row],[Length]]*Table134[[#This Row],[Weight of  steel]]</f>
        <v>0</v>
      </c>
      <c r="J113" s="121"/>
      <c r="K113" s="122"/>
    </row>
    <row r="114" spans="2:11" x14ac:dyDescent="0.25">
      <c r="B114" s="119"/>
      <c r="C114" s="136"/>
      <c r="D114" s="121"/>
      <c r="E114" s="121"/>
      <c r="F114" s="121"/>
      <c r="G114" s="121"/>
      <c r="H114" s="121"/>
      <c r="I114" s="121">
        <f>Table134[[#This Row],[Length]]*Table134[[#This Row],[Weight of  steel]]</f>
        <v>0</v>
      </c>
      <c r="J114" s="121"/>
      <c r="K114" s="122"/>
    </row>
    <row r="115" spans="2:11" x14ac:dyDescent="0.25">
      <c r="B115" s="119"/>
      <c r="C115" s="136"/>
      <c r="D115" s="121"/>
      <c r="E115" s="121"/>
      <c r="F115" s="121"/>
      <c r="G115" s="121"/>
      <c r="H115" s="121"/>
      <c r="I115" s="121">
        <f>Table134[[#This Row],[Length]]*Table134[[#This Row],[Weight of  steel]]</f>
        <v>0</v>
      </c>
      <c r="J115" s="121"/>
      <c r="K115" s="122"/>
    </row>
    <row r="116" spans="2:11" x14ac:dyDescent="0.25">
      <c r="B116" s="119"/>
      <c r="C116" s="136"/>
      <c r="D116" s="121"/>
      <c r="E116" s="121"/>
      <c r="F116" s="121"/>
      <c r="G116" s="121"/>
      <c r="H116" s="121"/>
      <c r="I116" s="121">
        <f>Table134[[#This Row],[Length]]*Table134[[#This Row],[Weight of  steel]]</f>
        <v>0</v>
      </c>
      <c r="J116" s="121"/>
      <c r="K116" s="122"/>
    </row>
    <row r="117" spans="2:11" x14ac:dyDescent="0.25">
      <c r="B117" s="119"/>
      <c r="C117" s="136"/>
      <c r="D117" s="121"/>
      <c r="E117" s="121"/>
      <c r="F117" s="121"/>
      <c r="G117" s="121"/>
      <c r="H117" s="121"/>
      <c r="I117" s="121">
        <f>Table134[[#This Row],[Length]]*Table134[[#This Row],[Weight of  steel]]</f>
        <v>0</v>
      </c>
      <c r="J117" s="121"/>
      <c r="K117" s="122"/>
    </row>
    <row r="118" spans="2:11" x14ac:dyDescent="0.25">
      <c r="B118" s="119"/>
      <c r="C118" s="136"/>
      <c r="D118" s="121"/>
      <c r="E118" s="121"/>
      <c r="F118" s="121"/>
      <c r="G118" s="121"/>
      <c r="H118" s="121"/>
      <c r="I118" s="121">
        <f>Table134[[#This Row],[Length]]*Table134[[#This Row],[Weight of  steel]]</f>
        <v>0</v>
      </c>
      <c r="J118" s="121"/>
      <c r="K118" s="122"/>
    </row>
    <row r="119" spans="2:11" x14ac:dyDescent="0.25">
      <c r="B119" s="119"/>
      <c r="C119" s="136"/>
      <c r="D119" s="121"/>
      <c r="E119" s="121"/>
      <c r="F119" s="121"/>
      <c r="G119" s="121"/>
      <c r="H119" s="121"/>
      <c r="I119" s="121">
        <f>Table134[[#This Row],[Length]]*Table134[[#This Row],[Weight of  steel]]</f>
        <v>0</v>
      </c>
      <c r="J119" s="121"/>
      <c r="K119" s="122"/>
    </row>
    <row r="120" spans="2:11" x14ac:dyDescent="0.25">
      <c r="B120" s="119"/>
      <c r="C120" s="136"/>
      <c r="D120" s="121"/>
      <c r="E120" s="121"/>
      <c r="F120" s="121"/>
      <c r="G120" s="121"/>
      <c r="H120" s="121"/>
      <c r="I120" s="121">
        <f>Table134[[#This Row],[Length]]*Table134[[#This Row],[Weight of  steel]]</f>
        <v>0</v>
      </c>
      <c r="J120" s="121"/>
      <c r="K120" s="122"/>
    </row>
    <row r="121" spans="2:11" x14ac:dyDescent="0.25">
      <c r="B121" s="119"/>
      <c r="C121" s="136"/>
      <c r="D121" s="121"/>
      <c r="E121" s="121"/>
      <c r="F121" s="121"/>
      <c r="G121" s="121"/>
      <c r="H121" s="121"/>
      <c r="I121" s="121">
        <f>Table134[[#This Row],[Length]]*Table134[[#This Row],[Weight of  steel]]</f>
        <v>0</v>
      </c>
      <c r="J121" s="121"/>
      <c r="K121" s="122"/>
    </row>
    <row r="122" spans="2:11" x14ac:dyDescent="0.25">
      <c r="B122" s="119"/>
      <c r="C122" s="136"/>
      <c r="D122" s="121"/>
      <c r="E122" s="121"/>
      <c r="F122" s="121"/>
      <c r="G122" s="121"/>
      <c r="H122" s="121"/>
      <c r="I122" s="121">
        <f>Table134[[#This Row],[Length]]*Table134[[#This Row],[Weight of  steel]]</f>
        <v>0</v>
      </c>
      <c r="J122" s="121"/>
      <c r="K122" s="122"/>
    </row>
    <row r="123" spans="2:11" x14ac:dyDescent="0.25">
      <c r="B123" s="119"/>
      <c r="C123" s="136"/>
      <c r="D123" s="121"/>
      <c r="E123" s="121"/>
      <c r="F123" s="121"/>
      <c r="G123" s="121"/>
      <c r="H123" s="121"/>
      <c r="I123" s="121">
        <f>Table134[[#This Row],[Length]]*Table134[[#This Row],[Weight of  steel]]</f>
        <v>0</v>
      </c>
      <c r="J123" s="121"/>
      <c r="K123" s="122"/>
    </row>
    <row r="124" spans="2:11" x14ac:dyDescent="0.25">
      <c r="B124" s="119"/>
      <c r="C124" s="136"/>
      <c r="D124" s="121"/>
      <c r="E124" s="121"/>
      <c r="F124" s="121"/>
      <c r="G124" s="121"/>
      <c r="H124" s="121"/>
      <c r="I124" s="121">
        <f>Table134[[#This Row],[Length]]*Table134[[#This Row],[Weight of  steel]]</f>
        <v>0</v>
      </c>
      <c r="J124" s="121"/>
      <c r="K124" s="122"/>
    </row>
    <row r="125" spans="2:11" x14ac:dyDescent="0.25">
      <c r="B125" s="119"/>
      <c r="C125" s="137"/>
      <c r="D125" s="121"/>
      <c r="E125" s="121"/>
      <c r="F125" s="121"/>
      <c r="G125" s="121"/>
      <c r="H125" s="121"/>
      <c r="I125" s="121">
        <f>Table134[[#This Row],[Length]]*Table134[[#This Row],[Weight of  steel]]</f>
        <v>0</v>
      </c>
      <c r="J125" s="121"/>
      <c r="K125" s="122"/>
    </row>
    <row r="126" spans="2:11" x14ac:dyDescent="0.25">
      <c r="B126" s="119"/>
      <c r="C126" s="137"/>
      <c r="D126" s="121"/>
      <c r="E126" s="121"/>
      <c r="F126" s="121"/>
      <c r="G126" s="121"/>
      <c r="H126" s="121"/>
      <c r="I126" s="121">
        <f>Table134[[#This Row],[Length]]*Table134[[#This Row],[Weight of  steel]]</f>
        <v>0</v>
      </c>
      <c r="J126" s="121"/>
      <c r="K126" s="122"/>
    </row>
    <row r="127" spans="2:11" x14ac:dyDescent="0.25">
      <c r="B127" s="119"/>
      <c r="C127" s="137"/>
      <c r="D127" s="121"/>
      <c r="E127" s="121"/>
      <c r="F127" s="121"/>
      <c r="G127" s="121"/>
      <c r="H127" s="121"/>
      <c r="I127" s="121">
        <f>Table134[[#This Row],[Length]]*Table134[[#This Row],[Weight of  steel]]</f>
        <v>0</v>
      </c>
      <c r="J127" s="121"/>
      <c r="K127" s="122"/>
    </row>
    <row r="128" spans="2:11" x14ac:dyDescent="0.25">
      <c r="B128" s="119"/>
      <c r="C128" s="137"/>
      <c r="D128" s="121"/>
      <c r="E128" s="121"/>
      <c r="F128" s="121"/>
      <c r="G128" s="121"/>
      <c r="H128" s="121"/>
      <c r="I128" s="121">
        <f>Table134[[#This Row],[Length]]*Table134[[#This Row],[Weight of  steel]]</f>
        <v>0</v>
      </c>
      <c r="J128" s="121"/>
      <c r="K128" s="122"/>
    </row>
    <row r="129" spans="2:11" x14ac:dyDescent="0.25">
      <c r="B129" s="119"/>
      <c r="C129" s="137"/>
      <c r="D129" s="121"/>
      <c r="E129" s="121"/>
      <c r="F129" s="121"/>
      <c r="G129" s="121"/>
      <c r="H129" s="121"/>
      <c r="I129" s="121">
        <f>Table134[[#This Row],[Length]]*Table134[[#This Row],[Weight of  steel]]</f>
        <v>0</v>
      </c>
      <c r="J129" s="121"/>
      <c r="K129" s="122"/>
    </row>
    <row r="130" spans="2:11" x14ac:dyDescent="0.25">
      <c r="B130" s="119"/>
      <c r="C130" s="137"/>
      <c r="D130" s="121"/>
      <c r="E130" s="121"/>
      <c r="F130" s="121"/>
      <c r="G130" s="121"/>
      <c r="H130" s="121"/>
      <c r="I130" s="121">
        <f>Table134[[#This Row],[Length]]*Table134[[#This Row],[Weight of  steel]]</f>
        <v>0</v>
      </c>
      <c r="J130" s="121"/>
      <c r="K130" s="122"/>
    </row>
    <row r="131" spans="2:11" x14ac:dyDescent="0.25">
      <c r="B131" s="119"/>
      <c r="C131" s="137"/>
      <c r="D131" s="121"/>
      <c r="E131" s="121"/>
      <c r="F131" s="121"/>
      <c r="G131" s="121"/>
      <c r="H131" s="121"/>
      <c r="I131" s="121">
        <f>Table134[[#This Row],[Length]]*Table134[[#This Row],[Weight of  steel]]</f>
        <v>0</v>
      </c>
      <c r="J131" s="121"/>
      <c r="K131" s="122"/>
    </row>
    <row r="132" spans="2:11" x14ac:dyDescent="0.25">
      <c r="B132" s="119"/>
      <c r="C132" s="137"/>
      <c r="D132" s="121"/>
      <c r="E132" s="121"/>
      <c r="F132" s="121"/>
      <c r="G132" s="121"/>
      <c r="H132" s="121"/>
      <c r="I132" s="121">
        <f>Table134[[#This Row],[Length]]*Table134[[#This Row],[Weight of  steel]]</f>
        <v>0</v>
      </c>
      <c r="J132" s="121"/>
      <c r="K132" s="122"/>
    </row>
    <row r="133" spans="2:11" x14ac:dyDescent="0.25">
      <c r="B133" s="119"/>
      <c r="C133" s="137"/>
      <c r="D133" s="121"/>
      <c r="E133" s="121"/>
      <c r="F133" s="121"/>
      <c r="G133" s="121"/>
      <c r="H133" s="121"/>
      <c r="I133" s="121">
        <f>Table134[[#This Row],[Length]]*Table134[[#This Row],[Weight of  steel]]</f>
        <v>0</v>
      </c>
      <c r="J133" s="121"/>
      <c r="K133" s="122"/>
    </row>
    <row r="134" spans="2:11" x14ac:dyDescent="0.25">
      <c r="B134" s="119"/>
      <c r="C134" s="137"/>
      <c r="D134" s="121"/>
      <c r="E134" s="121"/>
      <c r="F134" s="121"/>
      <c r="G134" s="121"/>
      <c r="H134" s="121"/>
      <c r="I134" s="121">
        <f>Table134[[#This Row],[Length]]*Table134[[#This Row],[Weight of  steel]]</f>
        <v>0</v>
      </c>
      <c r="J134" s="121"/>
      <c r="K134" s="122"/>
    </row>
    <row r="135" spans="2:11" x14ac:dyDescent="0.25">
      <c r="B135" s="119"/>
      <c r="C135" s="137"/>
      <c r="D135" s="121"/>
      <c r="E135" s="121"/>
      <c r="F135" s="121"/>
      <c r="G135" s="121"/>
      <c r="H135" s="121"/>
      <c r="I135" s="121">
        <f>Table134[[#This Row],[Length]]*Table134[[#This Row],[Weight of  steel]]</f>
        <v>0</v>
      </c>
      <c r="J135" s="121"/>
      <c r="K135" s="122"/>
    </row>
    <row r="136" spans="2:11" x14ac:dyDescent="0.25">
      <c r="B136" s="119"/>
      <c r="C136" s="137"/>
      <c r="D136" s="121"/>
      <c r="E136" s="121"/>
      <c r="F136" s="121"/>
      <c r="G136" s="121"/>
      <c r="H136" s="121"/>
      <c r="I136" s="121">
        <f>Table134[[#This Row],[Length]]*Table134[[#This Row],[Weight of  steel]]</f>
        <v>0</v>
      </c>
      <c r="J136" s="121"/>
      <c r="K136" s="122"/>
    </row>
    <row r="137" spans="2:11" x14ac:dyDescent="0.25">
      <c r="B137" s="119"/>
      <c r="C137" s="137"/>
      <c r="D137" s="121"/>
      <c r="E137" s="121"/>
      <c r="F137" s="121"/>
      <c r="G137" s="121"/>
      <c r="H137" s="121"/>
      <c r="I137" s="121">
        <f>Table134[[#This Row],[Length]]*Table134[[#This Row],[Weight of  steel]]</f>
        <v>0</v>
      </c>
      <c r="J137" s="121"/>
      <c r="K137" s="122"/>
    </row>
    <row r="138" spans="2:11" x14ac:dyDescent="0.25">
      <c r="B138" s="119"/>
      <c r="C138" s="137"/>
      <c r="D138" s="121"/>
      <c r="E138" s="121"/>
      <c r="F138" s="121"/>
      <c r="G138" s="121"/>
      <c r="H138" s="121"/>
      <c r="I138" s="121">
        <f>Table134[[#This Row],[Length]]*Table134[[#This Row],[Weight of  steel]]</f>
        <v>0</v>
      </c>
      <c r="J138" s="121"/>
      <c r="K138" s="122"/>
    </row>
    <row r="139" spans="2:11" x14ac:dyDescent="0.25">
      <c r="B139" s="119"/>
      <c r="C139" s="137"/>
      <c r="D139" s="121"/>
      <c r="E139" s="121"/>
      <c r="F139" s="121"/>
      <c r="G139" s="121"/>
      <c r="H139" s="121"/>
      <c r="I139" s="121">
        <f>Table134[[#This Row],[Length]]*Table134[[#This Row],[Weight of  steel]]</f>
        <v>0</v>
      </c>
      <c r="J139" s="121"/>
      <c r="K139" s="122"/>
    </row>
    <row r="140" spans="2:11" x14ac:dyDescent="0.25">
      <c r="B140" s="119"/>
      <c r="C140" s="138"/>
      <c r="D140" s="121"/>
      <c r="E140" s="121"/>
      <c r="F140" s="121"/>
      <c r="G140" s="121"/>
      <c r="H140" s="121"/>
      <c r="I140" s="121">
        <f>Table134[[#This Row],[Length]]*Table134[[#This Row],[Weight of  steel]]</f>
        <v>0</v>
      </c>
      <c r="J140" s="121"/>
      <c r="K140" s="122"/>
    </row>
    <row r="141" spans="2:11" x14ac:dyDescent="0.25">
      <c r="B141" s="119"/>
      <c r="C141" s="138"/>
      <c r="D141" s="121"/>
      <c r="E141" s="121"/>
      <c r="F141" s="121"/>
      <c r="G141" s="121"/>
      <c r="H141" s="121"/>
      <c r="I141" s="121">
        <f>Table134[[#This Row],[Length]]*Table134[[#This Row],[Weight of  steel]]</f>
        <v>0</v>
      </c>
      <c r="J141" s="121"/>
      <c r="K141" s="122"/>
    </row>
    <row r="142" spans="2:11" x14ac:dyDescent="0.25">
      <c r="B142" s="119"/>
      <c r="C142" s="138"/>
      <c r="D142" s="121"/>
      <c r="E142" s="121"/>
      <c r="F142" s="121"/>
      <c r="G142" s="121"/>
      <c r="H142" s="121"/>
      <c r="I142" s="121">
        <f>Table134[[#This Row],[Length]]*Table134[[#This Row],[Weight of  steel]]</f>
        <v>0</v>
      </c>
      <c r="J142" s="121"/>
      <c r="K142" s="122"/>
    </row>
    <row r="143" spans="2:11" x14ac:dyDescent="0.25">
      <c r="B143" s="119"/>
      <c r="C143" s="138"/>
      <c r="D143" s="121"/>
      <c r="E143" s="121"/>
      <c r="F143" s="121"/>
      <c r="G143" s="121"/>
      <c r="H143" s="121"/>
      <c r="I143" s="121">
        <f>Table134[[#This Row],[Length]]*Table134[[#This Row],[Weight of  steel]]</f>
        <v>0</v>
      </c>
      <c r="J143" s="121"/>
      <c r="K143" s="122"/>
    </row>
    <row r="144" spans="2:11" x14ac:dyDescent="0.25">
      <c r="B144" s="119"/>
      <c r="C144" s="138"/>
      <c r="D144" s="121"/>
      <c r="E144" s="121"/>
      <c r="F144" s="121"/>
      <c r="G144" s="121"/>
      <c r="H144" s="121"/>
      <c r="I144" s="121">
        <f>Table134[[#This Row],[Length]]*Table134[[#This Row],[Weight of  steel]]</f>
        <v>0</v>
      </c>
      <c r="J144" s="121"/>
      <c r="K144" s="122"/>
    </row>
    <row r="145" spans="2:11" x14ac:dyDescent="0.25">
      <c r="B145" s="119"/>
      <c r="C145" s="138"/>
      <c r="D145" s="121"/>
      <c r="E145" s="121"/>
      <c r="F145" s="121"/>
      <c r="G145" s="121"/>
      <c r="H145" s="121"/>
      <c r="I145" s="121">
        <f>Table134[[#This Row],[Length]]*Table134[[#This Row],[Weight of  steel]]</f>
        <v>0</v>
      </c>
      <c r="J145" s="121"/>
      <c r="K145" s="122"/>
    </row>
    <row r="146" spans="2:11" x14ac:dyDescent="0.25">
      <c r="B146" s="119"/>
      <c r="C146" s="139"/>
      <c r="D146" s="121"/>
      <c r="E146" s="121"/>
      <c r="F146" s="121"/>
      <c r="G146" s="121"/>
      <c r="H146" s="121"/>
      <c r="I146" s="121">
        <f>Table134[[#This Row],[Length]]*Table134[[#This Row],[Weight of  steel]]</f>
        <v>0</v>
      </c>
      <c r="J146" s="121"/>
      <c r="K146" s="122"/>
    </row>
    <row r="147" spans="2:11" x14ac:dyDescent="0.25">
      <c r="B147" s="119"/>
      <c r="C147" s="139"/>
      <c r="D147" s="121"/>
      <c r="E147" s="121"/>
      <c r="F147" s="121"/>
      <c r="G147" s="121"/>
      <c r="H147" s="121"/>
      <c r="I147" s="121">
        <f>Table134[[#This Row],[Length]]*Table134[[#This Row],[Weight of  steel]]</f>
        <v>0</v>
      </c>
      <c r="J147" s="121"/>
      <c r="K147" s="122"/>
    </row>
    <row r="148" spans="2:11" x14ac:dyDescent="0.25">
      <c r="B148" s="119"/>
      <c r="C148" s="139"/>
      <c r="D148" s="121"/>
      <c r="E148" s="121"/>
      <c r="F148" s="121"/>
      <c r="G148" s="121"/>
      <c r="H148" s="121"/>
      <c r="I148" s="121">
        <f>Table134[[#This Row],[Length]]*Table134[[#This Row],[Weight of  steel]]</f>
        <v>0</v>
      </c>
      <c r="J148" s="121"/>
      <c r="K148" s="122"/>
    </row>
    <row r="149" spans="2:11" x14ac:dyDescent="0.25">
      <c r="B149" s="119"/>
      <c r="C149" s="139"/>
      <c r="D149" s="121"/>
      <c r="E149" s="121"/>
      <c r="F149" s="121"/>
      <c r="G149" s="121"/>
      <c r="H149" s="121"/>
      <c r="I149" s="121">
        <f>Table134[[#This Row],[Length]]*Table134[[#This Row],[Weight of  steel]]</f>
        <v>0</v>
      </c>
      <c r="J149" s="121"/>
      <c r="K149" s="122"/>
    </row>
    <row r="150" spans="2:11" x14ac:dyDescent="0.25">
      <c r="B150" s="119"/>
      <c r="C150" s="139"/>
      <c r="D150" s="121"/>
      <c r="E150" s="121"/>
      <c r="F150" s="121"/>
      <c r="G150" s="121"/>
      <c r="H150" s="121"/>
      <c r="I150" s="121">
        <f>Table134[[#This Row],[Length]]*Table134[[#This Row],[Weight of  steel]]</f>
        <v>0</v>
      </c>
      <c r="J150" s="121"/>
      <c r="K150" s="122"/>
    </row>
    <row r="151" spans="2:11" x14ac:dyDescent="0.25">
      <c r="B151" s="140"/>
      <c r="C151" s="141"/>
      <c r="D151" s="142"/>
      <c r="E151" s="142"/>
      <c r="F151" s="142"/>
      <c r="G151" s="142"/>
      <c r="H151" s="121"/>
      <c r="I151" s="142">
        <f>Table134[[#This Row],[Length]]*Table134[[#This Row],[Weight of  steel]]</f>
        <v>0</v>
      </c>
      <c r="J151" s="121"/>
      <c r="K151" s="122"/>
    </row>
    <row r="152" spans="2:11" x14ac:dyDescent="0.25">
      <c r="B152" s="143"/>
      <c r="C152" s="144"/>
      <c r="D152" s="145"/>
      <c r="E152" s="145"/>
      <c r="F152" s="145"/>
      <c r="G152" s="145"/>
      <c r="H152" s="145"/>
      <c r="I152" s="145"/>
      <c r="J152" s="145"/>
      <c r="K152" s="146"/>
    </row>
    <row r="153" spans="2:11" x14ac:dyDescent="0.25">
      <c r="J153" s="148">
        <f>Table134[[#Totals],[Weight of  steel]]*7.9</f>
        <v>0</v>
      </c>
      <c r="K153" s="149">
        <f>Table134[[#Totals],[Volume of Concrete]]*5700</f>
        <v>0</v>
      </c>
    </row>
    <row r="154" spans="2:11" x14ac:dyDescent="0.25">
      <c r="J154" s="150">
        <f>J153*93000</f>
        <v>0</v>
      </c>
      <c r="K154" s="149">
        <f>K153+J154</f>
        <v>0</v>
      </c>
    </row>
    <row r="155" spans="2:11" x14ac:dyDescent="0.25">
      <c r="J155" s="149"/>
      <c r="K155" s="112" t="e">
        <f>K154/Table134[[#Totals],[Length]]</f>
        <v>#DIV/0!</v>
      </c>
    </row>
  </sheetData>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67"/>
  <sheetViews>
    <sheetView workbookViewId="0">
      <selection activeCell="K20" sqref="K20"/>
    </sheetView>
  </sheetViews>
  <sheetFormatPr defaultRowHeight="15" x14ac:dyDescent="0.25"/>
  <cols>
    <col min="1" max="1" width="2" style="113" customWidth="1"/>
    <col min="2" max="2" width="12.85546875" style="112" bestFit="1" customWidth="1"/>
    <col min="3" max="3" width="14.42578125" style="147" bestFit="1" customWidth="1"/>
    <col min="4" max="4" width="13.7109375" style="112" bestFit="1" customWidth="1"/>
    <col min="5" max="5" width="16.140625" style="112" customWidth="1"/>
    <col min="6" max="6" width="11.28515625" style="112" hidden="1" customWidth="1"/>
    <col min="7" max="7" width="13.140625" style="112" bestFit="1" customWidth="1"/>
    <col min="8" max="8" width="32" style="112" customWidth="1"/>
    <col min="9" max="9" width="29.85546875" style="112" hidden="1" customWidth="1"/>
    <col min="10" max="10" width="22.140625" style="112" customWidth="1"/>
    <col min="11" max="11" width="25.5703125" style="112" bestFit="1" customWidth="1"/>
    <col min="12" max="18" width="9.140625" style="113"/>
    <col min="19" max="19" width="12.5703125" style="113" bestFit="1" customWidth="1"/>
    <col min="20" max="16384" width="9.140625" style="113"/>
  </cols>
  <sheetData>
    <row r="1" spans="2:19" x14ac:dyDescent="0.25">
      <c r="C1" s="112"/>
    </row>
    <row r="2" spans="2:19" ht="23.25" x14ac:dyDescent="0.25">
      <c r="B2" s="114" t="s">
        <v>794</v>
      </c>
      <c r="C2" s="114"/>
    </row>
    <row r="3" spans="2:19" x14ac:dyDescent="0.25">
      <c r="C3" s="112"/>
    </row>
    <row r="4" spans="2:19" x14ac:dyDescent="0.25">
      <c r="C4" s="112"/>
    </row>
    <row r="5" spans="2:19" ht="15.75" x14ac:dyDescent="0.25">
      <c r="B5" s="115" t="s">
        <v>102</v>
      </c>
      <c r="C5" s="116" t="s">
        <v>517</v>
      </c>
      <c r="D5" s="116" t="s">
        <v>518</v>
      </c>
      <c r="E5" s="116" t="s">
        <v>795</v>
      </c>
      <c r="F5" s="116" t="s">
        <v>520</v>
      </c>
      <c r="G5" s="116" t="s">
        <v>521</v>
      </c>
      <c r="H5" s="117" t="s">
        <v>796</v>
      </c>
      <c r="I5" s="117" t="s">
        <v>797</v>
      </c>
      <c r="J5" s="117" t="s">
        <v>809</v>
      </c>
      <c r="K5" s="118" t="s">
        <v>788</v>
      </c>
    </row>
    <row r="6" spans="2:19" x14ac:dyDescent="0.25">
      <c r="B6" s="119"/>
      <c r="C6" s="120"/>
      <c r="D6" s="121"/>
      <c r="E6" s="121"/>
      <c r="F6" s="121"/>
      <c r="G6" s="121"/>
      <c r="H6" s="121"/>
      <c r="I6" s="121">
        <f>Table1345[[#This Row],[Length]]*Table1345[[#This Row],[Weight of  steel]]</f>
        <v>0</v>
      </c>
      <c r="J6" s="121"/>
      <c r="K6" s="122"/>
      <c r="N6" s="123" t="s">
        <v>800</v>
      </c>
      <c r="O6" s="123" t="s">
        <v>801</v>
      </c>
      <c r="P6" s="123" t="s">
        <v>802</v>
      </c>
      <c r="Q6" s="123" t="s">
        <v>803</v>
      </c>
      <c r="R6" s="123" t="s">
        <v>810</v>
      </c>
      <c r="S6" s="123" t="s">
        <v>824</v>
      </c>
    </row>
    <row r="7" spans="2:19" x14ac:dyDescent="0.25">
      <c r="B7" s="119">
        <v>1</v>
      </c>
      <c r="C7" s="134">
        <v>2</v>
      </c>
      <c r="D7" s="121" t="s">
        <v>526</v>
      </c>
      <c r="E7" s="121">
        <f t="shared" ref="E7:E13" si="0">VLOOKUP(D7,$N$6:$S$15,3,FALSE)</f>
        <v>1</v>
      </c>
      <c r="F7" s="121" t="s">
        <v>799</v>
      </c>
      <c r="G7" s="121">
        <f t="shared" ref="G7:G13" si="1">VLOOKUP(D7,$N$6:$S$15,4,FALSE)</f>
        <v>42.1</v>
      </c>
      <c r="H7" s="121">
        <f>3.14*((E7/2)^2)</f>
        <v>0.78500000000000003</v>
      </c>
      <c r="I7" s="121">
        <f>Table1345[[#This Row],[Length]]*Table1345[[#This Row],[Weight of  steel]]</f>
        <v>0</v>
      </c>
      <c r="J7" s="121">
        <f>VLOOKUP(Table1345[[#This Row],[Pile No.]],$N$6:$S$11,6,FALSE)</f>
        <v>0</v>
      </c>
      <c r="K7" s="122">
        <f>3.14*((Table1345[[#This Row],[Diameter ]]/2)^2)*Table1345[[#This Row],[Length]]</f>
        <v>33.048500000000004</v>
      </c>
      <c r="N7" s="123" t="s">
        <v>526</v>
      </c>
      <c r="O7" s="123">
        <v>1000</v>
      </c>
      <c r="P7" s="123">
        <f>O7/1000</f>
        <v>1</v>
      </c>
      <c r="Q7" s="123">
        <v>42.1</v>
      </c>
      <c r="R7" s="132">
        <v>4500</v>
      </c>
      <c r="S7" s="123"/>
    </row>
    <row r="8" spans="2:19" x14ac:dyDescent="0.25">
      <c r="B8" s="119">
        <v>2</v>
      </c>
      <c r="C8" s="165">
        <v>3</v>
      </c>
      <c r="D8" s="121" t="s">
        <v>568</v>
      </c>
      <c r="E8" s="121">
        <f t="shared" si="0"/>
        <v>1</v>
      </c>
      <c r="F8" s="121" t="s">
        <v>799</v>
      </c>
      <c r="G8" s="121">
        <f t="shared" si="1"/>
        <v>38.1</v>
      </c>
      <c r="H8" s="121">
        <f>2*3.14*((E8/2)^2)</f>
        <v>1.57</v>
      </c>
      <c r="I8" s="121">
        <f>Table1345[[#This Row],[Length]]*Table1345[[#This Row],[Weight of  steel]]</f>
        <v>0</v>
      </c>
      <c r="J8" s="121">
        <f>VLOOKUP(Table1345[[#This Row],[Pile No.]],$N$6:$S$11,6,FALSE)</f>
        <v>0</v>
      </c>
      <c r="K8" s="122">
        <f>2*3.14*((Table1345[[#This Row],[Diameter ]]/2)^2)*Table1345[[#This Row],[Length]]</f>
        <v>59.817000000000007</v>
      </c>
      <c r="N8" s="123" t="s">
        <v>565</v>
      </c>
      <c r="O8" s="123">
        <v>750</v>
      </c>
      <c r="P8" s="123">
        <f t="shared" ref="P8:P12" si="2">O8/1000</f>
        <v>0.75</v>
      </c>
      <c r="Q8" s="123">
        <v>37.1</v>
      </c>
      <c r="R8" s="132">
        <v>2700</v>
      </c>
      <c r="S8" s="123"/>
    </row>
    <row r="9" spans="2:19" x14ac:dyDescent="0.25">
      <c r="B9" s="119">
        <v>3</v>
      </c>
      <c r="C9" s="165">
        <v>4</v>
      </c>
      <c r="D9" s="121" t="s">
        <v>833</v>
      </c>
      <c r="E9" s="121" t="e">
        <f t="shared" si="0"/>
        <v>#N/A</v>
      </c>
      <c r="F9" s="121" t="s">
        <v>799</v>
      </c>
      <c r="G9" s="121" t="e">
        <f t="shared" si="1"/>
        <v>#N/A</v>
      </c>
      <c r="H9" s="121" t="e">
        <f>2*3.14*((E9/2)^2)</f>
        <v>#N/A</v>
      </c>
      <c r="I9" s="121" t="e">
        <f>Table1345[[#This Row],[Length]]*Table1345[[#This Row],[Weight of  steel]]</f>
        <v>#N/A</v>
      </c>
      <c r="J9" s="121" t="e">
        <f>VLOOKUP(Table1345[[#This Row],[Pile No.]],$N$6:$S$11,6,FALSE)</f>
        <v>#N/A</v>
      </c>
      <c r="K9" s="122" t="e">
        <f>2*3.14*((Table1345[[#This Row],[Diameter ]]/2)^2)*Table1345[[#This Row],[Length]]</f>
        <v>#N/A</v>
      </c>
      <c r="N9" s="123" t="s">
        <v>568</v>
      </c>
      <c r="O9" s="123">
        <v>1000</v>
      </c>
      <c r="P9" s="123">
        <f t="shared" si="2"/>
        <v>1</v>
      </c>
      <c r="Q9" s="123">
        <v>38.1</v>
      </c>
      <c r="R9" s="132">
        <v>4000</v>
      </c>
      <c r="S9" s="123"/>
    </row>
    <row r="10" spans="2:19" x14ac:dyDescent="0.25">
      <c r="B10" s="119">
        <v>4</v>
      </c>
      <c r="C10" s="165">
        <v>5</v>
      </c>
      <c r="D10" s="121"/>
      <c r="E10" s="121" t="e">
        <f t="shared" si="0"/>
        <v>#N/A</v>
      </c>
      <c r="F10" s="121" t="s">
        <v>799</v>
      </c>
      <c r="G10" s="121" t="e">
        <f t="shared" si="1"/>
        <v>#N/A</v>
      </c>
      <c r="H10" s="121" t="e">
        <f>2*3.14*((E10/2)^2)</f>
        <v>#N/A</v>
      </c>
      <c r="I10" s="121" t="e">
        <f>Table1345[[#This Row],[Length]]*Table1345[[#This Row],[Weight of  steel]]</f>
        <v>#N/A</v>
      </c>
      <c r="J10" s="121" t="e">
        <f>VLOOKUP(Table1345[[#This Row],[Pile No.]],$N$6:$S$11,6,FALSE)</f>
        <v>#N/A</v>
      </c>
      <c r="K10" s="122" t="e">
        <f>2*3.14*((Table1345[[#This Row],[Diameter ]]/2)^2)*Table1345[[#This Row],[Length]]</f>
        <v>#N/A</v>
      </c>
      <c r="N10" s="123" t="s">
        <v>571</v>
      </c>
      <c r="O10" s="123">
        <v>750</v>
      </c>
      <c r="P10" s="123">
        <f t="shared" si="2"/>
        <v>0.75</v>
      </c>
      <c r="Q10" s="123">
        <v>37.1</v>
      </c>
      <c r="R10" s="132">
        <v>2700</v>
      </c>
      <c r="S10" s="123"/>
    </row>
    <row r="11" spans="2:19" x14ac:dyDescent="0.25">
      <c r="B11" s="119">
        <v>5</v>
      </c>
      <c r="C11" s="166">
        <v>23</v>
      </c>
      <c r="D11" s="121" t="s">
        <v>568</v>
      </c>
      <c r="E11" s="121">
        <f t="shared" si="0"/>
        <v>1</v>
      </c>
      <c r="F11" s="121" t="s">
        <v>799</v>
      </c>
      <c r="G11" s="121">
        <f t="shared" si="1"/>
        <v>38.1</v>
      </c>
      <c r="H11" s="121">
        <f>2*3.14*((E11/2)^2)</f>
        <v>1.57</v>
      </c>
      <c r="I11" s="121">
        <f>Table1345[[#This Row],[Length]]*Table1345[[#This Row],[Weight of  steel]]</f>
        <v>0</v>
      </c>
      <c r="J11" s="121">
        <f>VLOOKUP(Table1345[[#This Row],[Pile No.]],$N$6:$S$11,6,FALSE)</f>
        <v>0</v>
      </c>
      <c r="K11" s="122">
        <f>2*3.14*((Table1345[[#This Row],[Diameter ]]/2)^2)*Table1345[[#This Row],[Length]]</f>
        <v>59.817000000000007</v>
      </c>
      <c r="N11" s="123" t="s">
        <v>825</v>
      </c>
      <c r="O11" s="123">
        <v>1000</v>
      </c>
      <c r="P11" s="123">
        <f t="shared" si="2"/>
        <v>1</v>
      </c>
      <c r="Q11" s="123">
        <v>44.1</v>
      </c>
      <c r="R11" s="132">
        <v>5000</v>
      </c>
      <c r="S11" s="132"/>
    </row>
    <row r="12" spans="2:19" x14ac:dyDescent="0.25">
      <c r="B12" s="119">
        <v>6</v>
      </c>
      <c r="C12" s="166">
        <v>34</v>
      </c>
      <c r="D12" s="121" t="s">
        <v>568</v>
      </c>
      <c r="E12" s="121">
        <f t="shared" si="0"/>
        <v>1</v>
      </c>
      <c r="F12" s="121" t="s">
        <v>799</v>
      </c>
      <c r="G12" s="121">
        <f t="shared" si="1"/>
        <v>38.1</v>
      </c>
      <c r="H12" s="121">
        <f>2*3.14*((E12/2)^2)</f>
        <v>1.57</v>
      </c>
      <c r="I12" s="121">
        <f>Table1345[[#This Row],[Length]]*Table1345[[#This Row],[Weight of  steel]]</f>
        <v>0</v>
      </c>
      <c r="J12" s="121">
        <f>VLOOKUP(Table1345[[#This Row],[Pile No.]],$N$6:$S$11,6,FALSE)</f>
        <v>0</v>
      </c>
      <c r="K12" s="122">
        <f>2*3.14*((Table1345[[#This Row],[Diameter ]]/2)^2)*Table1345[[#This Row],[Length]]</f>
        <v>59.817000000000007</v>
      </c>
      <c r="N12" s="123" t="s">
        <v>826</v>
      </c>
      <c r="O12" s="123">
        <v>750</v>
      </c>
      <c r="P12" s="123">
        <f t="shared" si="2"/>
        <v>0.75</v>
      </c>
      <c r="Q12" s="123">
        <v>37.1</v>
      </c>
      <c r="R12" s="132">
        <v>2700</v>
      </c>
      <c r="S12" s="132"/>
    </row>
    <row r="13" spans="2:19" x14ac:dyDescent="0.25">
      <c r="B13" s="119">
        <v>7</v>
      </c>
      <c r="C13" s="166">
        <v>45</v>
      </c>
      <c r="D13" s="121" t="s">
        <v>833</v>
      </c>
      <c r="E13" s="121" t="e">
        <f t="shared" si="0"/>
        <v>#N/A</v>
      </c>
      <c r="F13" s="121" t="s">
        <v>799</v>
      </c>
      <c r="G13" s="121" t="e">
        <f t="shared" si="1"/>
        <v>#N/A</v>
      </c>
      <c r="H13" s="121" t="e">
        <f>3.14*((E13/2)^2)</f>
        <v>#N/A</v>
      </c>
      <c r="I13" s="121" t="e">
        <f>Table1345[[#This Row],[Length]]*Table1345[[#This Row],[Weight of  steel]]</f>
        <v>#N/A</v>
      </c>
      <c r="J13" s="121" t="e">
        <f>VLOOKUP(Table1345[[#This Row],[Pile No.]],$N$6:$S$11,6,FALSE)</f>
        <v>#N/A</v>
      </c>
      <c r="K13" s="122" t="e">
        <f>3.14*((Table1345[[#This Row],[Diameter ]]/2)^2)*Table1345[[#This Row],[Length]]</f>
        <v>#N/A</v>
      </c>
      <c r="N13" s="123" t="s">
        <v>777</v>
      </c>
      <c r="O13" s="123">
        <v>600</v>
      </c>
      <c r="P13" s="123">
        <f>O13/1000</f>
        <v>0.6</v>
      </c>
      <c r="Q13" s="123">
        <v>11.1</v>
      </c>
      <c r="R13" s="132">
        <v>750</v>
      </c>
      <c r="S13" s="132"/>
    </row>
    <row r="14" spans="2:19" x14ac:dyDescent="0.25">
      <c r="B14" s="119">
        <v>8</v>
      </c>
      <c r="C14" s="125" t="s">
        <v>830</v>
      </c>
      <c r="D14" s="121" t="s">
        <v>526</v>
      </c>
      <c r="E14" s="121"/>
      <c r="F14" s="121" t="s">
        <v>799</v>
      </c>
      <c r="G14" s="121"/>
      <c r="H14" s="121"/>
      <c r="I14" s="121">
        <f>Table1345[[#This Row],[Length]]*Table1345[[#This Row],[Weight of  steel]]</f>
        <v>0</v>
      </c>
      <c r="J14" s="121"/>
      <c r="K14" s="122"/>
      <c r="N14" s="123" t="s">
        <v>780</v>
      </c>
      <c r="O14" s="123">
        <v>600</v>
      </c>
      <c r="P14" s="123">
        <f>O14/1000</f>
        <v>0.6</v>
      </c>
      <c r="Q14" s="123">
        <v>11.1</v>
      </c>
      <c r="R14" s="132">
        <v>750</v>
      </c>
      <c r="S14" s="132"/>
    </row>
    <row r="15" spans="2:19" x14ac:dyDescent="0.25">
      <c r="B15" s="119"/>
      <c r="C15" s="167"/>
      <c r="D15" s="121" t="s">
        <v>833</v>
      </c>
      <c r="E15" s="121"/>
      <c r="F15" s="121"/>
      <c r="G15" s="121"/>
      <c r="H15" s="121"/>
      <c r="I15" s="121"/>
      <c r="J15" s="121"/>
      <c r="K15" s="122"/>
      <c r="N15" s="123" t="s">
        <v>827</v>
      </c>
      <c r="O15" s="123">
        <v>600</v>
      </c>
      <c r="P15" s="123">
        <f>O15/1000</f>
        <v>0.6</v>
      </c>
      <c r="Q15" s="123">
        <v>11.1</v>
      </c>
      <c r="R15" s="132">
        <v>750</v>
      </c>
      <c r="S15" s="132"/>
    </row>
    <row r="16" spans="2:19" x14ac:dyDescent="0.25">
      <c r="B16" s="119"/>
      <c r="C16" s="167"/>
      <c r="D16" s="121" t="s">
        <v>833</v>
      </c>
      <c r="E16" s="121"/>
      <c r="F16" s="121"/>
      <c r="G16" s="121"/>
      <c r="H16" s="121"/>
      <c r="I16" s="121"/>
      <c r="J16" s="121"/>
      <c r="K16" s="122"/>
    </row>
    <row r="17" spans="2:11" x14ac:dyDescent="0.25">
      <c r="B17" s="119"/>
      <c r="C17" s="167" t="s">
        <v>831</v>
      </c>
      <c r="D17" s="121" t="s">
        <v>571</v>
      </c>
      <c r="E17" s="121"/>
      <c r="F17" s="121"/>
      <c r="G17" s="121"/>
      <c r="H17" s="121"/>
      <c r="I17" s="121"/>
      <c r="J17" s="121"/>
      <c r="K17" s="122"/>
    </row>
    <row r="18" spans="2:11" x14ac:dyDescent="0.25">
      <c r="B18" s="119"/>
      <c r="C18" s="167"/>
      <c r="D18" s="121" t="s">
        <v>833</v>
      </c>
      <c r="E18" s="121"/>
      <c r="F18" s="121"/>
      <c r="G18" s="121"/>
      <c r="H18" s="121"/>
      <c r="I18" s="121"/>
      <c r="J18" s="121"/>
      <c r="K18" s="122"/>
    </row>
    <row r="19" spans="2:11" x14ac:dyDescent="0.25">
      <c r="B19" s="119"/>
      <c r="C19" s="167"/>
      <c r="D19" s="121" t="s">
        <v>833</v>
      </c>
      <c r="E19" s="121"/>
      <c r="F19" s="121"/>
      <c r="G19" s="121"/>
      <c r="H19" s="121"/>
      <c r="I19" s="121"/>
      <c r="J19" s="121"/>
      <c r="K19" s="122"/>
    </row>
    <row r="20" spans="2:11" x14ac:dyDescent="0.25">
      <c r="B20" s="119"/>
      <c r="C20" s="167" t="s">
        <v>832</v>
      </c>
      <c r="D20" s="121" t="s">
        <v>571</v>
      </c>
      <c r="E20" s="121"/>
      <c r="F20" s="121"/>
      <c r="G20" s="121"/>
      <c r="H20" s="121"/>
      <c r="I20" s="121"/>
      <c r="J20" s="121"/>
      <c r="K20" s="122"/>
    </row>
    <row r="21" spans="2:11" x14ac:dyDescent="0.25">
      <c r="B21" s="119"/>
      <c r="C21" s="167"/>
      <c r="D21" s="121" t="s">
        <v>833</v>
      </c>
      <c r="E21" s="121"/>
      <c r="F21" s="121"/>
      <c r="G21" s="121"/>
      <c r="H21" s="121"/>
      <c r="I21" s="121"/>
      <c r="J21" s="121"/>
      <c r="K21" s="122"/>
    </row>
    <row r="22" spans="2:11" x14ac:dyDescent="0.25">
      <c r="B22" s="119"/>
      <c r="C22" s="167"/>
      <c r="D22" s="121" t="s">
        <v>833</v>
      </c>
      <c r="E22" s="121"/>
      <c r="F22" s="121"/>
      <c r="G22" s="121"/>
      <c r="H22" s="121"/>
      <c r="I22" s="121"/>
      <c r="J22" s="121"/>
      <c r="K22" s="122"/>
    </row>
    <row r="23" spans="2:11" x14ac:dyDescent="0.25">
      <c r="B23" s="119"/>
      <c r="C23" s="154"/>
      <c r="D23" s="121"/>
      <c r="E23" s="121"/>
      <c r="F23" s="121"/>
      <c r="G23" s="121"/>
      <c r="H23" s="121"/>
      <c r="I23" s="121"/>
      <c r="J23" s="121"/>
      <c r="K23" s="122"/>
    </row>
    <row r="24" spans="2:11" x14ac:dyDescent="0.25">
      <c r="B24" s="119">
        <v>10</v>
      </c>
      <c r="C24" s="135">
        <v>2</v>
      </c>
      <c r="D24" s="121" t="s">
        <v>568</v>
      </c>
      <c r="E24" s="121">
        <f>VLOOKUP(D24,$N$6:$S$15,3,FALSE)</f>
        <v>1</v>
      </c>
      <c r="F24" s="121" t="s">
        <v>799</v>
      </c>
      <c r="G24" s="121">
        <f>VLOOKUP(D24,$N$6:$S$15,4,FALSE)</f>
        <v>38.1</v>
      </c>
      <c r="H24" s="121">
        <f>3.14*((E24/2)^2)</f>
        <v>0.78500000000000003</v>
      </c>
      <c r="I24" s="121">
        <f>Table1345[[#This Row],[Length]]*Table1345[[#This Row],[Weight of  steel]]</f>
        <v>0</v>
      </c>
      <c r="J24" s="121">
        <f>VLOOKUP(Table1345[[#This Row],[Pile No.]],$N$6:$S$11,6,FALSE)</f>
        <v>0</v>
      </c>
      <c r="K24" s="122">
        <f>3.14*((Table1345[[#This Row],[Diameter ]]/2)^2)*Table1345[[#This Row],[Length]]</f>
        <v>29.908500000000004</v>
      </c>
    </row>
    <row r="25" spans="2:11" x14ac:dyDescent="0.25">
      <c r="B25" s="119">
        <v>11</v>
      </c>
      <c r="C25" s="168">
        <v>3</v>
      </c>
      <c r="D25" s="121" t="s">
        <v>571</v>
      </c>
      <c r="E25" s="121">
        <f>VLOOKUP(D25,$N$6:$S$15,3,FALSE)</f>
        <v>0.75</v>
      </c>
      <c r="F25" s="121" t="s">
        <v>799</v>
      </c>
      <c r="G25" s="121">
        <f>VLOOKUP(D25,$N$6:$S$15,4,FALSE)</f>
        <v>37.1</v>
      </c>
      <c r="H25" s="121">
        <f>2*3.14*((E25/2)^2)</f>
        <v>0.88312500000000005</v>
      </c>
      <c r="I25" s="121">
        <f>Table1345[[#This Row],[Length]]*Table1345[[#This Row],[Weight of  steel]]</f>
        <v>0</v>
      </c>
      <c r="J25" s="121">
        <f>VLOOKUP(Table1345[[#This Row],[Pile No.]],$N$6:$S$11,6,FALSE)</f>
        <v>0</v>
      </c>
      <c r="K25" s="122">
        <f>2*3.14*((Table1345[[#This Row],[Diameter ]]/2)^2)*Table1345[[#This Row],[Length]]</f>
        <v>32.763937500000004</v>
      </c>
    </row>
    <row r="26" spans="2:11" x14ac:dyDescent="0.25">
      <c r="B26" s="119">
        <v>12</v>
      </c>
      <c r="C26" s="168">
        <v>4</v>
      </c>
      <c r="D26" s="121" t="s">
        <v>833</v>
      </c>
      <c r="E26" s="121" t="e">
        <f>VLOOKUP(D26,$N$6:$S$15,3,FALSE)</f>
        <v>#N/A</v>
      </c>
      <c r="F26" s="121" t="s">
        <v>799</v>
      </c>
      <c r="G26" s="121" t="e">
        <f>VLOOKUP(D26,$N$6:$S$15,4,FALSE)</f>
        <v>#N/A</v>
      </c>
      <c r="H26" s="121" t="e">
        <f>2*3.14*((E26/2)^2)</f>
        <v>#N/A</v>
      </c>
      <c r="I26" s="121" t="e">
        <f>Table1345[[#This Row],[Length]]*Table1345[[#This Row],[Weight of  steel]]</f>
        <v>#N/A</v>
      </c>
      <c r="J26" s="121" t="e">
        <f>VLOOKUP(Table1345[[#This Row],[Pile No.]],$N$6:$S$11,6,FALSE)</f>
        <v>#N/A</v>
      </c>
      <c r="K26" s="122" t="e">
        <f>2*3.14*((Table1345[[#This Row],[Diameter ]]/2)^2)*Table1345[[#This Row],[Length]]</f>
        <v>#N/A</v>
      </c>
    </row>
    <row r="27" spans="2:11" x14ac:dyDescent="0.25">
      <c r="B27" s="119">
        <v>13</v>
      </c>
      <c r="C27" s="168">
        <v>5</v>
      </c>
      <c r="D27" s="121"/>
      <c r="E27" s="121" t="e">
        <f>VLOOKUP(D27,$N$6:$S$15,3,FALSE)</f>
        <v>#N/A</v>
      </c>
      <c r="F27" s="121" t="s">
        <v>799</v>
      </c>
      <c r="G27" s="121" t="e">
        <f>VLOOKUP(D27,$N$6:$S$15,4,FALSE)</f>
        <v>#N/A</v>
      </c>
      <c r="H27" s="121" t="e">
        <f>2*3.14*((E27/2)^2)</f>
        <v>#N/A</v>
      </c>
      <c r="I27" s="121" t="e">
        <f>Table1345[[#This Row],[Length]]*Table1345[[#This Row],[Weight of  steel]]</f>
        <v>#N/A</v>
      </c>
      <c r="J27" s="121" t="e">
        <f>VLOOKUP(Table1345[[#This Row],[Pile No.]],$N$6:$S$11,6,FALSE)</f>
        <v>#N/A</v>
      </c>
      <c r="K27" s="122" t="e">
        <f>2*3.14*((Table1345[[#This Row],[Diameter ]]/2)^2)*Table1345[[#This Row],[Length]]</f>
        <v>#N/A</v>
      </c>
    </row>
    <row r="28" spans="2:11" x14ac:dyDescent="0.25">
      <c r="B28" s="119">
        <v>14</v>
      </c>
      <c r="C28" s="169">
        <v>23</v>
      </c>
      <c r="D28" s="121" t="s">
        <v>568</v>
      </c>
      <c r="E28" s="121">
        <f>VLOOKUP(D28,$N$6:$S$15,3,FALSE)</f>
        <v>1</v>
      </c>
      <c r="F28" s="121" t="s">
        <v>799</v>
      </c>
      <c r="G28" s="121">
        <f>VLOOKUP(D28,$N$6:$S$15,4,FALSE)</f>
        <v>38.1</v>
      </c>
      <c r="H28" s="121">
        <f>2*3.14*((E28/2)^2)</f>
        <v>1.57</v>
      </c>
      <c r="I28" s="121">
        <f>Table1345[[#This Row],[Length]]*Table1345[[#This Row],[Weight of  steel]]</f>
        <v>0</v>
      </c>
      <c r="J28" s="121">
        <f>VLOOKUP(Table1345[[#This Row],[Pile No.]],$N$6:$S$11,6,FALSE)</f>
        <v>0</v>
      </c>
      <c r="K28" s="122">
        <f>2*3.14*((Table1345[[#This Row],[Diameter ]]/2)^2)*Table1345[[#This Row],[Length]]</f>
        <v>59.817000000000007</v>
      </c>
    </row>
    <row r="29" spans="2:11" x14ac:dyDescent="0.25">
      <c r="B29" s="119"/>
      <c r="C29" s="169"/>
      <c r="D29" s="121" t="s">
        <v>833</v>
      </c>
      <c r="E29" s="121"/>
      <c r="F29" s="121"/>
      <c r="G29" s="121"/>
      <c r="H29" s="121"/>
      <c r="I29" s="121"/>
      <c r="J29" s="121"/>
      <c r="K29" s="122"/>
    </row>
    <row r="30" spans="2:11" x14ac:dyDescent="0.25">
      <c r="B30" s="119"/>
      <c r="C30" s="169"/>
      <c r="D30" s="121" t="s">
        <v>833</v>
      </c>
      <c r="E30" s="121"/>
      <c r="F30" s="121"/>
      <c r="G30" s="121"/>
      <c r="H30" s="121"/>
      <c r="I30" s="121"/>
      <c r="J30" s="121"/>
      <c r="K30" s="122"/>
    </row>
    <row r="31" spans="2:11" x14ac:dyDescent="0.25">
      <c r="B31" s="119">
        <v>15</v>
      </c>
      <c r="C31" s="169">
        <v>34</v>
      </c>
      <c r="D31" s="121" t="s">
        <v>571</v>
      </c>
      <c r="E31" s="121">
        <f>VLOOKUP(D31,$N$6:$S$15,3,FALSE)</f>
        <v>0.75</v>
      </c>
      <c r="F31" s="121" t="s">
        <v>799</v>
      </c>
      <c r="G31" s="121">
        <f>VLOOKUP(D31,$N$6:$S$15,4,FALSE)</f>
        <v>37.1</v>
      </c>
      <c r="H31" s="121">
        <f>2*3.14*((E31/2)^2)</f>
        <v>0.88312500000000005</v>
      </c>
      <c r="I31" s="121">
        <f>Table1345[[#This Row],[Length]]*Table1345[[#This Row],[Weight of  steel]]</f>
        <v>0</v>
      </c>
      <c r="J31" s="121">
        <f>VLOOKUP(Table1345[[#This Row],[Pile No.]],$N$6:$S$11,6,FALSE)</f>
        <v>0</v>
      </c>
      <c r="K31" s="122">
        <f>2*3.14*((Table1345[[#This Row],[Diameter ]]/2)^2)*Table1345[[#This Row],[Length]]</f>
        <v>32.763937500000004</v>
      </c>
    </row>
    <row r="32" spans="2:11" x14ac:dyDescent="0.25">
      <c r="B32" s="119"/>
      <c r="C32" s="169"/>
      <c r="D32" s="121" t="s">
        <v>833</v>
      </c>
      <c r="E32" s="121"/>
      <c r="F32" s="121"/>
      <c r="G32" s="121"/>
      <c r="H32" s="121"/>
      <c r="I32" s="121"/>
      <c r="J32" s="121"/>
      <c r="K32" s="122"/>
    </row>
    <row r="33" spans="2:16" x14ac:dyDescent="0.25">
      <c r="B33" s="119"/>
      <c r="C33" s="169"/>
      <c r="D33" s="121" t="s">
        <v>833</v>
      </c>
      <c r="E33" s="121"/>
      <c r="F33" s="121"/>
      <c r="G33" s="121"/>
      <c r="H33" s="121"/>
      <c r="I33" s="121"/>
      <c r="J33" s="121"/>
      <c r="K33" s="122"/>
    </row>
    <row r="34" spans="2:16" x14ac:dyDescent="0.25">
      <c r="B34" s="119">
        <v>16</v>
      </c>
      <c r="C34" s="169">
        <v>45</v>
      </c>
      <c r="D34" s="121" t="s">
        <v>833</v>
      </c>
      <c r="E34" s="121" t="e">
        <f>VLOOKUP(D34,$N$6:$S$15,3,FALSE)</f>
        <v>#N/A</v>
      </c>
      <c r="F34" s="121" t="s">
        <v>799</v>
      </c>
      <c r="G34" s="121" t="e">
        <f>VLOOKUP(D34,$N$6:$S$15,4,FALSE)</f>
        <v>#N/A</v>
      </c>
      <c r="H34" s="121" t="e">
        <f>2*3.14*((E34/2)^2)</f>
        <v>#N/A</v>
      </c>
      <c r="I34" s="121" t="e">
        <f>Table1345[[#This Row],[Length]]*Table1345[[#This Row],[Weight of  steel]]</f>
        <v>#N/A</v>
      </c>
      <c r="J34" s="121" t="e">
        <f>VLOOKUP(Table1345[[#This Row],[Pile No.]],$N$6:$S$11,6,FALSE)</f>
        <v>#N/A</v>
      </c>
      <c r="K34" s="122" t="e">
        <f>2*3.14*((Table1345[[#This Row],[Diameter ]]/2)^2)*Table1345[[#This Row],[Length]]</f>
        <v>#N/A</v>
      </c>
    </row>
    <row r="35" spans="2:16" x14ac:dyDescent="0.25">
      <c r="B35" s="119">
        <v>17</v>
      </c>
      <c r="C35" s="153"/>
      <c r="D35" s="121"/>
      <c r="E35" s="121"/>
      <c r="F35" s="121"/>
      <c r="G35" s="121"/>
      <c r="H35" s="121"/>
      <c r="I35" s="121"/>
      <c r="J35" s="121"/>
      <c r="K35" s="122"/>
    </row>
    <row r="36" spans="2:16" x14ac:dyDescent="0.25">
      <c r="B36" s="119">
        <v>18</v>
      </c>
      <c r="C36" s="133"/>
      <c r="D36" s="121"/>
      <c r="E36" s="121"/>
      <c r="F36" s="121"/>
      <c r="G36" s="121"/>
      <c r="H36" s="121"/>
      <c r="I36" s="121">
        <f>Table1345[[#This Row],[Length]]*Table1345[[#This Row],[Weight of  steel]]</f>
        <v>0</v>
      </c>
      <c r="J36" s="121"/>
      <c r="K36" s="122"/>
    </row>
    <row r="37" spans="2:16" x14ac:dyDescent="0.25">
      <c r="B37" s="119">
        <v>19</v>
      </c>
      <c r="C37" s="136">
        <v>2</v>
      </c>
      <c r="D37" s="121"/>
      <c r="E37" s="121" t="e">
        <f t="shared" ref="E37:E43" si="3">VLOOKUP(D37,$N$6:$S$15,3,FALSE)</f>
        <v>#N/A</v>
      </c>
      <c r="F37" s="121" t="s">
        <v>799</v>
      </c>
      <c r="G37" s="121" t="e">
        <f t="shared" ref="G37:G43" si="4">VLOOKUP(D37,$N$6:$S$15,4,FALSE)</f>
        <v>#N/A</v>
      </c>
      <c r="H37" s="121" t="e">
        <f>3.14*((E37/2)^2)</f>
        <v>#N/A</v>
      </c>
      <c r="I37" s="121" t="e">
        <f>Table1345[[#This Row],[Length]]*Table1345[[#This Row],[Weight of  steel]]</f>
        <v>#N/A</v>
      </c>
      <c r="J37" s="121" t="e">
        <f>VLOOKUP(Table1345[[#This Row],[Pile No.]],$N$6:$S$11,6,FALSE)</f>
        <v>#N/A</v>
      </c>
      <c r="K37" s="122" t="e">
        <f>3.14*((Table1345[[#This Row],[Diameter ]]/2)^2)*Table1345[[#This Row],[Length]]</f>
        <v>#N/A</v>
      </c>
    </row>
    <row r="38" spans="2:16" x14ac:dyDescent="0.25">
      <c r="B38" s="119">
        <v>20</v>
      </c>
      <c r="C38" s="170">
        <v>3</v>
      </c>
      <c r="D38" s="121"/>
      <c r="E38" s="121" t="e">
        <f t="shared" si="3"/>
        <v>#N/A</v>
      </c>
      <c r="F38" s="121" t="s">
        <v>799</v>
      </c>
      <c r="G38" s="121" t="e">
        <f t="shared" si="4"/>
        <v>#N/A</v>
      </c>
      <c r="H38" s="121" t="e">
        <f t="shared" ref="H38:H43" si="5">2*3.14*((E38/2)^2)</f>
        <v>#N/A</v>
      </c>
      <c r="I38" s="121" t="e">
        <f>Table1345[[#This Row],[Length]]*Table1345[[#This Row],[Weight of  steel]]</f>
        <v>#N/A</v>
      </c>
      <c r="J38" s="121" t="e">
        <f>VLOOKUP(Table1345[[#This Row],[Pile No.]],$N$6:$S$11,6,FALSE)</f>
        <v>#N/A</v>
      </c>
      <c r="K38" s="122" t="e">
        <f>2*3.14*((Table1345[[#This Row],[Diameter ]]/2)^2)*Table1345[[#This Row],[Length]]</f>
        <v>#N/A</v>
      </c>
    </row>
    <row r="39" spans="2:16" x14ac:dyDescent="0.25">
      <c r="B39" s="119">
        <v>21</v>
      </c>
      <c r="C39" s="170">
        <v>4</v>
      </c>
      <c r="D39" s="121"/>
      <c r="E39" s="121" t="e">
        <f t="shared" si="3"/>
        <v>#N/A</v>
      </c>
      <c r="F39" s="121" t="s">
        <v>799</v>
      </c>
      <c r="G39" s="121" t="e">
        <f t="shared" si="4"/>
        <v>#N/A</v>
      </c>
      <c r="H39" s="121" t="e">
        <f t="shared" si="5"/>
        <v>#N/A</v>
      </c>
      <c r="I39" s="121" t="e">
        <f>Table1345[[#This Row],[Length]]*Table1345[[#This Row],[Weight of  steel]]</f>
        <v>#N/A</v>
      </c>
      <c r="J39" s="121" t="e">
        <f>VLOOKUP(Table1345[[#This Row],[Pile No.]],$N$6:$S$11,6,FALSE)</f>
        <v>#N/A</v>
      </c>
      <c r="K39" s="122" t="e">
        <f>2*3.14*((Table1345[[#This Row],[Diameter ]]/2)^2)*Table1345[[#This Row],[Length]]</f>
        <v>#N/A</v>
      </c>
    </row>
    <row r="40" spans="2:16" x14ac:dyDescent="0.25">
      <c r="B40" s="119">
        <v>22</v>
      </c>
      <c r="C40" s="170">
        <v>5</v>
      </c>
      <c r="D40" s="121"/>
      <c r="E40" s="121" t="e">
        <f t="shared" si="3"/>
        <v>#N/A</v>
      </c>
      <c r="F40" s="121" t="s">
        <v>799</v>
      </c>
      <c r="G40" s="121" t="e">
        <f t="shared" si="4"/>
        <v>#N/A</v>
      </c>
      <c r="H40" s="121" t="e">
        <f t="shared" si="5"/>
        <v>#N/A</v>
      </c>
      <c r="I40" s="121" t="e">
        <f>Table1345[[#This Row],[Length]]*Table1345[[#This Row],[Weight of  steel]]</f>
        <v>#N/A</v>
      </c>
      <c r="J40" s="121" t="e">
        <f>VLOOKUP(Table1345[[#This Row],[Pile No.]],$N$6:$S$11,6,FALSE)</f>
        <v>#N/A</v>
      </c>
      <c r="K40" s="122" t="e">
        <f>2*3.14*((Table1345[[#This Row],[Diameter ]]/2)^2)*Table1345[[#This Row],[Length]]</f>
        <v>#N/A</v>
      </c>
      <c r="P40" s="113" t="s">
        <v>527</v>
      </c>
    </row>
    <row r="41" spans="2:16" x14ac:dyDescent="0.25">
      <c r="B41" s="119">
        <v>23</v>
      </c>
      <c r="C41" s="171">
        <v>23</v>
      </c>
      <c r="D41" s="121"/>
      <c r="E41" s="121" t="e">
        <f t="shared" si="3"/>
        <v>#N/A</v>
      </c>
      <c r="F41" s="121" t="s">
        <v>799</v>
      </c>
      <c r="G41" s="121" t="e">
        <f t="shared" si="4"/>
        <v>#N/A</v>
      </c>
      <c r="H41" s="121" t="e">
        <f t="shared" si="5"/>
        <v>#N/A</v>
      </c>
      <c r="I41" s="121" t="e">
        <f>Table1345[[#This Row],[Length]]*Table1345[[#This Row],[Weight of  steel]]</f>
        <v>#N/A</v>
      </c>
      <c r="J41" s="121" t="e">
        <f>VLOOKUP(Table1345[[#This Row],[Pile No.]],$N$6:$S$11,6,FALSE)</f>
        <v>#N/A</v>
      </c>
      <c r="K41" s="122" t="e">
        <f>2*3.14*((Table1345[[#This Row],[Diameter ]]/2)^2)*Table1345[[#This Row],[Length]]</f>
        <v>#N/A</v>
      </c>
      <c r="P41" s="113" t="s">
        <v>799</v>
      </c>
    </row>
    <row r="42" spans="2:16" x14ac:dyDescent="0.25">
      <c r="B42" s="119">
        <v>24</v>
      </c>
      <c r="C42" s="171">
        <v>34</v>
      </c>
      <c r="D42" s="121"/>
      <c r="E42" s="121" t="e">
        <f t="shared" si="3"/>
        <v>#N/A</v>
      </c>
      <c r="F42" s="121" t="s">
        <v>799</v>
      </c>
      <c r="G42" s="121" t="e">
        <f t="shared" si="4"/>
        <v>#N/A</v>
      </c>
      <c r="H42" s="121" t="e">
        <f t="shared" si="5"/>
        <v>#N/A</v>
      </c>
      <c r="I42" s="121" t="e">
        <f>Table1345[[#This Row],[Length]]*Table1345[[#This Row],[Weight of  steel]]</f>
        <v>#N/A</v>
      </c>
      <c r="J42" s="121" t="e">
        <f>VLOOKUP(Table1345[[#This Row],[Pile No.]],$N$6:$S$11,6,FALSE)</f>
        <v>#N/A</v>
      </c>
      <c r="K42" s="122" t="e">
        <f>2*3.14*((Table1345[[#This Row],[Diameter ]]/2)^2)*Table1345[[#This Row],[Length]]</f>
        <v>#N/A</v>
      </c>
      <c r="P42" s="113" t="s">
        <v>805</v>
      </c>
    </row>
    <row r="43" spans="2:16" x14ac:dyDescent="0.25">
      <c r="B43" s="119">
        <v>25</v>
      </c>
      <c r="C43" s="171">
        <v>45</v>
      </c>
      <c r="D43" s="121"/>
      <c r="E43" s="121" t="e">
        <f t="shared" si="3"/>
        <v>#N/A</v>
      </c>
      <c r="F43" s="121" t="s">
        <v>799</v>
      </c>
      <c r="G43" s="121" t="e">
        <f t="shared" si="4"/>
        <v>#N/A</v>
      </c>
      <c r="H43" s="121" t="e">
        <f t="shared" si="5"/>
        <v>#N/A</v>
      </c>
      <c r="I43" s="121" t="e">
        <f>Table1345[[#This Row],[Length]]*Table1345[[#This Row],[Weight of  steel]]</f>
        <v>#N/A</v>
      </c>
      <c r="J43" s="121" t="e">
        <f>VLOOKUP(Table1345[[#This Row],[Pile No.]],$N$6:$S$11,6,FALSE)</f>
        <v>#N/A</v>
      </c>
      <c r="K43" s="122" t="e">
        <f>2*3.14*((Table1345[[#This Row],[Diameter ]]/2)^2)*Table1345[[#This Row],[Length]]</f>
        <v>#N/A</v>
      </c>
      <c r="P43" s="113" t="s">
        <v>806</v>
      </c>
    </row>
    <row r="44" spans="2:16" x14ac:dyDescent="0.25">
      <c r="B44" s="119">
        <v>26</v>
      </c>
      <c r="C44" s="153"/>
      <c r="D44" s="121"/>
      <c r="E44" s="121"/>
      <c r="F44" s="121"/>
      <c r="G44" s="121"/>
      <c r="H44" s="121"/>
      <c r="I44" s="121">
        <f>Table1345[[#This Row],[Length]]*Table1345[[#This Row],[Weight of  steel]]</f>
        <v>0</v>
      </c>
      <c r="J44" s="121"/>
      <c r="K44" s="122"/>
      <c r="P44" s="113" t="s">
        <v>807</v>
      </c>
    </row>
    <row r="45" spans="2:16" x14ac:dyDescent="0.25">
      <c r="B45" s="119">
        <v>27</v>
      </c>
      <c r="C45" s="153"/>
      <c r="D45" s="121"/>
      <c r="E45" s="121"/>
      <c r="F45" s="121"/>
      <c r="G45" s="121"/>
      <c r="H45" s="121"/>
      <c r="I45" s="121"/>
      <c r="J45" s="121"/>
      <c r="K45" s="122"/>
      <c r="P45" s="113" t="s">
        <v>808</v>
      </c>
    </row>
    <row r="46" spans="2:16" x14ac:dyDescent="0.25">
      <c r="B46" s="119">
        <v>28</v>
      </c>
      <c r="C46" s="137">
        <v>2</v>
      </c>
      <c r="D46" s="121"/>
      <c r="E46" s="121" t="e">
        <f t="shared" ref="E46:E52" si="6">VLOOKUP(D46,$N$6:$S$15,3,FALSE)</f>
        <v>#N/A</v>
      </c>
      <c r="F46" s="121" t="s">
        <v>799</v>
      </c>
      <c r="G46" s="121" t="e">
        <f t="shared" ref="G46:G52" si="7">VLOOKUP(D46,$N$6:$S$15,4,FALSE)</f>
        <v>#N/A</v>
      </c>
      <c r="H46" s="121" t="e">
        <f>3.14*((E46/2)^2)</f>
        <v>#N/A</v>
      </c>
      <c r="I46" s="121" t="e">
        <f>Table1345[[#This Row],[Length]]*Table1345[[#This Row],[Weight of  steel]]</f>
        <v>#N/A</v>
      </c>
      <c r="J46" s="121" t="e">
        <f>VLOOKUP(Table1345[[#This Row],[Pile No.]],$N$6:$S$11,6,FALSE)</f>
        <v>#N/A</v>
      </c>
      <c r="K46" s="122" t="e">
        <f>3.14*((Table1345[[#This Row],[Diameter ]]/2)^2)*Table1345[[#This Row],[Length]]</f>
        <v>#N/A</v>
      </c>
    </row>
    <row r="47" spans="2:16" x14ac:dyDescent="0.25">
      <c r="B47" s="119">
        <v>29</v>
      </c>
      <c r="C47" s="172">
        <v>3</v>
      </c>
      <c r="D47" s="121"/>
      <c r="E47" s="121" t="e">
        <f t="shared" si="6"/>
        <v>#N/A</v>
      </c>
      <c r="F47" s="121" t="s">
        <v>799</v>
      </c>
      <c r="G47" s="121" t="e">
        <f t="shared" si="7"/>
        <v>#N/A</v>
      </c>
      <c r="H47" s="121" t="e">
        <f t="shared" ref="H47:H52" si="8">2*3.14*((E47/2)^2)</f>
        <v>#N/A</v>
      </c>
      <c r="I47" s="121" t="e">
        <f>Table1345[[#This Row],[Length]]*Table1345[[#This Row],[Weight of  steel]]</f>
        <v>#N/A</v>
      </c>
      <c r="J47" s="121" t="e">
        <f>VLOOKUP(Table1345[[#This Row],[Pile No.]],$N$6:$S$11,6,FALSE)</f>
        <v>#N/A</v>
      </c>
      <c r="K47" s="122" t="e">
        <f>2*3.14*((Table1345[[#This Row],[Diameter ]]/2)^2)*Table1345[[#This Row],[Length]]</f>
        <v>#N/A</v>
      </c>
    </row>
    <row r="48" spans="2:16" x14ac:dyDescent="0.25">
      <c r="B48" s="119">
        <v>30</v>
      </c>
      <c r="C48" s="172">
        <v>4</v>
      </c>
      <c r="D48" s="121"/>
      <c r="E48" s="121" t="e">
        <f t="shared" si="6"/>
        <v>#N/A</v>
      </c>
      <c r="F48" s="121" t="s">
        <v>799</v>
      </c>
      <c r="G48" s="121" t="e">
        <f t="shared" si="7"/>
        <v>#N/A</v>
      </c>
      <c r="H48" s="121" t="e">
        <f t="shared" si="8"/>
        <v>#N/A</v>
      </c>
      <c r="I48" s="121" t="e">
        <f>Table1345[[#This Row],[Length]]*Table1345[[#This Row],[Weight of  steel]]</f>
        <v>#N/A</v>
      </c>
      <c r="J48" s="121" t="e">
        <f>VLOOKUP(Table1345[[#This Row],[Pile No.]],$N$6:$S$11,6,FALSE)</f>
        <v>#N/A</v>
      </c>
      <c r="K48" s="122" t="e">
        <f>2*3.14*((Table1345[[#This Row],[Diameter ]]/2)^2)*Table1345[[#This Row],[Length]]</f>
        <v>#N/A</v>
      </c>
    </row>
    <row r="49" spans="2:12" x14ac:dyDescent="0.25">
      <c r="B49" s="119">
        <v>31</v>
      </c>
      <c r="C49" s="172">
        <v>5</v>
      </c>
      <c r="D49" s="121"/>
      <c r="E49" s="121" t="e">
        <f t="shared" si="6"/>
        <v>#N/A</v>
      </c>
      <c r="F49" s="121" t="s">
        <v>799</v>
      </c>
      <c r="G49" s="121" t="e">
        <f t="shared" si="7"/>
        <v>#N/A</v>
      </c>
      <c r="H49" s="121" t="e">
        <f t="shared" si="8"/>
        <v>#N/A</v>
      </c>
      <c r="I49" s="121" t="e">
        <f>Table1345[[#This Row],[Length]]*Table1345[[#This Row],[Weight of  steel]]</f>
        <v>#N/A</v>
      </c>
      <c r="J49" s="121" t="e">
        <f>VLOOKUP(Table1345[[#This Row],[Pile No.]],$N$6:$S$11,6,FALSE)</f>
        <v>#N/A</v>
      </c>
      <c r="K49" s="122" t="e">
        <f>2*3.14*((Table1345[[#This Row],[Diameter ]]/2)^2)*Table1345[[#This Row],[Length]]</f>
        <v>#N/A</v>
      </c>
    </row>
    <row r="50" spans="2:12" x14ac:dyDescent="0.25">
      <c r="B50" s="119">
        <v>32</v>
      </c>
      <c r="C50" s="173">
        <v>23</v>
      </c>
      <c r="D50" s="121"/>
      <c r="E50" s="121" t="e">
        <f t="shared" si="6"/>
        <v>#N/A</v>
      </c>
      <c r="F50" s="121" t="s">
        <v>799</v>
      </c>
      <c r="G50" s="121" t="e">
        <f t="shared" si="7"/>
        <v>#N/A</v>
      </c>
      <c r="H50" s="121" t="e">
        <f t="shared" si="8"/>
        <v>#N/A</v>
      </c>
      <c r="I50" s="121" t="e">
        <f>Table1345[[#This Row],[Length]]*Table1345[[#This Row],[Weight of  steel]]</f>
        <v>#N/A</v>
      </c>
      <c r="J50" s="121" t="e">
        <f>VLOOKUP(Table1345[[#This Row],[Pile No.]],$N$6:$S$11,6,FALSE)</f>
        <v>#N/A</v>
      </c>
      <c r="K50" s="122" t="e">
        <f>2*3.14*((Table1345[[#This Row],[Diameter ]]/2)^2)*Table1345[[#This Row],[Length]]</f>
        <v>#N/A</v>
      </c>
    </row>
    <row r="51" spans="2:12" x14ac:dyDescent="0.25">
      <c r="B51" s="119">
        <v>33</v>
      </c>
      <c r="C51" s="173">
        <v>34</v>
      </c>
      <c r="D51" s="121"/>
      <c r="E51" s="121" t="e">
        <f t="shared" si="6"/>
        <v>#N/A</v>
      </c>
      <c r="F51" s="121" t="s">
        <v>799</v>
      </c>
      <c r="G51" s="121" t="e">
        <f t="shared" si="7"/>
        <v>#N/A</v>
      </c>
      <c r="H51" s="121" t="e">
        <f t="shared" si="8"/>
        <v>#N/A</v>
      </c>
      <c r="I51" s="121" t="e">
        <f>Table1345[[#This Row],[Length]]*Table1345[[#This Row],[Weight of  steel]]</f>
        <v>#N/A</v>
      </c>
      <c r="J51" s="121" t="e">
        <f>VLOOKUP(Table1345[[#This Row],[Pile No.]],$N$6:$S$11,6,FALSE)</f>
        <v>#N/A</v>
      </c>
      <c r="K51" s="122" t="e">
        <f>2*3.14*((Table1345[[#This Row],[Diameter ]]/2)^2)*Table1345[[#This Row],[Length]]</f>
        <v>#N/A</v>
      </c>
    </row>
    <row r="52" spans="2:12" x14ac:dyDescent="0.25">
      <c r="B52" s="119">
        <v>34</v>
      </c>
      <c r="C52" s="173">
        <v>45</v>
      </c>
      <c r="D52" s="121"/>
      <c r="E52" s="121" t="e">
        <f t="shared" si="6"/>
        <v>#N/A</v>
      </c>
      <c r="F52" s="121" t="s">
        <v>799</v>
      </c>
      <c r="G52" s="121" t="e">
        <f t="shared" si="7"/>
        <v>#N/A</v>
      </c>
      <c r="H52" s="121" t="e">
        <f t="shared" si="8"/>
        <v>#N/A</v>
      </c>
      <c r="I52" s="121" t="e">
        <f>Table1345[[#This Row],[Length]]*Table1345[[#This Row],[Weight of  steel]]</f>
        <v>#N/A</v>
      </c>
      <c r="J52" s="121" t="e">
        <f>VLOOKUP(Table1345[[#This Row],[Pile No.]],$N$6:$S$11,6,FALSE)</f>
        <v>#N/A</v>
      </c>
      <c r="K52" s="122" t="e">
        <f>2*3.14*((Table1345[[#This Row],[Diameter ]]/2)^2)*Table1345[[#This Row],[Length]]</f>
        <v>#N/A</v>
      </c>
    </row>
    <row r="53" spans="2:12" x14ac:dyDescent="0.25">
      <c r="B53" s="119">
        <v>35</v>
      </c>
      <c r="C53" s="153"/>
      <c r="D53" s="121"/>
      <c r="E53" s="121"/>
      <c r="F53" s="121"/>
      <c r="G53" s="121"/>
      <c r="H53" s="121"/>
      <c r="I53" s="121">
        <f>Table1345[[#This Row],[Length]]*Table1345[[#This Row],[Weight of  steel]]</f>
        <v>0</v>
      </c>
      <c r="J53" s="121"/>
      <c r="K53" s="122"/>
    </row>
    <row r="54" spans="2:12" x14ac:dyDescent="0.25">
      <c r="B54" s="119">
        <v>36</v>
      </c>
      <c r="C54" s="153"/>
      <c r="D54" s="121"/>
      <c r="E54" s="121"/>
      <c r="F54" s="121"/>
      <c r="G54" s="121"/>
      <c r="H54" s="121"/>
      <c r="I54" s="121"/>
      <c r="J54" s="121"/>
      <c r="K54" s="122"/>
    </row>
    <row r="55" spans="2:12" x14ac:dyDescent="0.25">
      <c r="B55" s="119">
        <v>37</v>
      </c>
      <c r="C55" s="174"/>
      <c r="D55" s="175"/>
      <c r="E55" s="175"/>
      <c r="F55" s="175"/>
      <c r="G55" s="175"/>
      <c r="H55" s="175"/>
      <c r="I55" s="175"/>
      <c r="J55" s="175"/>
      <c r="K55" s="176"/>
    </row>
    <row r="56" spans="2:12" x14ac:dyDescent="0.25">
      <c r="B56" s="119">
        <v>38</v>
      </c>
      <c r="C56" s="177"/>
      <c r="D56" s="175"/>
      <c r="E56" s="175"/>
      <c r="F56" s="175"/>
      <c r="G56" s="175"/>
      <c r="H56" s="175"/>
      <c r="I56" s="175"/>
      <c r="J56" s="175"/>
      <c r="K56" s="176"/>
    </row>
    <row r="57" spans="2:12" x14ac:dyDescent="0.25">
      <c r="B57" s="119">
        <v>39</v>
      </c>
      <c r="C57" s="177"/>
      <c r="D57" s="175"/>
      <c r="E57" s="175"/>
      <c r="F57" s="175"/>
      <c r="G57" s="175"/>
      <c r="H57" s="175"/>
      <c r="I57" s="175"/>
      <c r="J57" s="175"/>
      <c r="K57" s="176"/>
    </row>
    <row r="58" spans="2:12" x14ac:dyDescent="0.25">
      <c r="B58" s="119">
        <v>40</v>
      </c>
      <c r="C58" s="177"/>
      <c r="D58" s="175"/>
      <c r="E58" s="175"/>
      <c r="F58" s="175"/>
      <c r="G58" s="175"/>
      <c r="H58" s="175"/>
      <c r="I58" s="175"/>
      <c r="J58" s="175"/>
      <c r="K58" s="176"/>
    </row>
    <row r="59" spans="2:12" x14ac:dyDescent="0.25">
      <c r="B59" s="119">
        <v>41</v>
      </c>
      <c r="C59" s="177"/>
      <c r="D59" s="175"/>
      <c r="E59" s="175"/>
      <c r="F59" s="175"/>
      <c r="G59" s="175"/>
      <c r="H59" s="175"/>
      <c r="I59" s="175"/>
      <c r="J59" s="175"/>
      <c r="K59" s="176"/>
    </row>
    <row r="60" spans="2:12" x14ac:dyDescent="0.25">
      <c r="B60" s="119">
        <v>42</v>
      </c>
      <c r="C60" s="177"/>
      <c r="D60" s="175"/>
      <c r="E60" s="175"/>
      <c r="F60" s="175"/>
      <c r="G60" s="175"/>
      <c r="H60" s="175"/>
      <c r="I60" s="175"/>
      <c r="J60" s="175"/>
      <c r="K60" s="176"/>
    </row>
    <row r="61" spans="2:12" x14ac:dyDescent="0.25">
      <c r="B61" s="119">
        <v>43</v>
      </c>
      <c r="C61" s="177"/>
      <c r="D61" s="175"/>
      <c r="E61" s="175"/>
      <c r="F61" s="175"/>
      <c r="G61" s="175"/>
      <c r="H61" s="175"/>
      <c r="I61" s="175"/>
      <c r="J61" s="175"/>
      <c r="K61" s="176"/>
      <c r="L61" s="113">
        <v>13</v>
      </c>
    </row>
    <row r="62" spans="2:12" x14ac:dyDescent="0.25">
      <c r="B62" s="119">
        <v>44</v>
      </c>
      <c r="C62" s="177"/>
      <c r="D62" s="175"/>
      <c r="E62" s="175"/>
      <c r="F62" s="175"/>
      <c r="G62" s="175"/>
      <c r="H62" s="175"/>
      <c r="I62" s="175"/>
      <c r="J62" s="175"/>
      <c r="K62" s="176"/>
      <c r="L62" s="113">
        <v>1</v>
      </c>
    </row>
    <row r="63" spans="2:12" x14ac:dyDescent="0.25">
      <c r="B63" s="119">
        <v>45</v>
      </c>
      <c r="C63" s="177"/>
      <c r="D63" s="178"/>
      <c r="E63" s="175"/>
      <c r="F63" s="175"/>
      <c r="G63" s="175"/>
      <c r="H63" s="175"/>
      <c r="I63" s="175"/>
      <c r="J63" s="175"/>
      <c r="K63" s="176"/>
      <c r="L63" s="113">
        <v>6</v>
      </c>
    </row>
    <row r="64" spans="2:12" x14ac:dyDescent="0.25">
      <c r="B64" s="119">
        <v>46</v>
      </c>
      <c r="C64" s="174"/>
      <c r="D64" s="175"/>
      <c r="E64" s="175"/>
      <c r="F64" s="175"/>
      <c r="G64" s="175"/>
      <c r="H64" s="175"/>
      <c r="I64" s="175"/>
      <c r="J64" s="175"/>
      <c r="K64" s="176"/>
      <c r="L64" s="113">
        <v>19</v>
      </c>
    </row>
    <row r="65" spans="2:12" x14ac:dyDescent="0.25">
      <c r="B65" s="119">
        <v>47</v>
      </c>
      <c r="C65" s="177"/>
      <c r="D65" s="175"/>
      <c r="E65" s="175"/>
      <c r="F65" s="175"/>
      <c r="G65" s="175"/>
      <c r="H65" s="175"/>
      <c r="I65" s="175"/>
      <c r="J65" s="175"/>
      <c r="K65" s="176"/>
      <c r="L65" s="113">
        <v>8</v>
      </c>
    </row>
    <row r="66" spans="2:12" x14ac:dyDescent="0.25">
      <c r="B66" s="119">
        <v>48</v>
      </c>
      <c r="C66" s="177"/>
      <c r="D66" s="175"/>
      <c r="E66" s="175"/>
      <c r="F66" s="175"/>
      <c r="G66" s="175"/>
      <c r="H66" s="175"/>
      <c r="I66" s="175"/>
      <c r="J66" s="175"/>
      <c r="K66" s="176"/>
      <c r="L66" s="113">
        <v>5</v>
      </c>
    </row>
    <row r="67" spans="2:12" x14ac:dyDescent="0.25">
      <c r="B67" s="119">
        <v>49</v>
      </c>
      <c r="C67" s="177"/>
      <c r="D67" s="175"/>
      <c r="E67" s="175"/>
      <c r="F67" s="175"/>
      <c r="G67" s="175"/>
      <c r="H67" s="175"/>
      <c r="I67" s="175"/>
      <c r="J67" s="175"/>
      <c r="K67" s="176"/>
      <c r="L67" s="113">
        <v>2</v>
      </c>
    </row>
    <row r="68" spans="2:12" x14ac:dyDescent="0.25">
      <c r="B68" s="119">
        <v>50</v>
      </c>
      <c r="C68" s="177"/>
      <c r="D68" s="175"/>
      <c r="E68" s="175"/>
      <c r="F68" s="175"/>
      <c r="G68" s="175"/>
      <c r="H68" s="175"/>
      <c r="I68" s="175"/>
      <c r="J68" s="175"/>
      <c r="K68" s="176"/>
      <c r="L68" s="113">
        <v>1</v>
      </c>
    </row>
    <row r="69" spans="2:12" x14ac:dyDescent="0.25">
      <c r="B69" s="119">
        <v>51</v>
      </c>
      <c r="C69" s="177"/>
      <c r="D69" s="175"/>
      <c r="E69" s="175"/>
      <c r="F69" s="175"/>
      <c r="G69" s="175"/>
      <c r="H69" s="175"/>
      <c r="I69" s="175"/>
      <c r="J69" s="175"/>
      <c r="K69" s="176"/>
      <c r="L69" s="113">
        <v>1</v>
      </c>
    </row>
    <row r="70" spans="2:12" x14ac:dyDescent="0.25">
      <c r="B70" s="119">
        <v>52</v>
      </c>
      <c r="C70" s="177"/>
      <c r="D70" s="175"/>
      <c r="E70" s="175"/>
      <c r="F70" s="175"/>
      <c r="G70" s="175"/>
      <c r="H70" s="175"/>
      <c r="I70" s="175"/>
      <c r="J70" s="175"/>
      <c r="K70" s="176"/>
      <c r="L70" s="113">
        <v>5</v>
      </c>
    </row>
    <row r="71" spans="2:12" x14ac:dyDescent="0.25">
      <c r="B71" s="119">
        <v>53</v>
      </c>
      <c r="C71" s="177"/>
      <c r="D71" s="175"/>
      <c r="E71" s="175"/>
      <c r="F71" s="175"/>
      <c r="G71" s="175"/>
      <c r="H71" s="175"/>
      <c r="I71" s="175"/>
      <c r="J71" s="175"/>
      <c r="K71" s="176"/>
      <c r="L71" s="113">
        <v>18</v>
      </c>
    </row>
    <row r="72" spans="2:12" x14ac:dyDescent="0.25">
      <c r="B72" s="119"/>
      <c r="C72" s="174"/>
      <c r="D72" s="175"/>
      <c r="E72" s="175"/>
      <c r="F72" s="175"/>
      <c r="G72" s="175"/>
      <c r="H72" s="175"/>
      <c r="I72" s="175"/>
      <c r="J72" s="175"/>
      <c r="K72" s="176"/>
      <c r="L72" s="113">
        <v>8</v>
      </c>
    </row>
    <row r="73" spans="2:12" x14ac:dyDescent="0.25">
      <c r="B73" s="119"/>
      <c r="C73" s="174"/>
      <c r="D73" s="175"/>
      <c r="E73" s="175"/>
      <c r="F73" s="175"/>
      <c r="G73" s="175"/>
      <c r="H73" s="175"/>
      <c r="I73" s="175"/>
      <c r="J73" s="175"/>
      <c r="K73" s="176"/>
      <c r="L73" s="113">
        <v>5</v>
      </c>
    </row>
    <row r="74" spans="2:12" x14ac:dyDescent="0.25">
      <c r="B74" s="119"/>
      <c r="C74" s="174"/>
      <c r="D74" s="175"/>
      <c r="E74" s="175"/>
      <c r="F74" s="175"/>
      <c r="G74" s="175"/>
      <c r="H74" s="175"/>
      <c r="I74" s="175"/>
      <c r="J74" s="175"/>
      <c r="K74" s="176"/>
      <c r="L74" s="113">
        <v>2</v>
      </c>
    </row>
    <row r="75" spans="2:12" x14ac:dyDescent="0.25">
      <c r="B75" s="119"/>
      <c r="C75" s="177"/>
      <c r="D75" s="175"/>
      <c r="E75" s="175"/>
      <c r="F75" s="175"/>
      <c r="G75" s="175"/>
      <c r="H75" s="175"/>
      <c r="I75" s="175"/>
      <c r="J75" s="175"/>
      <c r="K75" s="176"/>
      <c r="L75" s="113">
        <v>2</v>
      </c>
    </row>
    <row r="76" spans="2:12" x14ac:dyDescent="0.25">
      <c r="B76" s="119"/>
      <c r="C76" s="177"/>
      <c r="D76" s="175"/>
      <c r="E76" s="175"/>
      <c r="F76" s="175"/>
      <c r="G76" s="175"/>
      <c r="H76" s="175"/>
      <c r="I76" s="175"/>
      <c r="J76" s="175"/>
      <c r="K76" s="176"/>
      <c r="L76" s="113">
        <v>6</v>
      </c>
    </row>
    <row r="77" spans="2:12" x14ac:dyDescent="0.25">
      <c r="B77" s="119"/>
      <c r="C77" s="177"/>
      <c r="D77" s="175"/>
      <c r="E77" s="175"/>
      <c r="F77" s="175"/>
      <c r="G77" s="175"/>
      <c r="H77" s="175"/>
      <c r="I77" s="175"/>
      <c r="J77" s="175"/>
      <c r="K77" s="176"/>
      <c r="L77" s="113">
        <v>18</v>
      </c>
    </row>
    <row r="78" spans="2:12" x14ac:dyDescent="0.25">
      <c r="B78" s="119"/>
      <c r="C78" s="177"/>
      <c r="D78" s="175"/>
      <c r="E78" s="175"/>
      <c r="F78" s="175"/>
      <c r="G78" s="175"/>
      <c r="H78" s="175"/>
      <c r="I78" s="175"/>
      <c r="J78" s="175"/>
      <c r="K78" s="176"/>
      <c r="L78" s="113">
        <v>8</v>
      </c>
    </row>
    <row r="79" spans="2:12" x14ac:dyDescent="0.25">
      <c r="B79" s="119"/>
      <c r="C79" s="177"/>
      <c r="D79" s="175"/>
      <c r="E79" s="175"/>
      <c r="F79" s="175"/>
      <c r="G79" s="175"/>
      <c r="H79" s="175"/>
      <c r="I79" s="175"/>
      <c r="J79" s="175"/>
      <c r="K79" s="176"/>
      <c r="L79" s="113">
        <v>5</v>
      </c>
    </row>
    <row r="80" spans="2:12" x14ac:dyDescent="0.25">
      <c r="B80" s="119"/>
      <c r="C80" s="177"/>
      <c r="D80" s="175"/>
      <c r="E80" s="175"/>
      <c r="F80" s="175"/>
      <c r="G80" s="175"/>
      <c r="H80" s="175"/>
      <c r="I80" s="175"/>
      <c r="J80" s="175"/>
      <c r="K80" s="176"/>
      <c r="L80" s="113">
        <v>2</v>
      </c>
    </row>
    <row r="81" spans="2:12" x14ac:dyDescent="0.25">
      <c r="B81" s="119"/>
      <c r="C81" s="177"/>
      <c r="D81" s="175"/>
      <c r="E81" s="175"/>
      <c r="F81" s="175"/>
      <c r="G81" s="175"/>
      <c r="H81" s="175"/>
      <c r="I81" s="175"/>
      <c r="J81" s="175"/>
      <c r="K81" s="176"/>
      <c r="L81" s="113">
        <v>2</v>
      </c>
    </row>
    <row r="82" spans="2:12" x14ac:dyDescent="0.25">
      <c r="B82" s="119"/>
      <c r="C82" s="177"/>
      <c r="D82" s="175"/>
      <c r="E82" s="175"/>
      <c r="F82" s="175"/>
      <c r="G82" s="175"/>
      <c r="H82" s="175"/>
      <c r="I82" s="175"/>
      <c r="J82" s="175"/>
      <c r="K82" s="176"/>
      <c r="L82" s="113">
        <v>6</v>
      </c>
    </row>
    <row r="83" spans="2:12" x14ac:dyDescent="0.25">
      <c r="B83" s="119"/>
      <c r="C83" s="177"/>
      <c r="D83" s="175"/>
      <c r="E83" s="175"/>
      <c r="F83" s="175"/>
      <c r="G83" s="175"/>
      <c r="H83" s="175"/>
      <c r="I83" s="175"/>
      <c r="J83" s="175"/>
      <c r="K83" s="176"/>
      <c r="L83" s="113">
        <v>18</v>
      </c>
    </row>
    <row r="84" spans="2:12" x14ac:dyDescent="0.25">
      <c r="B84" s="119"/>
      <c r="C84" s="177"/>
      <c r="D84" s="175"/>
      <c r="E84" s="175"/>
      <c r="F84" s="175"/>
      <c r="G84" s="175"/>
      <c r="H84" s="175"/>
      <c r="I84" s="175"/>
      <c r="J84" s="175"/>
      <c r="K84" s="176"/>
      <c r="L84" s="113">
        <v>8</v>
      </c>
    </row>
    <row r="85" spans="2:12" x14ac:dyDescent="0.25">
      <c r="B85" s="119"/>
      <c r="C85" s="177"/>
      <c r="D85" s="175"/>
      <c r="E85" s="175"/>
      <c r="F85" s="175"/>
      <c r="G85" s="175"/>
      <c r="H85" s="175"/>
      <c r="I85" s="175"/>
      <c r="J85" s="175"/>
      <c r="K85" s="176"/>
      <c r="L85" s="113">
        <v>5</v>
      </c>
    </row>
    <row r="86" spans="2:12" x14ac:dyDescent="0.25">
      <c r="B86" s="119"/>
      <c r="C86" s="177"/>
      <c r="D86" s="175"/>
      <c r="E86" s="175"/>
      <c r="F86" s="175"/>
      <c r="G86" s="175"/>
      <c r="H86" s="175"/>
      <c r="I86" s="175"/>
      <c r="J86" s="175"/>
      <c r="K86" s="176"/>
      <c r="L86" s="113">
        <v>2</v>
      </c>
    </row>
    <row r="87" spans="2:12" x14ac:dyDescent="0.25">
      <c r="B87" s="119"/>
      <c r="C87" s="177"/>
      <c r="D87" s="175"/>
      <c r="E87" s="175"/>
      <c r="F87" s="175"/>
      <c r="G87" s="175"/>
      <c r="H87" s="175"/>
      <c r="I87" s="175"/>
      <c r="J87" s="175"/>
      <c r="K87" s="176"/>
      <c r="L87" s="113">
        <v>2</v>
      </c>
    </row>
    <row r="88" spans="2:12" x14ac:dyDescent="0.25">
      <c r="B88" s="119"/>
      <c r="C88" s="177"/>
      <c r="D88" s="175"/>
      <c r="E88" s="175"/>
      <c r="F88" s="175"/>
      <c r="G88" s="175"/>
      <c r="H88" s="175"/>
      <c r="I88" s="175"/>
      <c r="J88" s="175"/>
      <c r="K88" s="176"/>
      <c r="L88" s="113">
        <v>7</v>
      </c>
    </row>
    <row r="89" spans="2:12" x14ac:dyDescent="0.25">
      <c r="B89" s="119"/>
      <c r="C89" s="177"/>
      <c r="D89" s="175"/>
      <c r="E89" s="175"/>
      <c r="F89" s="175"/>
      <c r="G89" s="175"/>
      <c r="H89" s="175"/>
      <c r="I89" s="175"/>
      <c r="J89" s="175"/>
      <c r="K89" s="176"/>
      <c r="L89" s="113">
        <v>19</v>
      </c>
    </row>
    <row r="90" spans="2:12" x14ac:dyDescent="0.25">
      <c r="B90" s="119"/>
      <c r="C90" s="177"/>
      <c r="D90" s="175"/>
      <c r="E90" s="175"/>
      <c r="F90" s="175"/>
      <c r="G90" s="175"/>
      <c r="H90" s="175"/>
      <c r="I90" s="175"/>
      <c r="J90" s="175"/>
      <c r="K90" s="176"/>
      <c r="L90" s="113">
        <v>8</v>
      </c>
    </row>
    <row r="91" spans="2:12" x14ac:dyDescent="0.25">
      <c r="B91" s="119"/>
      <c r="C91" s="177"/>
      <c r="D91" s="175"/>
      <c r="E91" s="175"/>
      <c r="F91" s="175"/>
      <c r="G91" s="175"/>
      <c r="H91" s="175"/>
      <c r="I91" s="175"/>
      <c r="J91" s="175"/>
      <c r="K91" s="176"/>
      <c r="L91" s="113">
        <v>12</v>
      </c>
    </row>
    <row r="92" spans="2:12" x14ac:dyDescent="0.25">
      <c r="B92" s="119"/>
      <c r="C92" s="177"/>
      <c r="D92" s="175"/>
      <c r="E92" s="175"/>
      <c r="F92" s="175"/>
      <c r="G92" s="175"/>
      <c r="H92" s="175"/>
      <c r="I92" s="175"/>
      <c r="J92" s="175"/>
      <c r="K92" s="176"/>
    </row>
    <row r="93" spans="2:12" x14ac:dyDescent="0.25">
      <c r="B93" s="119"/>
      <c r="C93" s="177"/>
      <c r="D93" s="175"/>
      <c r="E93" s="175"/>
      <c r="F93" s="175"/>
      <c r="G93" s="175"/>
      <c r="H93" s="175"/>
      <c r="I93" s="175"/>
      <c r="J93" s="175"/>
      <c r="K93" s="176"/>
    </row>
    <row r="94" spans="2:12" x14ac:dyDescent="0.25">
      <c r="B94" s="119"/>
      <c r="C94" s="177"/>
      <c r="D94" s="175"/>
      <c r="E94" s="175"/>
      <c r="F94" s="175"/>
      <c r="G94" s="175"/>
      <c r="H94" s="175"/>
      <c r="I94" s="175"/>
      <c r="J94" s="175"/>
      <c r="K94" s="176"/>
    </row>
    <row r="95" spans="2:12" x14ac:dyDescent="0.25">
      <c r="B95" s="119"/>
      <c r="C95" s="177"/>
      <c r="D95" s="175"/>
      <c r="E95" s="175"/>
      <c r="F95" s="175"/>
      <c r="G95" s="175"/>
      <c r="H95" s="175"/>
      <c r="I95" s="175"/>
      <c r="J95" s="175"/>
      <c r="K95" s="176"/>
    </row>
    <row r="96" spans="2:12" x14ac:dyDescent="0.25">
      <c r="B96" s="119"/>
      <c r="C96" s="177"/>
      <c r="D96" s="175"/>
      <c r="E96" s="175"/>
      <c r="F96" s="175"/>
      <c r="G96" s="175"/>
      <c r="H96" s="175"/>
      <c r="I96" s="175"/>
      <c r="J96" s="175"/>
      <c r="K96" s="176"/>
    </row>
    <row r="97" spans="2:11" x14ac:dyDescent="0.25">
      <c r="B97" s="119"/>
      <c r="C97" s="174"/>
      <c r="D97" s="175"/>
      <c r="E97" s="175"/>
      <c r="F97" s="175"/>
      <c r="G97" s="175"/>
      <c r="H97" s="175"/>
      <c r="I97" s="175"/>
      <c r="J97" s="175"/>
      <c r="K97" s="176"/>
    </row>
    <row r="98" spans="2:11" x14ac:dyDescent="0.25">
      <c r="B98" s="119"/>
      <c r="C98" s="174"/>
      <c r="D98" s="175"/>
      <c r="E98" s="175"/>
      <c r="F98" s="175"/>
      <c r="G98" s="175"/>
      <c r="H98" s="175"/>
      <c r="I98" s="175"/>
      <c r="J98" s="175"/>
      <c r="K98" s="176"/>
    </row>
    <row r="99" spans="2:11" x14ac:dyDescent="0.25">
      <c r="B99" s="119"/>
      <c r="C99" s="174"/>
      <c r="D99" s="175"/>
      <c r="E99" s="175"/>
      <c r="F99" s="175"/>
      <c r="G99" s="175"/>
      <c r="H99" s="175"/>
      <c r="I99" s="175"/>
      <c r="J99" s="175"/>
      <c r="K99" s="176"/>
    </row>
    <row r="100" spans="2:11" x14ac:dyDescent="0.25">
      <c r="B100" s="119"/>
      <c r="C100" s="174"/>
      <c r="D100" s="175"/>
      <c r="E100" s="175"/>
      <c r="F100" s="175"/>
      <c r="G100" s="175"/>
      <c r="H100" s="175"/>
      <c r="I100" s="175"/>
      <c r="J100" s="175"/>
      <c r="K100" s="176"/>
    </row>
    <row r="101" spans="2:11" x14ac:dyDescent="0.25">
      <c r="B101" s="119"/>
      <c r="C101" s="174"/>
      <c r="D101" s="175"/>
      <c r="E101" s="175"/>
      <c r="F101" s="175"/>
      <c r="G101" s="175"/>
      <c r="H101" s="175"/>
      <c r="I101" s="175"/>
      <c r="J101" s="175"/>
      <c r="K101" s="176"/>
    </row>
    <row r="102" spans="2:11" x14ac:dyDescent="0.25">
      <c r="B102" s="119"/>
      <c r="C102" s="174"/>
      <c r="D102" s="175"/>
      <c r="E102" s="175"/>
      <c r="F102" s="175"/>
      <c r="G102" s="175"/>
      <c r="H102" s="175"/>
      <c r="I102" s="175"/>
      <c r="J102" s="175"/>
      <c r="K102" s="176"/>
    </row>
    <row r="103" spans="2:11" x14ac:dyDescent="0.25">
      <c r="B103" s="119"/>
      <c r="C103" s="174"/>
      <c r="D103" s="175"/>
      <c r="E103" s="175"/>
      <c r="F103" s="175"/>
      <c r="G103" s="175"/>
      <c r="H103" s="175"/>
      <c r="I103" s="175"/>
      <c r="J103" s="175"/>
      <c r="K103" s="176"/>
    </row>
    <row r="104" spans="2:11" x14ac:dyDescent="0.25">
      <c r="B104" s="119"/>
      <c r="C104" s="174"/>
      <c r="D104" s="175"/>
      <c r="E104" s="175"/>
      <c r="F104" s="175"/>
      <c r="G104" s="175"/>
      <c r="H104" s="175"/>
      <c r="I104" s="175"/>
      <c r="J104" s="175"/>
      <c r="K104" s="176"/>
    </row>
    <row r="105" spans="2:11" x14ac:dyDescent="0.25">
      <c r="B105" s="119"/>
      <c r="C105" s="174"/>
      <c r="D105" s="175"/>
      <c r="E105" s="175"/>
      <c r="F105" s="175"/>
      <c r="G105" s="175"/>
      <c r="H105" s="175"/>
      <c r="I105" s="175"/>
      <c r="J105" s="175"/>
      <c r="K105" s="179"/>
    </row>
    <row r="106" spans="2:11" x14ac:dyDescent="0.25">
      <c r="B106" s="119"/>
      <c r="C106" s="174"/>
      <c r="D106" s="175"/>
      <c r="E106" s="175"/>
      <c r="F106" s="175"/>
      <c r="G106" s="175"/>
      <c r="H106" s="175"/>
      <c r="I106" s="175"/>
      <c r="J106" s="175"/>
      <c r="K106" s="176"/>
    </row>
    <row r="107" spans="2:11" x14ac:dyDescent="0.25">
      <c r="B107" s="119"/>
      <c r="C107" s="174"/>
      <c r="D107" s="175"/>
      <c r="E107" s="175"/>
      <c r="F107" s="175"/>
      <c r="G107" s="175"/>
      <c r="H107" s="175"/>
      <c r="I107" s="175"/>
      <c r="J107" s="180"/>
      <c r="K107" s="176"/>
    </row>
    <row r="108" spans="2:11" x14ac:dyDescent="0.25">
      <c r="B108" s="119"/>
      <c r="C108" s="174"/>
      <c r="D108" s="175"/>
      <c r="E108" s="175"/>
      <c r="F108" s="175"/>
      <c r="G108" s="175"/>
      <c r="H108" s="175"/>
      <c r="I108" s="175">
        <f>Table1345[[#This Row],[Length]]*Table1345[[#This Row],[Weight of  steel]]</f>
        <v>0</v>
      </c>
      <c r="J108" s="175"/>
      <c r="K108" s="176"/>
    </row>
    <row r="109" spans="2:11" x14ac:dyDescent="0.25">
      <c r="B109" s="119"/>
      <c r="C109" s="174"/>
      <c r="D109" s="175"/>
      <c r="E109" s="175"/>
      <c r="F109" s="175"/>
      <c r="G109" s="175"/>
      <c r="H109" s="175"/>
      <c r="I109" s="175">
        <f>Table1345[[#This Row],[Length]]*Table1345[[#This Row],[Weight of  steel]]</f>
        <v>0</v>
      </c>
      <c r="J109" s="175"/>
      <c r="K109" s="176"/>
    </row>
    <row r="110" spans="2:11" x14ac:dyDescent="0.25">
      <c r="B110" s="119"/>
      <c r="C110" s="174"/>
      <c r="D110" s="175"/>
      <c r="E110" s="175"/>
      <c r="F110" s="175"/>
      <c r="G110" s="175"/>
      <c r="H110" s="175"/>
      <c r="I110" s="175">
        <f>Table1345[[#This Row],[Length]]*Table1345[[#This Row],[Weight of  steel]]</f>
        <v>0</v>
      </c>
      <c r="J110" s="175"/>
      <c r="K110" s="176"/>
    </row>
    <row r="111" spans="2:11" x14ac:dyDescent="0.25">
      <c r="B111" s="119"/>
      <c r="C111" s="174"/>
      <c r="D111" s="175"/>
      <c r="E111" s="175"/>
      <c r="F111" s="175"/>
      <c r="G111" s="175"/>
      <c r="H111" s="175"/>
      <c r="I111" s="175">
        <f>Table1345[[#This Row],[Length]]*Table1345[[#This Row],[Weight of  steel]]</f>
        <v>0</v>
      </c>
      <c r="J111" s="175"/>
      <c r="K111" s="176"/>
    </row>
    <row r="112" spans="2:11" x14ac:dyDescent="0.25">
      <c r="B112" s="119"/>
      <c r="C112" s="174"/>
      <c r="D112" s="175"/>
      <c r="E112" s="175"/>
      <c r="F112" s="175"/>
      <c r="G112" s="175"/>
      <c r="H112" s="175"/>
      <c r="I112" s="175">
        <f>Table1345[[#This Row],[Length]]*Table1345[[#This Row],[Weight of  steel]]</f>
        <v>0</v>
      </c>
      <c r="J112" s="175"/>
      <c r="K112" s="176"/>
    </row>
    <row r="113" spans="2:11" x14ac:dyDescent="0.25">
      <c r="B113" s="119"/>
      <c r="C113" s="174"/>
      <c r="D113" s="175"/>
      <c r="E113" s="175"/>
      <c r="F113" s="175"/>
      <c r="G113" s="175"/>
      <c r="H113" s="175"/>
      <c r="I113" s="175">
        <f>Table1345[[#This Row],[Length]]*Table1345[[#This Row],[Weight of  steel]]</f>
        <v>0</v>
      </c>
      <c r="J113" s="175"/>
      <c r="K113" s="176"/>
    </row>
    <row r="114" spans="2:11" x14ac:dyDescent="0.25">
      <c r="B114" s="119"/>
      <c r="C114" s="174"/>
      <c r="D114" s="175"/>
      <c r="E114" s="175"/>
      <c r="F114" s="175"/>
      <c r="G114" s="175"/>
      <c r="H114" s="175"/>
      <c r="I114" s="175">
        <f>Table1345[[#This Row],[Length]]*Table1345[[#This Row],[Weight of  steel]]</f>
        <v>0</v>
      </c>
      <c r="J114" s="175"/>
      <c r="K114" s="176"/>
    </row>
    <row r="115" spans="2:11" x14ac:dyDescent="0.25">
      <c r="B115" s="119"/>
      <c r="C115" s="174"/>
      <c r="D115" s="175"/>
      <c r="E115" s="175"/>
      <c r="F115" s="175"/>
      <c r="G115" s="175"/>
      <c r="H115" s="175"/>
      <c r="I115" s="175">
        <f>Table1345[[#This Row],[Length]]*Table1345[[#This Row],[Weight of  steel]]</f>
        <v>0</v>
      </c>
      <c r="J115" s="175"/>
      <c r="K115" s="176"/>
    </row>
    <row r="116" spans="2:11" x14ac:dyDescent="0.25">
      <c r="B116" s="119"/>
      <c r="C116" s="174"/>
      <c r="D116" s="175"/>
      <c r="E116" s="175"/>
      <c r="F116" s="175"/>
      <c r="G116" s="175"/>
      <c r="H116" s="175"/>
      <c r="I116" s="175">
        <f>Table1345[[#This Row],[Length]]*Table1345[[#This Row],[Weight of  steel]]</f>
        <v>0</v>
      </c>
      <c r="J116" s="175"/>
      <c r="K116" s="176"/>
    </row>
    <row r="117" spans="2:11" x14ac:dyDescent="0.25">
      <c r="B117" s="119"/>
      <c r="C117" s="174"/>
      <c r="D117" s="175"/>
      <c r="E117" s="175"/>
      <c r="F117" s="175"/>
      <c r="G117" s="175"/>
      <c r="H117" s="175"/>
      <c r="I117" s="175">
        <f>Table1345[[#This Row],[Length]]*Table1345[[#This Row],[Weight of  steel]]</f>
        <v>0</v>
      </c>
      <c r="J117" s="175"/>
      <c r="K117" s="176"/>
    </row>
    <row r="118" spans="2:11" x14ac:dyDescent="0.25">
      <c r="B118" s="119"/>
      <c r="C118" s="174"/>
      <c r="D118" s="175"/>
      <c r="E118" s="175"/>
      <c r="F118" s="175"/>
      <c r="G118" s="175"/>
      <c r="H118" s="175"/>
      <c r="I118" s="175">
        <f>Table1345[[#This Row],[Length]]*Table1345[[#This Row],[Weight of  steel]]</f>
        <v>0</v>
      </c>
      <c r="J118" s="175"/>
      <c r="K118" s="176"/>
    </row>
    <row r="119" spans="2:11" x14ac:dyDescent="0.25">
      <c r="B119" s="119"/>
      <c r="C119" s="174"/>
      <c r="D119" s="175"/>
      <c r="E119" s="175"/>
      <c r="F119" s="175"/>
      <c r="G119" s="175"/>
      <c r="H119" s="175"/>
      <c r="I119" s="175">
        <f>Table1345[[#This Row],[Length]]*Table1345[[#This Row],[Weight of  steel]]</f>
        <v>0</v>
      </c>
      <c r="J119" s="175"/>
      <c r="K119" s="176"/>
    </row>
    <row r="120" spans="2:11" x14ac:dyDescent="0.25">
      <c r="B120" s="119"/>
      <c r="C120" s="174"/>
      <c r="D120" s="175"/>
      <c r="E120" s="175"/>
      <c r="F120" s="175"/>
      <c r="G120" s="175"/>
      <c r="H120" s="175"/>
      <c r="I120" s="175">
        <f>Table1345[[#This Row],[Length]]*Table1345[[#This Row],[Weight of  steel]]</f>
        <v>0</v>
      </c>
      <c r="J120" s="175"/>
      <c r="K120" s="176"/>
    </row>
    <row r="121" spans="2:11" x14ac:dyDescent="0.25">
      <c r="B121" s="119"/>
      <c r="C121" s="174"/>
      <c r="D121" s="175"/>
      <c r="E121" s="175"/>
      <c r="F121" s="175"/>
      <c r="G121" s="175"/>
      <c r="H121" s="175"/>
      <c r="I121" s="175">
        <f>Table1345[[#This Row],[Length]]*Table1345[[#This Row],[Weight of  steel]]</f>
        <v>0</v>
      </c>
      <c r="J121" s="175"/>
      <c r="K121" s="176"/>
    </row>
    <row r="122" spans="2:11" x14ac:dyDescent="0.25">
      <c r="B122" s="119"/>
      <c r="C122" s="174"/>
      <c r="D122" s="175"/>
      <c r="E122" s="175"/>
      <c r="F122" s="175"/>
      <c r="G122" s="175"/>
      <c r="H122" s="175"/>
      <c r="I122" s="175">
        <f>Table1345[[#This Row],[Length]]*Table1345[[#This Row],[Weight of  steel]]</f>
        <v>0</v>
      </c>
      <c r="J122" s="175"/>
      <c r="K122" s="176"/>
    </row>
    <row r="123" spans="2:11" x14ac:dyDescent="0.25">
      <c r="B123" s="119"/>
      <c r="C123" s="174"/>
      <c r="D123" s="175"/>
      <c r="E123" s="175"/>
      <c r="F123" s="175"/>
      <c r="G123" s="175"/>
      <c r="H123" s="175"/>
      <c r="I123" s="175">
        <f>Table1345[[#This Row],[Length]]*Table1345[[#This Row],[Weight of  steel]]</f>
        <v>0</v>
      </c>
      <c r="J123" s="175"/>
      <c r="K123" s="176"/>
    </row>
    <row r="124" spans="2:11" x14ac:dyDescent="0.25">
      <c r="B124" s="119"/>
      <c r="C124" s="174"/>
      <c r="D124" s="175"/>
      <c r="E124" s="175"/>
      <c r="F124" s="175"/>
      <c r="G124" s="175"/>
      <c r="H124" s="175"/>
      <c r="I124" s="175">
        <f>Table1345[[#This Row],[Length]]*Table1345[[#This Row],[Weight of  steel]]</f>
        <v>0</v>
      </c>
      <c r="J124" s="175"/>
      <c r="K124" s="176"/>
    </row>
    <row r="125" spans="2:11" x14ac:dyDescent="0.25">
      <c r="B125" s="119"/>
      <c r="C125" s="174"/>
      <c r="D125" s="175"/>
      <c r="E125" s="175"/>
      <c r="F125" s="175"/>
      <c r="G125" s="175"/>
      <c r="H125" s="175"/>
      <c r="I125" s="175">
        <f>Table1345[[#This Row],[Length]]*Table1345[[#This Row],[Weight of  steel]]</f>
        <v>0</v>
      </c>
      <c r="J125" s="175"/>
      <c r="K125" s="176"/>
    </row>
    <row r="126" spans="2:11" x14ac:dyDescent="0.25">
      <c r="B126" s="119"/>
      <c r="C126" s="174"/>
      <c r="D126" s="175"/>
      <c r="E126" s="175"/>
      <c r="F126" s="175"/>
      <c r="G126" s="175"/>
      <c r="H126" s="175"/>
      <c r="I126" s="175">
        <f>Table1345[[#This Row],[Length]]*Table1345[[#This Row],[Weight of  steel]]</f>
        <v>0</v>
      </c>
      <c r="J126" s="175"/>
      <c r="K126" s="176"/>
    </row>
    <row r="127" spans="2:11" x14ac:dyDescent="0.25">
      <c r="B127" s="119"/>
      <c r="C127" s="174"/>
      <c r="D127" s="175"/>
      <c r="E127" s="175"/>
      <c r="F127" s="175"/>
      <c r="G127" s="175"/>
      <c r="H127" s="175"/>
      <c r="I127" s="175">
        <f>Table1345[[#This Row],[Length]]*Table1345[[#This Row],[Weight of  steel]]</f>
        <v>0</v>
      </c>
      <c r="J127" s="175"/>
      <c r="K127" s="176"/>
    </row>
    <row r="128" spans="2:11" x14ac:dyDescent="0.25">
      <c r="B128" s="119"/>
      <c r="C128" s="174"/>
      <c r="D128" s="175"/>
      <c r="E128" s="175"/>
      <c r="F128" s="175"/>
      <c r="G128" s="175"/>
      <c r="H128" s="175"/>
      <c r="I128" s="175">
        <f>Table1345[[#This Row],[Length]]*Table1345[[#This Row],[Weight of  steel]]</f>
        <v>0</v>
      </c>
      <c r="J128" s="175"/>
      <c r="K128" s="176"/>
    </row>
    <row r="129" spans="2:11" x14ac:dyDescent="0.25">
      <c r="B129" s="119"/>
      <c r="C129" s="174"/>
      <c r="D129" s="175"/>
      <c r="E129" s="175"/>
      <c r="F129" s="175"/>
      <c r="G129" s="175"/>
      <c r="H129" s="175"/>
      <c r="I129" s="175">
        <f>Table1345[[#This Row],[Length]]*Table1345[[#This Row],[Weight of  steel]]</f>
        <v>0</v>
      </c>
      <c r="J129" s="175"/>
      <c r="K129" s="176"/>
    </row>
    <row r="130" spans="2:11" x14ac:dyDescent="0.25">
      <c r="B130" s="119"/>
      <c r="C130" s="174"/>
      <c r="D130" s="175"/>
      <c r="E130" s="175"/>
      <c r="F130" s="175"/>
      <c r="G130" s="175"/>
      <c r="H130" s="175"/>
      <c r="I130" s="175">
        <f>Table1345[[#This Row],[Length]]*Table1345[[#This Row],[Weight of  steel]]</f>
        <v>0</v>
      </c>
      <c r="J130" s="175"/>
      <c r="K130" s="176"/>
    </row>
    <row r="131" spans="2:11" x14ac:dyDescent="0.25">
      <c r="B131" s="119"/>
      <c r="C131" s="174"/>
      <c r="D131" s="175"/>
      <c r="E131" s="175"/>
      <c r="F131" s="175"/>
      <c r="G131" s="175"/>
      <c r="H131" s="175"/>
      <c r="I131" s="175">
        <f>Table1345[[#This Row],[Length]]*Table1345[[#This Row],[Weight of  steel]]</f>
        <v>0</v>
      </c>
      <c r="J131" s="175"/>
      <c r="K131" s="176"/>
    </row>
    <row r="132" spans="2:11" x14ac:dyDescent="0.25">
      <c r="B132" s="119"/>
      <c r="C132" s="174"/>
      <c r="D132" s="175"/>
      <c r="E132" s="175"/>
      <c r="F132" s="175"/>
      <c r="G132" s="175"/>
      <c r="H132" s="175"/>
      <c r="I132" s="175">
        <f>Table1345[[#This Row],[Length]]*Table1345[[#This Row],[Weight of  steel]]</f>
        <v>0</v>
      </c>
      <c r="J132" s="175"/>
      <c r="K132" s="176"/>
    </row>
    <row r="133" spans="2:11" x14ac:dyDescent="0.25">
      <c r="B133" s="119"/>
      <c r="C133" s="174"/>
      <c r="D133" s="175"/>
      <c r="E133" s="175"/>
      <c r="F133" s="175"/>
      <c r="G133" s="175"/>
      <c r="H133" s="175"/>
      <c r="I133" s="175">
        <f>Table1345[[#This Row],[Length]]*Table1345[[#This Row],[Weight of  steel]]</f>
        <v>0</v>
      </c>
      <c r="J133" s="175"/>
      <c r="K133" s="176"/>
    </row>
    <row r="134" spans="2:11" x14ac:dyDescent="0.25">
      <c r="B134" s="119"/>
      <c r="C134" s="174"/>
      <c r="D134" s="175"/>
      <c r="E134" s="175"/>
      <c r="F134" s="175"/>
      <c r="G134" s="175"/>
      <c r="H134" s="175"/>
      <c r="I134" s="175">
        <f>Table1345[[#This Row],[Length]]*Table1345[[#This Row],[Weight of  steel]]</f>
        <v>0</v>
      </c>
      <c r="J134" s="175"/>
      <c r="K134" s="176"/>
    </row>
    <row r="135" spans="2:11" x14ac:dyDescent="0.25">
      <c r="B135" s="119"/>
      <c r="C135" s="174"/>
      <c r="D135" s="175"/>
      <c r="E135" s="175"/>
      <c r="F135" s="175"/>
      <c r="G135" s="175"/>
      <c r="H135" s="175"/>
      <c r="I135" s="175">
        <f>Table1345[[#This Row],[Length]]*Table1345[[#This Row],[Weight of  steel]]</f>
        <v>0</v>
      </c>
      <c r="J135" s="175"/>
      <c r="K135" s="176"/>
    </row>
    <row r="136" spans="2:11" x14ac:dyDescent="0.25">
      <c r="B136" s="119"/>
      <c r="C136" s="174"/>
      <c r="D136" s="175"/>
      <c r="E136" s="175"/>
      <c r="F136" s="175"/>
      <c r="G136" s="175"/>
      <c r="H136" s="175"/>
      <c r="I136" s="175">
        <f>Table1345[[#This Row],[Length]]*Table1345[[#This Row],[Weight of  steel]]</f>
        <v>0</v>
      </c>
      <c r="J136" s="175"/>
      <c r="K136" s="176"/>
    </row>
    <row r="137" spans="2:11" x14ac:dyDescent="0.25">
      <c r="B137" s="119"/>
      <c r="C137" s="174"/>
      <c r="D137" s="175"/>
      <c r="E137" s="175"/>
      <c r="F137" s="175"/>
      <c r="G137" s="175"/>
      <c r="H137" s="175"/>
      <c r="I137" s="175">
        <f>Table1345[[#This Row],[Length]]*Table1345[[#This Row],[Weight of  steel]]</f>
        <v>0</v>
      </c>
      <c r="J137" s="175"/>
      <c r="K137" s="176"/>
    </row>
    <row r="138" spans="2:11" x14ac:dyDescent="0.25">
      <c r="B138" s="119"/>
      <c r="C138" s="174"/>
      <c r="D138" s="175"/>
      <c r="E138" s="175"/>
      <c r="F138" s="175"/>
      <c r="G138" s="175"/>
      <c r="H138" s="175"/>
      <c r="I138" s="175">
        <f>Table1345[[#This Row],[Length]]*Table1345[[#This Row],[Weight of  steel]]</f>
        <v>0</v>
      </c>
      <c r="J138" s="175"/>
      <c r="K138" s="176"/>
    </row>
    <row r="139" spans="2:11" x14ac:dyDescent="0.25">
      <c r="B139" s="119"/>
      <c r="C139" s="174"/>
      <c r="D139" s="175"/>
      <c r="E139" s="175"/>
      <c r="F139" s="175"/>
      <c r="G139" s="175"/>
      <c r="H139" s="175"/>
      <c r="I139" s="175">
        <f>Table1345[[#This Row],[Length]]*Table1345[[#This Row],[Weight of  steel]]</f>
        <v>0</v>
      </c>
      <c r="J139" s="175"/>
      <c r="K139" s="176"/>
    </row>
    <row r="140" spans="2:11" x14ac:dyDescent="0.25">
      <c r="B140" s="119"/>
      <c r="C140" s="174"/>
      <c r="D140" s="175"/>
      <c r="E140" s="175"/>
      <c r="F140" s="175"/>
      <c r="G140" s="175"/>
      <c r="H140" s="175"/>
      <c r="I140" s="175">
        <f>Table1345[[#This Row],[Length]]*Table1345[[#This Row],[Weight of  steel]]</f>
        <v>0</v>
      </c>
      <c r="J140" s="175"/>
      <c r="K140" s="176"/>
    </row>
    <row r="141" spans="2:11" x14ac:dyDescent="0.25">
      <c r="B141" s="119"/>
      <c r="C141" s="174"/>
      <c r="D141" s="175"/>
      <c r="E141" s="175"/>
      <c r="F141" s="175"/>
      <c r="G141" s="175"/>
      <c r="H141" s="175"/>
      <c r="I141" s="175">
        <f>Table1345[[#This Row],[Length]]*Table1345[[#This Row],[Weight of  steel]]</f>
        <v>0</v>
      </c>
      <c r="J141" s="175"/>
      <c r="K141" s="176"/>
    </row>
    <row r="142" spans="2:11" x14ac:dyDescent="0.25">
      <c r="B142" s="119"/>
      <c r="C142" s="174"/>
      <c r="D142" s="175"/>
      <c r="E142" s="175"/>
      <c r="F142" s="175"/>
      <c r="G142" s="175"/>
      <c r="H142" s="175"/>
      <c r="I142" s="175">
        <f>Table1345[[#This Row],[Length]]*Table1345[[#This Row],[Weight of  steel]]</f>
        <v>0</v>
      </c>
      <c r="J142" s="175"/>
      <c r="K142" s="176"/>
    </row>
    <row r="143" spans="2:11" x14ac:dyDescent="0.25">
      <c r="B143" s="119"/>
      <c r="C143" s="174"/>
      <c r="D143" s="175"/>
      <c r="E143" s="175"/>
      <c r="F143" s="175"/>
      <c r="G143" s="175"/>
      <c r="H143" s="175"/>
      <c r="I143" s="175">
        <f>Table1345[[#This Row],[Length]]*Table1345[[#This Row],[Weight of  steel]]</f>
        <v>0</v>
      </c>
      <c r="J143" s="175"/>
      <c r="K143" s="176"/>
    </row>
    <row r="144" spans="2:11" x14ac:dyDescent="0.25">
      <c r="B144" s="119"/>
      <c r="C144" s="174"/>
      <c r="D144" s="175"/>
      <c r="E144" s="175"/>
      <c r="F144" s="175"/>
      <c r="G144" s="175"/>
      <c r="H144" s="175"/>
      <c r="I144" s="175">
        <f>Table1345[[#This Row],[Length]]*Table1345[[#This Row],[Weight of  steel]]</f>
        <v>0</v>
      </c>
      <c r="J144" s="175"/>
      <c r="K144" s="176"/>
    </row>
    <row r="145" spans="2:11" x14ac:dyDescent="0.25">
      <c r="B145" s="119"/>
      <c r="C145" s="174"/>
      <c r="D145" s="175"/>
      <c r="E145" s="175"/>
      <c r="F145" s="175"/>
      <c r="G145" s="175"/>
      <c r="H145" s="175"/>
      <c r="I145" s="175">
        <f>Table1345[[#This Row],[Length]]*Table1345[[#This Row],[Weight of  steel]]</f>
        <v>0</v>
      </c>
      <c r="J145" s="175"/>
      <c r="K145" s="176"/>
    </row>
    <row r="146" spans="2:11" x14ac:dyDescent="0.25">
      <c r="B146" s="119"/>
      <c r="C146" s="174"/>
      <c r="D146" s="175"/>
      <c r="E146" s="175"/>
      <c r="F146" s="175"/>
      <c r="G146" s="175"/>
      <c r="H146" s="175"/>
      <c r="I146" s="175">
        <f>Table1345[[#This Row],[Length]]*Table1345[[#This Row],[Weight of  steel]]</f>
        <v>0</v>
      </c>
      <c r="J146" s="175"/>
      <c r="K146" s="176"/>
    </row>
    <row r="147" spans="2:11" x14ac:dyDescent="0.25">
      <c r="B147" s="119"/>
      <c r="C147" s="174"/>
      <c r="D147" s="175"/>
      <c r="E147" s="175"/>
      <c r="F147" s="175"/>
      <c r="G147" s="175"/>
      <c r="H147" s="175"/>
      <c r="I147" s="175">
        <f>Table1345[[#This Row],[Length]]*Table1345[[#This Row],[Weight of  steel]]</f>
        <v>0</v>
      </c>
      <c r="J147" s="175"/>
      <c r="K147" s="176"/>
    </row>
    <row r="148" spans="2:11" x14ac:dyDescent="0.25">
      <c r="B148" s="119"/>
      <c r="C148" s="174"/>
      <c r="D148" s="175"/>
      <c r="E148" s="175"/>
      <c r="F148" s="175"/>
      <c r="G148" s="175"/>
      <c r="H148" s="175"/>
      <c r="I148" s="175">
        <f>Table1345[[#This Row],[Length]]*Table1345[[#This Row],[Weight of  steel]]</f>
        <v>0</v>
      </c>
      <c r="J148" s="175"/>
      <c r="K148" s="176"/>
    </row>
    <row r="149" spans="2:11" x14ac:dyDescent="0.25">
      <c r="B149" s="119"/>
      <c r="C149" s="174"/>
      <c r="D149" s="175"/>
      <c r="E149" s="175"/>
      <c r="F149" s="175"/>
      <c r="G149" s="175"/>
      <c r="H149" s="175"/>
      <c r="I149" s="175">
        <f>Table1345[[#This Row],[Length]]*Table1345[[#This Row],[Weight of  steel]]</f>
        <v>0</v>
      </c>
      <c r="J149" s="175"/>
      <c r="K149" s="176"/>
    </row>
    <row r="150" spans="2:11" x14ac:dyDescent="0.25">
      <c r="B150" s="119"/>
      <c r="C150" s="174"/>
      <c r="D150" s="175"/>
      <c r="E150" s="175"/>
      <c r="F150" s="175"/>
      <c r="G150" s="175"/>
      <c r="H150" s="175"/>
      <c r="I150" s="175">
        <f>Table1345[[#This Row],[Length]]*Table1345[[#This Row],[Weight of  steel]]</f>
        <v>0</v>
      </c>
      <c r="J150" s="175"/>
      <c r="K150" s="176"/>
    </row>
    <row r="151" spans="2:11" x14ac:dyDescent="0.25">
      <c r="B151" s="119"/>
      <c r="C151" s="174"/>
      <c r="D151" s="175"/>
      <c r="E151" s="175"/>
      <c r="F151" s="175"/>
      <c r="G151" s="175"/>
      <c r="H151" s="175"/>
      <c r="I151" s="175">
        <f>Table1345[[#This Row],[Length]]*Table1345[[#This Row],[Weight of  steel]]</f>
        <v>0</v>
      </c>
      <c r="J151" s="175"/>
      <c r="K151" s="176"/>
    </row>
    <row r="152" spans="2:11" x14ac:dyDescent="0.25">
      <c r="B152" s="119"/>
      <c r="C152" s="174"/>
      <c r="D152" s="175"/>
      <c r="E152" s="175"/>
      <c r="F152" s="175"/>
      <c r="G152" s="175"/>
      <c r="H152" s="175"/>
      <c r="I152" s="175">
        <f>Table1345[[#This Row],[Length]]*Table1345[[#This Row],[Weight of  steel]]</f>
        <v>0</v>
      </c>
      <c r="J152" s="175"/>
      <c r="K152" s="176"/>
    </row>
    <row r="153" spans="2:11" x14ac:dyDescent="0.25">
      <c r="B153" s="119"/>
      <c r="C153" s="174"/>
      <c r="D153" s="175"/>
      <c r="E153" s="175"/>
      <c r="F153" s="175"/>
      <c r="G153" s="175"/>
      <c r="H153" s="175"/>
      <c r="I153" s="175">
        <f>Table1345[[#This Row],[Length]]*Table1345[[#This Row],[Weight of  steel]]</f>
        <v>0</v>
      </c>
      <c r="J153" s="175"/>
      <c r="K153" s="176"/>
    </row>
    <row r="154" spans="2:11" x14ac:dyDescent="0.25">
      <c r="B154" s="119"/>
      <c r="C154" s="174"/>
      <c r="D154" s="175"/>
      <c r="E154" s="175"/>
      <c r="F154" s="175"/>
      <c r="G154" s="175"/>
      <c r="H154" s="175"/>
      <c r="I154" s="175">
        <f>Table1345[[#This Row],[Length]]*Table1345[[#This Row],[Weight of  steel]]</f>
        <v>0</v>
      </c>
      <c r="J154" s="175"/>
      <c r="K154" s="176"/>
    </row>
    <row r="155" spans="2:11" x14ac:dyDescent="0.25">
      <c r="B155" s="119"/>
      <c r="C155" s="174"/>
      <c r="D155" s="175"/>
      <c r="E155" s="175"/>
      <c r="F155" s="175"/>
      <c r="G155" s="175"/>
      <c r="H155" s="175"/>
      <c r="I155" s="175">
        <f>Table1345[[#This Row],[Length]]*Table1345[[#This Row],[Weight of  steel]]</f>
        <v>0</v>
      </c>
      <c r="J155" s="175"/>
      <c r="K155" s="176"/>
    </row>
    <row r="156" spans="2:11" x14ac:dyDescent="0.25">
      <c r="B156" s="119"/>
      <c r="C156" s="174"/>
      <c r="D156" s="175"/>
      <c r="E156" s="175"/>
      <c r="F156" s="175"/>
      <c r="G156" s="175"/>
      <c r="H156" s="175"/>
      <c r="I156" s="175">
        <f>Table1345[[#This Row],[Length]]*Table1345[[#This Row],[Weight of  steel]]</f>
        <v>0</v>
      </c>
      <c r="J156" s="175"/>
      <c r="K156" s="176"/>
    </row>
    <row r="157" spans="2:11" x14ac:dyDescent="0.25">
      <c r="B157" s="119"/>
      <c r="C157" s="174"/>
      <c r="D157" s="175"/>
      <c r="E157" s="175"/>
      <c r="F157" s="175"/>
      <c r="G157" s="175"/>
      <c r="H157" s="175"/>
      <c r="I157" s="175">
        <f>Table1345[[#This Row],[Length]]*Table1345[[#This Row],[Weight of  steel]]</f>
        <v>0</v>
      </c>
      <c r="J157" s="175"/>
      <c r="K157" s="176"/>
    </row>
    <row r="158" spans="2:11" x14ac:dyDescent="0.25">
      <c r="B158" s="119"/>
      <c r="C158" s="174"/>
      <c r="D158" s="175"/>
      <c r="E158" s="175"/>
      <c r="F158" s="175"/>
      <c r="G158" s="175"/>
      <c r="H158" s="175"/>
      <c r="I158" s="175">
        <f>Table1345[[#This Row],[Length]]*Table1345[[#This Row],[Weight of  steel]]</f>
        <v>0</v>
      </c>
      <c r="J158" s="175"/>
      <c r="K158" s="176"/>
    </row>
    <row r="159" spans="2:11" x14ac:dyDescent="0.25">
      <c r="B159" s="119"/>
      <c r="C159" s="174"/>
      <c r="D159" s="175"/>
      <c r="E159" s="175"/>
      <c r="F159" s="175"/>
      <c r="G159" s="175"/>
      <c r="H159" s="175"/>
      <c r="I159" s="175">
        <f>Table1345[[#This Row],[Length]]*Table1345[[#This Row],[Weight of  steel]]</f>
        <v>0</v>
      </c>
      <c r="J159" s="175"/>
      <c r="K159" s="176"/>
    </row>
    <row r="160" spans="2:11" x14ac:dyDescent="0.25">
      <c r="B160" s="119"/>
      <c r="C160" s="174"/>
      <c r="D160" s="175"/>
      <c r="E160" s="175"/>
      <c r="F160" s="175"/>
      <c r="G160" s="175"/>
      <c r="H160" s="175"/>
      <c r="I160" s="175">
        <f>Table1345[[#This Row],[Length]]*Table1345[[#This Row],[Weight of  steel]]</f>
        <v>0</v>
      </c>
      <c r="J160" s="175"/>
      <c r="K160" s="176"/>
    </row>
    <row r="161" spans="2:11" x14ac:dyDescent="0.25">
      <c r="B161" s="119"/>
      <c r="C161" s="174"/>
      <c r="D161" s="175"/>
      <c r="E161" s="175"/>
      <c r="F161" s="175"/>
      <c r="G161" s="175"/>
      <c r="H161" s="175"/>
      <c r="I161" s="175">
        <f>Table1345[[#This Row],[Length]]*Table1345[[#This Row],[Weight of  steel]]</f>
        <v>0</v>
      </c>
      <c r="J161" s="175"/>
      <c r="K161" s="176"/>
    </row>
    <row r="162" spans="2:11" x14ac:dyDescent="0.25">
      <c r="B162" s="119"/>
      <c r="C162" s="174"/>
      <c r="D162" s="175"/>
      <c r="E162" s="175"/>
      <c r="F162" s="175"/>
      <c r="G162" s="175"/>
      <c r="H162" s="175"/>
      <c r="I162" s="175">
        <f>Table1345[[#This Row],[Length]]*Table1345[[#This Row],[Weight of  steel]]</f>
        <v>0</v>
      </c>
      <c r="J162" s="175"/>
      <c r="K162" s="176"/>
    </row>
    <row r="163" spans="2:11" x14ac:dyDescent="0.25">
      <c r="B163" s="140"/>
      <c r="C163" s="181"/>
      <c r="D163" s="182"/>
      <c r="E163" s="182"/>
      <c r="F163" s="182"/>
      <c r="G163" s="182"/>
      <c r="H163" s="175"/>
      <c r="I163" s="182">
        <f>Table1345[[#This Row],[Length]]*Table1345[[#This Row],[Weight of  steel]]</f>
        <v>0</v>
      </c>
      <c r="J163" s="175"/>
      <c r="K163" s="176"/>
    </row>
    <row r="164" spans="2:11" x14ac:dyDescent="0.25">
      <c r="B164" s="140"/>
      <c r="C164" s="181"/>
      <c r="D164" s="182"/>
      <c r="E164" s="182"/>
      <c r="F164" s="182"/>
      <c r="G164" s="182"/>
      <c r="H164" s="182"/>
      <c r="I164" s="182"/>
      <c r="J164" s="182"/>
      <c r="K164" s="183"/>
    </row>
    <row r="165" spans="2:11" x14ac:dyDescent="0.25">
      <c r="J165" s="148">
        <f>Table1345[[#Totals],[Weight of  steel]]*7.9</f>
        <v>0</v>
      </c>
      <c r="K165" s="149">
        <f>Table1345[[#Totals],[Volume of Concrete]]*5700</f>
        <v>0</v>
      </c>
    </row>
    <row r="166" spans="2:11" x14ac:dyDescent="0.25">
      <c r="J166" s="150">
        <f>J165*93000</f>
        <v>0</v>
      </c>
      <c r="K166" s="149">
        <f>K165+J166</f>
        <v>0</v>
      </c>
    </row>
    <row r="167" spans="2:11" x14ac:dyDescent="0.25">
      <c r="J167" s="149"/>
      <c r="K167" s="112" t="e">
        <f>K166/Table1345[[#Totals],[Length]]</f>
        <v>#DIV/0!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43"/>
  <sheetViews>
    <sheetView workbookViewId="0">
      <selection activeCell="P3" sqref="P3"/>
    </sheetView>
  </sheetViews>
  <sheetFormatPr defaultRowHeight="15" x14ac:dyDescent="0.25"/>
  <cols>
    <col min="4" max="4" width="46" bestFit="1" customWidth="1"/>
    <col min="5" max="5" width="33.7109375" customWidth="1"/>
    <col min="6" max="6" width="10.7109375" bestFit="1" customWidth="1"/>
    <col min="7" max="7" width="12.5703125" customWidth="1"/>
    <col min="11" max="11" width="10.42578125" bestFit="1" customWidth="1"/>
    <col min="12" max="12" width="5.5703125" customWidth="1"/>
    <col min="13" max="13" width="5.85546875" customWidth="1"/>
    <col min="14" max="14" width="4.42578125" customWidth="1"/>
    <col min="16" max="16" width="17.7109375" bestFit="1" customWidth="1"/>
  </cols>
  <sheetData>
    <row r="2" spans="2:16" s="6" customFormat="1" x14ac:dyDescent="0.25">
      <c r="B2" s="2" t="s">
        <v>197</v>
      </c>
      <c r="C2" s="2" t="s">
        <v>198</v>
      </c>
      <c r="D2" s="2" t="s">
        <v>199</v>
      </c>
      <c r="E2" s="2" t="s">
        <v>200</v>
      </c>
      <c r="F2" s="2" t="s">
        <v>201</v>
      </c>
      <c r="G2" s="2" t="s">
        <v>202</v>
      </c>
      <c r="H2" s="2" t="s">
        <v>203</v>
      </c>
      <c r="I2" s="2" t="s">
        <v>204</v>
      </c>
      <c r="J2" s="2" t="s">
        <v>205</v>
      </c>
      <c r="K2" s="2" t="s">
        <v>206</v>
      </c>
      <c r="L2" s="2" t="s">
        <v>207</v>
      </c>
      <c r="M2" s="2" t="s">
        <v>208</v>
      </c>
      <c r="N2" s="2" t="s">
        <v>209</v>
      </c>
      <c r="O2" s="2" t="s">
        <v>210</v>
      </c>
      <c r="P2" s="57" t="s">
        <v>211</v>
      </c>
    </row>
    <row r="3" spans="2:16" x14ac:dyDescent="0.25">
      <c r="B3" s="4" t="s">
        <v>212</v>
      </c>
      <c r="C3" s="4">
        <v>1700010819</v>
      </c>
      <c r="D3" s="4" t="s">
        <v>213</v>
      </c>
      <c r="E3" s="4" t="s">
        <v>214</v>
      </c>
      <c r="F3" s="4">
        <v>16130100</v>
      </c>
      <c r="G3" s="4" t="s">
        <v>215</v>
      </c>
      <c r="H3" s="4" t="s">
        <v>216</v>
      </c>
      <c r="I3" s="4" t="s">
        <v>217</v>
      </c>
      <c r="J3" s="4" t="s">
        <v>218</v>
      </c>
      <c r="K3" s="58">
        <v>44245</v>
      </c>
      <c r="L3" s="4">
        <v>1</v>
      </c>
      <c r="M3" s="4" t="s">
        <v>219</v>
      </c>
      <c r="N3" s="4">
        <v>1</v>
      </c>
      <c r="O3" s="4" t="s">
        <v>220</v>
      </c>
      <c r="P3" s="59">
        <v>6833942.2599999998</v>
      </c>
    </row>
    <row r="4" spans="2:16" x14ac:dyDescent="0.25">
      <c r="B4" s="4" t="s">
        <v>212</v>
      </c>
      <c r="C4" s="4">
        <v>1700009812</v>
      </c>
      <c r="D4" s="4" t="s">
        <v>221</v>
      </c>
      <c r="E4" s="4" t="s">
        <v>222</v>
      </c>
      <c r="F4" s="4">
        <v>16130100</v>
      </c>
      <c r="G4" s="4" t="s">
        <v>215</v>
      </c>
      <c r="H4" s="4" t="s">
        <v>216</v>
      </c>
      <c r="I4" s="4" t="s">
        <v>223</v>
      </c>
      <c r="J4" s="4" t="s">
        <v>224</v>
      </c>
      <c r="K4" s="58">
        <v>43647</v>
      </c>
      <c r="L4" s="4">
        <v>1</v>
      </c>
      <c r="M4" s="4" t="s">
        <v>219</v>
      </c>
      <c r="N4" s="4">
        <v>1</v>
      </c>
      <c r="O4" s="4" t="s">
        <v>220</v>
      </c>
      <c r="P4" s="59">
        <v>6741807.7400000002</v>
      </c>
    </row>
    <row r="5" spans="2:16" x14ac:dyDescent="0.25">
      <c r="B5" s="4" t="s">
        <v>212</v>
      </c>
      <c r="C5" s="4">
        <v>1700010830</v>
      </c>
      <c r="D5" s="4" t="s">
        <v>225</v>
      </c>
      <c r="E5" s="4" t="s">
        <v>225</v>
      </c>
      <c r="F5" s="4">
        <v>16130100</v>
      </c>
      <c r="G5" s="4" t="s">
        <v>215</v>
      </c>
      <c r="H5" s="4" t="s">
        <v>216</v>
      </c>
      <c r="I5" s="4" t="s">
        <v>217</v>
      </c>
      <c r="J5" s="4" t="s">
        <v>218</v>
      </c>
      <c r="K5" s="58">
        <v>44238</v>
      </c>
      <c r="L5" s="4">
        <v>1</v>
      </c>
      <c r="M5" s="4" t="s">
        <v>219</v>
      </c>
      <c r="N5" s="4">
        <v>1</v>
      </c>
      <c r="O5" s="4" t="s">
        <v>220</v>
      </c>
      <c r="P5" s="59">
        <v>6170556.79</v>
      </c>
    </row>
    <row r="6" spans="2:16" x14ac:dyDescent="0.25">
      <c r="B6" s="4" t="s">
        <v>212</v>
      </c>
      <c r="C6" s="4">
        <v>1700010705</v>
      </c>
      <c r="D6" s="4" t="s">
        <v>225</v>
      </c>
      <c r="E6" s="4" t="s">
        <v>225</v>
      </c>
      <c r="F6" s="4">
        <v>16130100</v>
      </c>
      <c r="G6" s="4" t="s">
        <v>215</v>
      </c>
      <c r="H6" s="4" t="s">
        <v>216</v>
      </c>
      <c r="I6" s="4" t="s">
        <v>217</v>
      </c>
      <c r="J6" s="4" t="s">
        <v>218</v>
      </c>
      <c r="K6" s="58">
        <v>44237</v>
      </c>
      <c r="L6" s="4">
        <v>1</v>
      </c>
      <c r="M6" s="4" t="s">
        <v>219</v>
      </c>
      <c r="N6" s="4">
        <v>1</v>
      </c>
      <c r="O6" s="4" t="s">
        <v>220</v>
      </c>
      <c r="P6" s="59">
        <v>6024044.2400000002</v>
      </c>
    </row>
    <row r="7" spans="2:16" x14ac:dyDescent="0.25">
      <c r="B7" s="4" t="s">
        <v>212</v>
      </c>
      <c r="C7" s="4">
        <v>1700010706</v>
      </c>
      <c r="D7" s="4" t="s">
        <v>225</v>
      </c>
      <c r="E7" s="4" t="s">
        <v>225</v>
      </c>
      <c r="F7" s="4">
        <v>16130100</v>
      </c>
      <c r="G7" s="4" t="s">
        <v>215</v>
      </c>
      <c r="H7" s="4" t="s">
        <v>216</v>
      </c>
      <c r="I7" s="4" t="s">
        <v>217</v>
      </c>
      <c r="J7" s="4" t="s">
        <v>218</v>
      </c>
      <c r="K7" s="58">
        <v>44202</v>
      </c>
      <c r="L7" s="4">
        <v>1</v>
      </c>
      <c r="M7" s="4" t="s">
        <v>219</v>
      </c>
      <c r="N7" s="4">
        <v>1</v>
      </c>
      <c r="O7" s="4" t="s">
        <v>220</v>
      </c>
      <c r="P7" s="59">
        <v>6023990.8600000003</v>
      </c>
    </row>
    <row r="8" spans="2:16" x14ac:dyDescent="0.25">
      <c r="B8" s="4" t="s">
        <v>212</v>
      </c>
      <c r="C8" s="4">
        <v>1700010358</v>
      </c>
      <c r="D8" s="4" t="s">
        <v>226</v>
      </c>
      <c r="E8" s="4" t="s">
        <v>226</v>
      </c>
      <c r="F8" s="4">
        <v>16130100</v>
      </c>
      <c r="G8" s="4" t="s">
        <v>215</v>
      </c>
      <c r="H8" s="4" t="s">
        <v>216</v>
      </c>
      <c r="I8" s="4" t="s">
        <v>223</v>
      </c>
      <c r="J8" s="4" t="s">
        <v>224</v>
      </c>
      <c r="K8" s="58">
        <v>43860</v>
      </c>
      <c r="L8" s="4">
        <v>1</v>
      </c>
      <c r="M8" s="4" t="s">
        <v>219</v>
      </c>
      <c r="N8" s="4">
        <v>1</v>
      </c>
      <c r="O8" s="4" t="s">
        <v>220</v>
      </c>
      <c r="P8" s="59">
        <v>5925844.9199999999</v>
      </c>
    </row>
    <row r="9" spans="2:16" x14ac:dyDescent="0.25">
      <c r="B9" s="4" t="s">
        <v>212</v>
      </c>
      <c r="C9" s="4">
        <v>1700009602</v>
      </c>
      <c r="D9" s="4" t="s">
        <v>227</v>
      </c>
      <c r="E9" s="4" t="s">
        <v>228</v>
      </c>
      <c r="F9" s="4">
        <v>16130100</v>
      </c>
      <c r="G9" s="4" t="s">
        <v>215</v>
      </c>
      <c r="H9" s="4" t="s">
        <v>216</v>
      </c>
      <c r="I9" s="4" t="s">
        <v>217</v>
      </c>
      <c r="J9" s="4" t="s">
        <v>218</v>
      </c>
      <c r="K9" s="58">
        <v>43589</v>
      </c>
      <c r="L9" s="4">
        <v>1</v>
      </c>
      <c r="M9" s="4" t="s">
        <v>219</v>
      </c>
      <c r="N9" s="4">
        <v>1</v>
      </c>
      <c r="O9" s="4" t="s">
        <v>220</v>
      </c>
      <c r="P9" s="59">
        <v>5667729.7599999998</v>
      </c>
    </row>
    <row r="10" spans="2:16" x14ac:dyDescent="0.25">
      <c r="B10" s="4" t="s">
        <v>212</v>
      </c>
      <c r="C10" s="4">
        <v>1700010829</v>
      </c>
      <c r="D10" s="4" t="s">
        <v>229</v>
      </c>
      <c r="E10" s="4" t="s">
        <v>230</v>
      </c>
      <c r="F10" s="4">
        <v>16130100</v>
      </c>
      <c r="G10" s="4" t="s">
        <v>215</v>
      </c>
      <c r="H10" s="4" t="s">
        <v>216</v>
      </c>
      <c r="I10" s="4" t="s">
        <v>217</v>
      </c>
      <c r="J10" s="4" t="s">
        <v>218</v>
      </c>
      <c r="K10" s="58">
        <v>44245</v>
      </c>
      <c r="L10" s="4">
        <v>1</v>
      </c>
      <c r="M10" s="4" t="s">
        <v>219</v>
      </c>
      <c r="N10" s="4">
        <v>1</v>
      </c>
      <c r="O10" s="4" t="s">
        <v>220</v>
      </c>
      <c r="P10" s="59">
        <v>5535516.04</v>
      </c>
    </row>
    <row r="11" spans="2:16" x14ac:dyDescent="0.25">
      <c r="B11" s="4" t="s">
        <v>212</v>
      </c>
      <c r="C11" s="4">
        <v>1700009473</v>
      </c>
      <c r="D11" s="4" t="s">
        <v>231</v>
      </c>
      <c r="E11" s="4" t="s">
        <v>232</v>
      </c>
      <c r="F11" s="4">
        <v>16130100</v>
      </c>
      <c r="G11" s="4" t="s">
        <v>215</v>
      </c>
      <c r="H11" s="4" t="s">
        <v>216</v>
      </c>
      <c r="I11" s="4" t="s">
        <v>233</v>
      </c>
      <c r="J11" s="4" t="s">
        <v>234</v>
      </c>
      <c r="K11" s="58">
        <v>43362</v>
      </c>
      <c r="L11" s="4">
        <v>1</v>
      </c>
      <c r="M11" s="4" t="s">
        <v>219</v>
      </c>
      <c r="N11" s="4">
        <v>1</v>
      </c>
      <c r="O11" s="4" t="s">
        <v>220</v>
      </c>
      <c r="P11" s="59">
        <v>5332279.78</v>
      </c>
    </row>
    <row r="12" spans="2:16" x14ac:dyDescent="0.25">
      <c r="B12" s="4" t="s">
        <v>212</v>
      </c>
      <c r="C12" s="4">
        <v>1700009563</v>
      </c>
      <c r="D12" s="4" t="s">
        <v>235</v>
      </c>
      <c r="E12" s="4" t="s">
        <v>235</v>
      </c>
      <c r="F12" s="4">
        <v>16130100</v>
      </c>
      <c r="G12" s="4" t="s">
        <v>215</v>
      </c>
      <c r="H12" s="4" t="s">
        <v>216</v>
      </c>
      <c r="I12" s="4" t="s">
        <v>223</v>
      </c>
      <c r="J12" s="4" t="s">
        <v>224</v>
      </c>
      <c r="K12" s="58">
        <v>43467</v>
      </c>
      <c r="L12" s="4">
        <v>1</v>
      </c>
      <c r="M12" s="4" t="s">
        <v>219</v>
      </c>
      <c r="N12" s="4">
        <v>1</v>
      </c>
      <c r="O12" s="4" t="s">
        <v>220</v>
      </c>
      <c r="P12" s="59">
        <v>5295568.6500000004</v>
      </c>
    </row>
    <row r="13" spans="2:16" x14ac:dyDescent="0.25">
      <c r="B13" s="4" t="s">
        <v>212</v>
      </c>
      <c r="C13" s="4">
        <v>1700010474</v>
      </c>
      <c r="D13" s="4" t="s">
        <v>236</v>
      </c>
      <c r="E13" s="4" t="s">
        <v>237</v>
      </c>
      <c r="F13" s="4">
        <v>16130100</v>
      </c>
      <c r="G13" s="4" t="s">
        <v>215</v>
      </c>
      <c r="H13" s="4" t="s">
        <v>216</v>
      </c>
      <c r="I13" s="4" t="s">
        <v>233</v>
      </c>
      <c r="J13" s="4" t="s">
        <v>234</v>
      </c>
      <c r="K13" s="58">
        <v>44036</v>
      </c>
      <c r="L13" s="4">
        <v>1</v>
      </c>
      <c r="M13" s="4" t="s">
        <v>219</v>
      </c>
      <c r="N13" s="4">
        <v>1</v>
      </c>
      <c r="O13" s="4" t="s">
        <v>220</v>
      </c>
      <c r="P13" s="59">
        <v>5146470.74</v>
      </c>
    </row>
    <row r="14" spans="2:16" x14ac:dyDescent="0.25">
      <c r="B14" s="4" t="s">
        <v>212</v>
      </c>
      <c r="C14" s="4">
        <v>1700011414</v>
      </c>
      <c r="D14" s="4" t="s">
        <v>238</v>
      </c>
      <c r="E14" s="4" t="s">
        <v>239</v>
      </c>
      <c r="F14" s="4">
        <v>16130100</v>
      </c>
      <c r="G14" s="4" t="s">
        <v>215</v>
      </c>
      <c r="H14" s="4" t="s">
        <v>216</v>
      </c>
      <c r="I14" s="4" t="s">
        <v>233</v>
      </c>
      <c r="J14" s="4" t="s">
        <v>234</v>
      </c>
      <c r="K14" s="58">
        <v>44275</v>
      </c>
      <c r="L14" s="4">
        <v>1</v>
      </c>
      <c r="M14" s="4" t="s">
        <v>219</v>
      </c>
      <c r="N14" s="4">
        <v>1</v>
      </c>
      <c r="O14" s="4" t="s">
        <v>220</v>
      </c>
      <c r="P14" s="59">
        <v>5132466.7</v>
      </c>
    </row>
    <row r="15" spans="2:16" x14ac:dyDescent="0.25">
      <c r="B15" s="4" t="s">
        <v>212</v>
      </c>
      <c r="C15" s="4">
        <v>1700010475</v>
      </c>
      <c r="D15" s="4" t="s">
        <v>240</v>
      </c>
      <c r="E15" s="4" t="s">
        <v>237</v>
      </c>
      <c r="F15" s="4">
        <v>16130100</v>
      </c>
      <c r="G15" s="4" t="s">
        <v>215</v>
      </c>
      <c r="H15" s="4" t="s">
        <v>216</v>
      </c>
      <c r="I15" s="4" t="s">
        <v>233</v>
      </c>
      <c r="J15" s="4" t="s">
        <v>234</v>
      </c>
      <c r="K15" s="58">
        <v>44036</v>
      </c>
      <c r="L15" s="4">
        <v>1</v>
      </c>
      <c r="M15" s="4" t="s">
        <v>219</v>
      </c>
      <c r="N15" s="4">
        <v>1</v>
      </c>
      <c r="O15" s="4" t="s">
        <v>220</v>
      </c>
      <c r="P15" s="59">
        <v>5120845.1100000003</v>
      </c>
    </row>
    <row r="16" spans="2:16" x14ac:dyDescent="0.25">
      <c r="B16" s="4" t="s">
        <v>212</v>
      </c>
      <c r="C16" s="4">
        <v>1700009490</v>
      </c>
      <c r="D16" s="4" t="s">
        <v>236</v>
      </c>
      <c r="E16" s="4" t="s">
        <v>236</v>
      </c>
      <c r="F16" s="4">
        <v>16130100</v>
      </c>
      <c r="G16" s="4" t="s">
        <v>215</v>
      </c>
      <c r="H16" s="4" t="s">
        <v>216</v>
      </c>
      <c r="I16" s="4" t="s">
        <v>233</v>
      </c>
      <c r="J16" s="4" t="s">
        <v>234</v>
      </c>
      <c r="K16" s="58">
        <v>43425</v>
      </c>
      <c r="L16" s="4">
        <v>1</v>
      </c>
      <c r="M16" s="4" t="s">
        <v>219</v>
      </c>
      <c r="N16" s="4">
        <v>1</v>
      </c>
      <c r="O16" s="4" t="s">
        <v>220</v>
      </c>
      <c r="P16" s="59">
        <v>4984115.38</v>
      </c>
    </row>
    <row r="17" spans="2:16" x14ac:dyDescent="0.25">
      <c r="B17" s="4" t="s">
        <v>212</v>
      </c>
      <c r="C17" s="4">
        <v>1700010117</v>
      </c>
      <c r="D17" s="4" t="s">
        <v>236</v>
      </c>
      <c r="E17" s="4" t="s">
        <v>236</v>
      </c>
      <c r="F17" s="4">
        <v>16130100</v>
      </c>
      <c r="G17" s="4" t="s">
        <v>215</v>
      </c>
      <c r="H17" s="4" t="s">
        <v>216</v>
      </c>
      <c r="I17" s="4" t="s">
        <v>233</v>
      </c>
      <c r="J17" s="4" t="s">
        <v>234</v>
      </c>
      <c r="K17" s="58">
        <v>43771</v>
      </c>
      <c r="L17" s="4">
        <v>1</v>
      </c>
      <c r="M17" s="4" t="s">
        <v>219</v>
      </c>
      <c r="N17" s="4">
        <v>1</v>
      </c>
      <c r="O17" s="4" t="s">
        <v>220</v>
      </c>
      <c r="P17" s="59">
        <v>4960070.95</v>
      </c>
    </row>
    <row r="18" spans="2:16" x14ac:dyDescent="0.25">
      <c r="B18" s="4" t="s">
        <v>212</v>
      </c>
      <c r="C18" s="4">
        <v>1700009472</v>
      </c>
      <c r="D18" s="4" t="s">
        <v>241</v>
      </c>
      <c r="E18" s="4" t="s">
        <v>232</v>
      </c>
      <c r="F18" s="4">
        <v>16130100</v>
      </c>
      <c r="G18" s="4" t="s">
        <v>215</v>
      </c>
      <c r="H18" s="4" t="s">
        <v>216</v>
      </c>
      <c r="I18" s="4" t="s">
        <v>233</v>
      </c>
      <c r="J18" s="4" t="s">
        <v>234</v>
      </c>
      <c r="K18" s="58">
        <v>43362</v>
      </c>
      <c r="L18" s="4">
        <v>1</v>
      </c>
      <c r="M18" s="4" t="s">
        <v>219</v>
      </c>
      <c r="N18" s="4">
        <v>1</v>
      </c>
      <c r="O18" s="4" t="s">
        <v>220</v>
      </c>
      <c r="P18" s="59">
        <v>4952915.3099999996</v>
      </c>
    </row>
    <row r="19" spans="2:16" x14ac:dyDescent="0.25">
      <c r="B19" s="4" t="s">
        <v>212</v>
      </c>
      <c r="C19" s="4">
        <v>1700010816</v>
      </c>
      <c r="D19" s="4" t="s">
        <v>242</v>
      </c>
      <c r="E19" s="4" t="s">
        <v>243</v>
      </c>
      <c r="F19" s="4">
        <v>16130100</v>
      </c>
      <c r="G19" s="4" t="s">
        <v>215</v>
      </c>
      <c r="H19" s="4" t="s">
        <v>216</v>
      </c>
      <c r="I19" s="4" t="s">
        <v>244</v>
      </c>
      <c r="J19" s="4" t="s">
        <v>218</v>
      </c>
      <c r="K19" s="58">
        <v>44245</v>
      </c>
      <c r="L19" s="4">
        <v>1</v>
      </c>
      <c r="M19" s="4" t="s">
        <v>219</v>
      </c>
      <c r="N19" s="4">
        <v>1</v>
      </c>
      <c r="O19" s="4" t="s">
        <v>220</v>
      </c>
      <c r="P19" s="59">
        <v>4920449.9000000004</v>
      </c>
    </row>
    <row r="20" spans="2:16" x14ac:dyDescent="0.25">
      <c r="B20" s="4" t="s">
        <v>212</v>
      </c>
      <c r="C20" s="4">
        <v>1700009356</v>
      </c>
      <c r="D20" s="4" t="s">
        <v>245</v>
      </c>
      <c r="E20" s="4" t="s">
        <v>246</v>
      </c>
      <c r="F20" s="4">
        <v>16130100</v>
      </c>
      <c r="G20" s="4" t="s">
        <v>215</v>
      </c>
      <c r="H20" s="4" t="s">
        <v>216</v>
      </c>
      <c r="I20" s="4" t="s">
        <v>233</v>
      </c>
      <c r="J20" s="4" t="s">
        <v>234</v>
      </c>
      <c r="K20" s="58">
        <v>43313</v>
      </c>
      <c r="L20" s="4">
        <v>1</v>
      </c>
      <c r="M20" s="4" t="s">
        <v>219</v>
      </c>
      <c r="N20" s="4">
        <v>1</v>
      </c>
      <c r="O20" s="4" t="s">
        <v>220</v>
      </c>
      <c r="P20" s="59">
        <v>4885017.4800000004</v>
      </c>
    </row>
    <row r="21" spans="2:16" x14ac:dyDescent="0.25">
      <c r="B21" s="4" t="s">
        <v>212</v>
      </c>
      <c r="C21" s="4">
        <v>1700010158</v>
      </c>
      <c r="D21" s="4" t="s">
        <v>247</v>
      </c>
      <c r="E21" s="4" t="s">
        <v>247</v>
      </c>
      <c r="F21" s="4">
        <v>16130100</v>
      </c>
      <c r="G21" s="4" t="s">
        <v>215</v>
      </c>
      <c r="H21" s="4" t="s">
        <v>216</v>
      </c>
      <c r="I21" s="4" t="s">
        <v>223</v>
      </c>
      <c r="J21" s="4" t="s">
        <v>224</v>
      </c>
      <c r="K21" s="58">
        <v>43795</v>
      </c>
      <c r="L21" s="4">
        <v>1</v>
      </c>
      <c r="M21" s="4" t="s">
        <v>219</v>
      </c>
      <c r="N21" s="4">
        <v>1</v>
      </c>
      <c r="O21" s="4" t="s">
        <v>220</v>
      </c>
      <c r="P21" s="59">
        <v>4883023.57</v>
      </c>
    </row>
    <row r="22" spans="2:16" x14ac:dyDescent="0.25">
      <c r="B22" s="4" t="s">
        <v>212</v>
      </c>
      <c r="C22" s="4">
        <v>1700009740</v>
      </c>
      <c r="D22" s="4" t="s">
        <v>248</v>
      </c>
      <c r="E22" s="4" t="s">
        <v>249</v>
      </c>
      <c r="F22" s="4">
        <v>16130100</v>
      </c>
      <c r="G22" s="4" t="s">
        <v>215</v>
      </c>
      <c r="H22" s="4" t="s">
        <v>216</v>
      </c>
      <c r="I22" s="4" t="s">
        <v>233</v>
      </c>
      <c r="J22" s="4" t="s">
        <v>234</v>
      </c>
      <c r="K22" s="58">
        <v>43530</v>
      </c>
      <c r="L22" s="4">
        <v>1</v>
      </c>
      <c r="M22" s="4" t="s">
        <v>219</v>
      </c>
      <c r="N22" s="4">
        <v>1</v>
      </c>
      <c r="O22" s="4" t="s">
        <v>220</v>
      </c>
      <c r="P22" s="59">
        <v>4834750</v>
      </c>
    </row>
    <row r="23" spans="2:16" x14ac:dyDescent="0.25">
      <c r="B23" s="4" t="s">
        <v>212</v>
      </c>
      <c r="C23" s="4">
        <v>1700009476</v>
      </c>
      <c r="D23" s="4" t="s">
        <v>250</v>
      </c>
      <c r="E23" s="4" t="s">
        <v>251</v>
      </c>
      <c r="F23" s="4">
        <v>16130100</v>
      </c>
      <c r="G23" s="4" t="s">
        <v>215</v>
      </c>
      <c r="H23" s="4" t="s">
        <v>216</v>
      </c>
      <c r="I23" s="4" t="s">
        <v>233</v>
      </c>
      <c r="J23" s="4" t="s">
        <v>234</v>
      </c>
      <c r="K23" s="58">
        <v>43383</v>
      </c>
      <c r="L23" s="4">
        <v>1</v>
      </c>
      <c r="M23" s="4" t="s">
        <v>219</v>
      </c>
      <c r="N23" s="4">
        <v>1</v>
      </c>
      <c r="O23" s="4" t="s">
        <v>220</v>
      </c>
      <c r="P23" s="59">
        <v>4802645.24</v>
      </c>
    </row>
    <row r="24" spans="2:16" x14ac:dyDescent="0.25">
      <c r="B24" s="4" t="s">
        <v>212</v>
      </c>
      <c r="C24" s="4">
        <v>1700009830</v>
      </c>
      <c r="D24" s="4" t="s">
        <v>252</v>
      </c>
      <c r="E24" s="4" t="s">
        <v>253</v>
      </c>
      <c r="F24" s="4">
        <v>16130100</v>
      </c>
      <c r="G24" s="4" t="s">
        <v>215</v>
      </c>
      <c r="H24" s="4" t="s">
        <v>216</v>
      </c>
      <c r="I24" s="4" t="s">
        <v>223</v>
      </c>
      <c r="J24" s="4" t="s">
        <v>224</v>
      </c>
      <c r="K24" s="58">
        <v>43663</v>
      </c>
      <c r="L24" s="4">
        <v>1</v>
      </c>
      <c r="M24" s="4" t="s">
        <v>219</v>
      </c>
      <c r="N24" s="4">
        <v>1</v>
      </c>
      <c r="O24" s="4" t="s">
        <v>220</v>
      </c>
      <c r="P24" s="59">
        <v>4759420.09</v>
      </c>
    </row>
    <row r="25" spans="2:16" x14ac:dyDescent="0.25">
      <c r="B25" s="4" t="s">
        <v>212</v>
      </c>
      <c r="C25" s="4">
        <v>1700010473</v>
      </c>
      <c r="D25" s="4" t="s">
        <v>251</v>
      </c>
      <c r="E25" s="4" t="s">
        <v>237</v>
      </c>
      <c r="F25" s="4">
        <v>16130100</v>
      </c>
      <c r="G25" s="4" t="s">
        <v>215</v>
      </c>
      <c r="H25" s="4" t="s">
        <v>216</v>
      </c>
      <c r="I25" s="4" t="s">
        <v>233</v>
      </c>
      <c r="J25" s="4" t="s">
        <v>234</v>
      </c>
      <c r="K25" s="58">
        <v>44036</v>
      </c>
      <c r="L25" s="4">
        <v>1</v>
      </c>
      <c r="M25" s="4" t="s">
        <v>219</v>
      </c>
      <c r="N25" s="4">
        <v>1</v>
      </c>
      <c r="O25" s="4" t="s">
        <v>220</v>
      </c>
      <c r="P25" s="59">
        <v>4738821.8499999996</v>
      </c>
    </row>
    <row r="26" spans="2:16" x14ac:dyDescent="0.25">
      <c r="B26" s="4" t="s">
        <v>212</v>
      </c>
      <c r="C26" s="4">
        <v>1700010477</v>
      </c>
      <c r="D26" s="4" t="s">
        <v>251</v>
      </c>
      <c r="E26" s="4" t="s">
        <v>237</v>
      </c>
      <c r="F26" s="4">
        <v>16130100</v>
      </c>
      <c r="G26" s="4" t="s">
        <v>215</v>
      </c>
      <c r="H26" s="4" t="s">
        <v>216</v>
      </c>
      <c r="I26" s="4" t="s">
        <v>233</v>
      </c>
      <c r="J26" s="4" t="s">
        <v>234</v>
      </c>
      <c r="K26" s="58">
        <v>44036</v>
      </c>
      <c r="L26" s="4">
        <v>1</v>
      </c>
      <c r="M26" s="4" t="s">
        <v>219</v>
      </c>
      <c r="N26" s="4">
        <v>1</v>
      </c>
      <c r="O26" s="4" t="s">
        <v>220</v>
      </c>
      <c r="P26" s="59">
        <v>4738239.2300000004</v>
      </c>
    </row>
    <row r="27" spans="2:16" x14ac:dyDescent="0.25">
      <c r="B27" s="60" t="s">
        <v>212</v>
      </c>
      <c r="C27" s="4">
        <v>1700010903</v>
      </c>
      <c r="D27" s="4" t="s">
        <v>254</v>
      </c>
      <c r="E27" s="4" t="s">
        <v>255</v>
      </c>
      <c r="F27" s="4">
        <v>16130100</v>
      </c>
      <c r="G27" s="4" t="s">
        <v>215</v>
      </c>
      <c r="H27" s="4" t="s">
        <v>216</v>
      </c>
      <c r="I27" s="4" t="s">
        <v>244</v>
      </c>
      <c r="J27" s="4" t="s">
        <v>218</v>
      </c>
      <c r="K27" s="58">
        <v>44277</v>
      </c>
      <c r="L27" s="4">
        <v>1</v>
      </c>
      <c r="M27" s="4" t="s">
        <v>219</v>
      </c>
      <c r="N27" s="4">
        <v>1</v>
      </c>
      <c r="O27" s="4"/>
      <c r="P27" s="59">
        <v>4708447.68</v>
      </c>
    </row>
    <row r="28" spans="2:16" x14ac:dyDescent="0.25">
      <c r="B28" s="4" t="s">
        <v>212</v>
      </c>
      <c r="C28" s="4">
        <v>1700009500</v>
      </c>
      <c r="D28" s="4" t="s">
        <v>256</v>
      </c>
      <c r="E28" s="4" t="s">
        <v>256</v>
      </c>
      <c r="F28" s="4">
        <v>16130100</v>
      </c>
      <c r="G28" s="4" t="s">
        <v>215</v>
      </c>
      <c r="H28" s="4" t="s">
        <v>216</v>
      </c>
      <c r="I28" s="4" t="s">
        <v>223</v>
      </c>
      <c r="J28" s="4" t="s">
        <v>224</v>
      </c>
      <c r="K28" s="58">
        <v>43425</v>
      </c>
      <c r="L28" s="4">
        <v>1</v>
      </c>
      <c r="M28" s="4" t="s">
        <v>219</v>
      </c>
      <c r="N28" s="4">
        <v>1</v>
      </c>
      <c r="O28" s="4" t="s">
        <v>220</v>
      </c>
      <c r="P28" s="59">
        <v>4703759.2300000004</v>
      </c>
    </row>
    <row r="29" spans="2:16" x14ac:dyDescent="0.25">
      <c r="B29" s="4" t="s">
        <v>212</v>
      </c>
      <c r="C29" s="4">
        <v>1700009605</v>
      </c>
      <c r="D29" s="4" t="s">
        <v>257</v>
      </c>
      <c r="E29" s="4" t="s">
        <v>257</v>
      </c>
      <c r="F29" s="4">
        <v>16130100</v>
      </c>
      <c r="G29" s="4" t="s">
        <v>215</v>
      </c>
      <c r="H29" s="4" t="s">
        <v>216</v>
      </c>
      <c r="I29" s="4" t="s">
        <v>223</v>
      </c>
      <c r="J29" s="4" t="s">
        <v>224</v>
      </c>
      <c r="K29" s="58">
        <v>43485</v>
      </c>
      <c r="L29" s="4">
        <v>1</v>
      </c>
      <c r="M29" s="4" t="s">
        <v>219</v>
      </c>
      <c r="N29" s="4">
        <v>1</v>
      </c>
      <c r="O29" s="4" t="s">
        <v>220</v>
      </c>
      <c r="P29" s="59">
        <v>4672725.28</v>
      </c>
    </row>
    <row r="30" spans="2:16" x14ac:dyDescent="0.25">
      <c r="B30" s="4" t="s">
        <v>212</v>
      </c>
      <c r="C30" s="4">
        <v>1700009604</v>
      </c>
      <c r="D30" s="4" t="s">
        <v>258</v>
      </c>
      <c r="E30" s="4" t="s">
        <v>258</v>
      </c>
      <c r="F30" s="4">
        <v>16130100</v>
      </c>
      <c r="G30" s="4" t="s">
        <v>215</v>
      </c>
      <c r="H30" s="4" t="s">
        <v>216</v>
      </c>
      <c r="I30" s="4" t="s">
        <v>223</v>
      </c>
      <c r="J30" s="4" t="s">
        <v>224</v>
      </c>
      <c r="K30" s="58">
        <v>43485</v>
      </c>
      <c r="L30" s="4">
        <v>1</v>
      </c>
      <c r="M30" s="4" t="s">
        <v>219</v>
      </c>
      <c r="N30" s="4">
        <v>1</v>
      </c>
      <c r="O30" s="4" t="s">
        <v>220</v>
      </c>
      <c r="P30" s="59">
        <v>4665723.83</v>
      </c>
    </row>
    <row r="31" spans="2:16" x14ac:dyDescent="0.25">
      <c r="B31" s="4" t="s">
        <v>212</v>
      </c>
      <c r="C31" s="4">
        <v>1700009676</v>
      </c>
      <c r="D31" s="4" t="s">
        <v>259</v>
      </c>
      <c r="E31" s="4" t="s">
        <v>260</v>
      </c>
      <c r="F31" s="4">
        <v>16130100</v>
      </c>
      <c r="G31" s="4" t="s">
        <v>215</v>
      </c>
      <c r="H31" s="4" t="s">
        <v>216</v>
      </c>
      <c r="I31" s="4" t="s">
        <v>223</v>
      </c>
      <c r="J31" s="4" t="s">
        <v>224</v>
      </c>
      <c r="K31" s="58">
        <v>43498</v>
      </c>
      <c r="L31" s="4">
        <v>1</v>
      </c>
      <c r="M31" s="4" t="s">
        <v>219</v>
      </c>
      <c r="N31" s="4">
        <v>1</v>
      </c>
      <c r="O31" s="4" t="s">
        <v>220</v>
      </c>
      <c r="P31" s="59">
        <v>4652081.68</v>
      </c>
    </row>
    <row r="32" spans="2:16" x14ac:dyDescent="0.25">
      <c r="B32" s="4" t="s">
        <v>212</v>
      </c>
      <c r="C32" s="4">
        <v>1700009677</v>
      </c>
      <c r="D32" s="4" t="s">
        <v>261</v>
      </c>
      <c r="E32" s="4" t="s">
        <v>260</v>
      </c>
      <c r="F32" s="4">
        <v>16130100</v>
      </c>
      <c r="G32" s="4" t="s">
        <v>215</v>
      </c>
      <c r="H32" s="4" t="s">
        <v>216</v>
      </c>
      <c r="I32" s="4" t="s">
        <v>223</v>
      </c>
      <c r="J32" s="4" t="s">
        <v>224</v>
      </c>
      <c r="K32" s="58">
        <v>43498</v>
      </c>
      <c r="L32" s="4">
        <v>1</v>
      </c>
      <c r="M32" s="4" t="s">
        <v>219</v>
      </c>
      <c r="N32" s="4">
        <v>1</v>
      </c>
      <c r="O32" s="4" t="s">
        <v>220</v>
      </c>
      <c r="P32" s="59">
        <v>4652081.68</v>
      </c>
    </row>
    <row r="33" spans="2:16" x14ac:dyDescent="0.25">
      <c r="B33" s="4" t="s">
        <v>212</v>
      </c>
      <c r="C33" s="4">
        <v>1700009564</v>
      </c>
      <c r="D33" s="4" t="s">
        <v>262</v>
      </c>
      <c r="E33" s="4" t="s">
        <v>262</v>
      </c>
      <c r="F33" s="4">
        <v>16130100</v>
      </c>
      <c r="G33" s="4" t="s">
        <v>215</v>
      </c>
      <c r="H33" s="4" t="s">
        <v>216</v>
      </c>
      <c r="I33" s="4" t="s">
        <v>223</v>
      </c>
      <c r="J33" s="4" t="s">
        <v>224</v>
      </c>
      <c r="K33" s="58">
        <v>43467</v>
      </c>
      <c r="L33" s="4">
        <v>1</v>
      </c>
      <c r="M33" s="4" t="s">
        <v>219</v>
      </c>
      <c r="N33" s="4">
        <v>1</v>
      </c>
      <c r="O33" s="4" t="s">
        <v>220</v>
      </c>
      <c r="P33" s="59">
        <v>4626051.38</v>
      </c>
    </row>
    <row r="34" spans="2:16" x14ac:dyDescent="0.25">
      <c r="B34" s="4" t="s">
        <v>212</v>
      </c>
      <c r="C34" s="4">
        <v>1700009420</v>
      </c>
      <c r="D34" s="4" t="s">
        <v>263</v>
      </c>
      <c r="E34" s="4" t="s">
        <v>264</v>
      </c>
      <c r="F34" s="4">
        <v>16130100</v>
      </c>
      <c r="G34" s="4" t="s">
        <v>215</v>
      </c>
      <c r="H34" s="4" t="s">
        <v>216</v>
      </c>
      <c r="I34" s="4" t="s">
        <v>223</v>
      </c>
      <c r="J34" s="4" t="s">
        <v>224</v>
      </c>
      <c r="K34" s="58">
        <v>43341</v>
      </c>
      <c r="L34" s="4">
        <v>1</v>
      </c>
      <c r="M34" s="4" t="s">
        <v>219</v>
      </c>
      <c r="N34" s="4">
        <v>1</v>
      </c>
      <c r="O34" s="4" t="s">
        <v>220</v>
      </c>
      <c r="P34" s="59">
        <v>4624956.17</v>
      </c>
    </row>
    <row r="35" spans="2:16" x14ac:dyDescent="0.25">
      <c r="B35" s="4" t="s">
        <v>212</v>
      </c>
      <c r="C35" s="4">
        <v>1700009421</v>
      </c>
      <c r="D35" s="4" t="s">
        <v>265</v>
      </c>
      <c r="E35" s="4" t="s">
        <v>264</v>
      </c>
      <c r="F35" s="4">
        <v>16130100</v>
      </c>
      <c r="G35" s="4" t="s">
        <v>215</v>
      </c>
      <c r="H35" s="4" t="s">
        <v>216</v>
      </c>
      <c r="I35" s="4" t="s">
        <v>223</v>
      </c>
      <c r="J35" s="4" t="s">
        <v>224</v>
      </c>
      <c r="K35" s="58">
        <v>43341</v>
      </c>
      <c r="L35" s="4">
        <v>1</v>
      </c>
      <c r="M35" s="4" t="s">
        <v>219</v>
      </c>
      <c r="N35" s="4">
        <v>1</v>
      </c>
      <c r="O35" s="4" t="s">
        <v>220</v>
      </c>
      <c r="P35" s="59">
        <v>4624956.17</v>
      </c>
    </row>
    <row r="36" spans="2:16" x14ac:dyDescent="0.25">
      <c r="B36" s="4" t="s">
        <v>212</v>
      </c>
      <c r="C36" s="4">
        <v>1700009422</v>
      </c>
      <c r="D36" s="4" t="s">
        <v>266</v>
      </c>
      <c r="E36" s="4" t="s">
        <v>264</v>
      </c>
      <c r="F36" s="4">
        <v>16130100</v>
      </c>
      <c r="G36" s="4" t="s">
        <v>215</v>
      </c>
      <c r="H36" s="4" t="s">
        <v>216</v>
      </c>
      <c r="I36" s="4" t="s">
        <v>223</v>
      </c>
      <c r="J36" s="4" t="s">
        <v>224</v>
      </c>
      <c r="K36" s="58">
        <v>43341</v>
      </c>
      <c r="L36" s="4">
        <v>1</v>
      </c>
      <c r="M36" s="4" t="s">
        <v>219</v>
      </c>
      <c r="N36" s="4">
        <v>1</v>
      </c>
      <c r="O36" s="4" t="s">
        <v>220</v>
      </c>
      <c r="P36" s="59">
        <v>4624956.17</v>
      </c>
    </row>
    <row r="37" spans="2:16" x14ac:dyDescent="0.25">
      <c r="B37" s="4" t="s">
        <v>212</v>
      </c>
      <c r="C37" s="4">
        <v>1700009887</v>
      </c>
      <c r="D37" s="4" t="s">
        <v>267</v>
      </c>
      <c r="E37" s="4" t="s">
        <v>268</v>
      </c>
      <c r="F37" s="4">
        <v>16130100</v>
      </c>
      <c r="G37" s="4" t="s">
        <v>215</v>
      </c>
      <c r="H37" s="4" t="s">
        <v>216</v>
      </c>
      <c r="I37" s="4" t="s">
        <v>223</v>
      </c>
      <c r="J37" s="4" t="s">
        <v>224</v>
      </c>
      <c r="K37" s="58">
        <v>43680</v>
      </c>
      <c r="L37" s="4">
        <v>1</v>
      </c>
      <c r="M37" s="4" t="s">
        <v>219</v>
      </c>
      <c r="N37" s="4">
        <v>1</v>
      </c>
      <c r="O37" s="4" t="s">
        <v>220</v>
      </c>
      <c r="P37" s="59">
        <v>4621362.26</v>
      </c>
    </row>
    <row r="38" spans="2:16" x14ac:dyDescent="0.25">
      <c r="B38" s="4" t="s">
        <v>212</v>
      </c>
      <c r="C38" s="4">
        <v>1700009888</v>
      </c>
      <c r="D38" s="4" t="s">
        <v>269</v>
      </c>
      <c r="E38" s="4" t="s">
        <v>268</v>
      </c>
      <c r="F38" s="4">
        <v>16130100</v>
      </c>
      <c r="G38" s="4" t="s">
        <v>215</v>
      </c>
      <c r="H38" s="4" t="s">
        <v>216</v>
      </c>
      <c r="I38" s="4" t="s">
        <v>223</v>
      </c>
      <c r="J38" s="4" t="s">
        <v>224</v>
      </c>
      <c r="K38" s="58">
        <v>43680</v>
      </c>
      <c r="L38" s="4">
        <v>1</v>
      </c>
      <c r="M38" s="4" t="s">
        <v>219</v>
      </c>
      <c r="N38" s="4">
        <v>1</v>
      </c>
      <c r="O38" s="4" t="s">
        <v>220</v>
      </c>
      <c r="P38" s="59">
        <v>4621362.26</v>
      </c>
    </row>
    <row r="39" spans="2:16" x14ac:dyDescent="0.25">
      <c r="B39" s="4" t="s">
        <v>212</v>
      </c>
      <c r="C39" s="4">
        <v>1700009889</v>
      </c>
      <c r="D39" s="4" t="s">
        <v>270</v>
      </c>
      <c r="E39" s="4" t="s">
        <v>268</v>
      </c>
      <c r="F39" s="4">
        <v>16130100</v>
      </c>
      <c r="G39" s="4" t="s">
        <v>215</v>
      </c>
      <c r="H39" s="4" t="s">
        <v>216</v>
      </c>
      <c r="I39" s="4" t="s">
        <v>223</v>
      </c>
      <c r="J39" s="4" t="s">
        <v>224</v>
      </c>
      <c r="K39" s="58">
        <v>43680</v>
      </c>
      <c r="L39" s="4">
        <v>1</v>
      </c>
      <c r="M39" s="4" t="s">
        <v>219</v>
      </c>
      <c r="N39" s="4">
        <v>1</v>
      </c>
      <c r="O39" s="4" t="s">
        <v>220</v>
      </c>
      <c r="P39" s="59">
        <v>4621362.25</v>
      </c>
    </row>
    <row r="40" spans="2:16" x14ac:dyDescent="0.25">
      <c r="B40" s="4" t="s">
        <v>212</v>
      </c>
      <c r="C40" s="4">
        <v>1700009450</v>
      </c>
      <c r="D40" s="4" t="s">
        <v>271</v>
      </c>
      <c r="E40" s="4" t="s">
        <v>272</v>
      </c>
      <c r="F40" s="4">
        <v>16130100</v>
      </c>
      <c r="G40" s="4" t="s">
        <v>215</v>
      </c>
      <c r="H40" s="4" t="s">
        <v>216</v>
      </c>
      <c r="I40" s="4" t="s">
        <v>223</v>
      </c>
      <c r="J40" s="4" t="s">
        <v>224</v>
      </c>
      <c r="K40" s="58">
        <v>43348</v>
      </c>
      <c r="L40" s="4">
        <v>1</v>
      </c>
      <c r="M40" s="4" t="s">
        <v>219</v>
      </c>
      <c r="N40" s="4">
        <v>1</v>
      </c>
      <c r="O40" s="4" t="s">
        <v>220</v>
      </c>
      <c r="P40" s="59">
        <v>4620548.2</v>
      </c>
    </row>
    <row r="41" spans="2:16" x14ac:dyDescent="0.25">
      <c r="B41" s="4" t="s">
        <v>212</v>
      </c>
      <c r="C41" s="4">
        <v>1700009451</v>
      </c>
      <c r="D41" s="4" t="s">
        <v>273</v>
      </c>
      <c r="E41" s="4" t="s">
        <v>272</v>
      </c>
      <c r="F41" s="4">
        <v>16130100</v>
      </c>
      <c r="G41" s="4" t="s">
        <v>215</v>
      </c>
      <c r="H41" s="4" t="s">
        <v>216</v>
      </c>
      <c r="I41" s="4" t="s">
        <v>223</v>
      </c>
      <c r="J41" s="4" t="s">
        <v>224</v>
      </c>
      <c r="K41" s="58">
        <v>43348</v>
      </c>
      <c r="L41" s="4">
        <v>1</v>
      </c>
      <c r="M41" s="4" t="s">
        <v>219</v>
      </c>
      <c r="N41" s="4">
        <v>1</v>
      </c>
      <c r="O41" s="4" t="s">
        <v>220</v>
      </c>
      <c r="P41" s="59">
        <v>4620548.2</v>
      </c>
    </row>
    <row r="42" spans="2:16" x14ac:dyDescent="0.25">
      <c r="B42" s="4" t="s">
        <v>212</v>
      </c>
      <c r="C42" s="4">
        <v>1700009452</v>
      </c>
      <c r="D42" s="4" t="s">
        <v>274</v>
      </c>
      <c r="E42" s="4" t="s">
        <v>272</v>
      </c>
      <c r="F42" s="4">
        <v>16130100</v>
      </c>
      <c r="G42" s="4" t="s">
        <v>215</v>
      </c>
      <c r="H42" s="4" t="s">
        <v>216</v>
      </c>
      <c r="I42" s="4" t="s">
        <v>223</v>
      </c>
      <c r="J42" s="4" t="s">
        <v>224</v>
      </c>
      <c r="K42" s="58">
        <v>43348</v>
      </c>
      <c r="L42" s="4">
        <v>1</v>
      </c>
      <c r="M42" s="4" t="s">
        <v>219</v>
      </c>
      <c r="N42" s="4">
        <v>1</v>
      </c>
      <c r="O42" s="4" t="s">
        <v>220</v>
      </c>
      <c r="P42" s="59">
        <v>4620548.2</v>
      </c>
    </row>
    <row r="43" spans="2:16" x14ac:dyDescent="0.25">
      <c r="B43" s="4" t="s">
        <v>212</v>
      </c>
      <c r="C43" s="4">
        <v>1700009885</v>
      </c>
      <c r="D43" s="4" t="s">
        <v>275</v>
      </c>
      <c r="E43" s="4" t="s">
        <v>276</v>
      </c>
      <c r="F43" s="4">
        <v>16130100</v>
      </c>
      <c r="G43" s="4" t="s">
        <v>215</v>
      </c>
      <c r="H43" s="4" t="s">
        <v>216</v>
      </c>
      <c r="I43" s="4" t="s">
        <v>223</v>
      </c>
      <c r="J43" s="4" t="s">
        <v>224</v>
      </c>
      <c r="K43" s="58">
        <v>43680</v>
      </c>
      <c r="L43" s="4">
        <v>1</v>
      </c>
      <c r="M43" s="4" t="s">
        <v>219</v>
      </c>
      <c r="N43" s="4">
        <v>1</v>
      </c>
      <c r="O43" s="4" t="s">
        <v>220</v>
      </c>
      <c r="P43" s="59">
        <v>4618137.8499999996</v>
      </c>
    </row>
    <row r="44" spans="2:16" x14ac:dyDescent="0.25">
      <c r="B44" s="4" t="s">
        <v>212</v>
      </c>
      <c r="C44" s="4">
        <v>2050001895</v>
      </c>
      <c r="D44" s="4" t="s">
        <v>150</v>
      </c>
      <c r="E44" s="4" t="s">
        <v>277</v>
      </c>
      <c r="F44" s="4">
        <v>16253300</v>
      </c>
      <c r="G44" s="4" t="s">
        <v>278</v>
      </c>
      <c r="H44" s="4" t="s">
        <v>279</v>
      </c>
      <c r="I44" s="4" t="s">
        <v>280</v>
      </c>
      <c r="J44" s="4" t="s">
        <v>281</v>
      </c>
      <c r="K44" s="58">
        <v>43343</v>
      </c>
      <c r="L44" s="4">
        <v>1</v>
      </c>
      <c r="M44" s="4" t="s">
        <v>219</v>
      </c>
      <c r="N44" s="4">
        <v>88</v>
      </c>
      <c r="O44" s="4" t="s">
        <v>282</v>
      </c>
      <c r="P44" s="59">
        <v>489276723.73000002</v>
      </c>
    </row>
    <row r="45" spans="2:16" x14ac:dyDescent="0.25">
      <c r="B45" s="4" t="s">
        <v>212</v>
      </c>
      <c r="C45" s="4">
        <v>2080003144</v>
      </c>
      <c r="D45" s="4" t="s">
        <v>283</v>
      </c>
      <c r="E45" s="4" t="s">
        <v>284</v>
      </c>
      <c r="F45" s="4">
        <v>16256900</v>
      </c>
      <c r="G45" s="4" t="s">
        <v>145</v>
      </c>
      <c r="H45" s="4" t="s">
        <v>216</v>
      </c>
      <c r="I45" s="4" t="s">
        <v>285</v>
      </c>
      <c r="J45" s="4" t="s">
        <v>286</v>
      </c>
      <c r="K45" s="58">
        <v>43343</v>
      </c>
      <c r="L45" s="4">
        <v>1</v>
      </c>
      <c r="M45" s="4" t="s">
        <v>219</v>
      </c>
      <c r="N45" s="4">
        <v>5</v>
      </c>
      <c r="O45" s="4" t="s">
        <v>287</v>
      </c>
      <c r="P45" s="59">
        <v>270814255.48000002</v>
      </c>
    </row>
    <row r="46" spans="2:16" x14ac:dyDescent="0.25">
      <c r="B46" s="4" t="s">
        <v>212</v>
      </c>
      <c r="C46" s="4">
        <v>2000003331</v>
      </c>
      <c r="D46" s="4" t="s">
        <v>288</v>
      </c>
      <c r="E46" s="4" t="s">
        <v>289</v>
      </c>
      <c r="F46" s="4">
        <v>16251100</v>
      </c>
      <c r="G46" s="4" t="s">
        <v>146</v>
      </c>
      <c r="H46" s="4" t="s">
        <v>216</v>
      </c>
      <c r="I46" s="4" t="s">
        <v>290</v>
      </c>
      <c r="J46" s="4" t="s">
        <v>291</v>
      </c>
      <c r="K46" s="58">
        <v>44279</v>
      </c>
      <c r="L46" s="4">
        <v>32989</v>
      </c>
      <c r="M46" s="4" t="s">
        <v>219</v>
      </c>
      <c r="N46" s="4">
        <v>1</v>
      </c>
      <c r="O46" s="4" t="s">
        <v>292</v>
      </c>
      <c r="P46" s="59">
        <v>136120676.37</v>
      </c>
    </row>
    <row r="47" spans="2:16" x14ac:dyDescent="0.25">
      <c r="B47" s="4" t="s">
        <v>212</v>
      </c>
      <c r="C47" s="4">
        <v>1500024229</v>
      </c>
      <c r="D47" s="4" t="s">
        <v>293</v>
      </c>
      <c r="E47" s="4" t="s">
        <v>284</v>
      </c>
      <c r="F47" s="4">
        <v>16110100</v>
      </c>
      <c r="G47" s="4" t="s">
        <v>294</v>
      </c>
      <c r="H47" s="4" t="s">
        <v>216</v>
      </c>
      <c r="I47" s="4" t="s">
        <v>295</v>
      </c>
      <c r="J47" s="4" t="s">
        <v>296</v>
      </c>
      <c r="K47" s="58">
        <v>43343</v>
      </c>
      <c r="L47" s="4">
        <v>1</v>
      </c>
      <c r="M47" s="4" t="s">
        <v>219</v>
      </c>
      <c r="N47" s="4">
        <v>5</v>
      </c>
      <c r="O47" s="4" t="s">
        <v>297</v>
      </c>
      <c r="P47" s="59">
        <v>134310420.65000001</v>
      </c>
    </row>
    <row r="48" spans="2:16" x14ac:dyDescent="0.25">
      <c r="B48" s="4" t="s">
        <v>212</v>
      </c>
      <c r="C48" s="4">
        <v>1500024245</v>
      </c>
      <c r="D48" s="4" t="s">
        <v>298</v>
      </c>
      <c r="E48" s="4" t="s">
        <v>284</v>
      </c>
      <c r="F48" s="4">
        <v>16110100</v>
      </c>
      <c r="G48" s="4" t="s">
        <v>294</v>
      </c>
      <c r="H48" s="4" t="s">
        <v>216</v>
      </c>
      <c r="I48" s="4" t="s">
        <v>299</v>
      </c>
      <c r="J48" s="4" t="s">
        <v>286</v>
      </c>
      <c r="K48" s="58">
        <v>43343</v>
      </c>
      <c r="L48" s="4">
        <v>1</v>
      </c>
      <c r="M48" s="4" t="s">
        <v>219</v>
      </c>
      <c r="N48" s="4">
        <v>5</v>
      </c>
      <c r="O48" s="4" t="s">
        <v>300</v>
      </c>
      <c r="P48" s="59">
        <v>109890974.22</v>
      </c>
    </row>
    <row r="49" spans="2:16" x14ac:dyDescent="0.25">
      <c r="B49" s="4" t="s">
        <v>212</v>
      </c>
      <c r="C49" s="4">
        <v>1500032260</v>
      </c>
      <c r="D49" s="4" t="s">
        <v>301</v>
      </c>
      <c r="E49" s="4" t="s">
        <v>284</v>
      </c>
      <c r="F49" s="4">
        <v>16110100</v>
      </c>
      <c r="G49" s="4" t="s">
        <v>294</v>
      </c>
      <c r="H49" s="4" t="s">
        <v>216</v>
      </c>
      <c r="I49" s="4" t="s">
        <v>295</v>
      </c>
      <c r="J49" s="4" t="s">
        <v>296</v>
      </c>
      <c r="K49" s="58">
        <v>43343</v>
      </c>
      <c r="L49" s="4">
        <v>1</v>
      </c>
      <c r="M49" s="4" t="s">
        <v>219</v>
      </c>
      <c r="N49" s="4">
        <v>5</v>
      </c>
      <c r="O49" s="4" t="s">
        <v>302</v>
      </c>
      <c r="P49" s="59">
        <v>98844239.950000003</v>
      </c>
    </row>
    <row r="50" spans="2:16" x14ac:dyDescent="0.25">
      <c r="B50" s="4" t="s">
        <v>212</v>
      </c>
      <c r="C50" s="4">
        <v>1500032261</v>
      </c>
      <c r="D50" s="4" t="s">
        <v>303</v>
      </c>
      <c r="E50" s="4" t="s">
        <v>284</v>
      </c>
      <c r="F50" s="4">
        <v>16110100</v>
      </c>
      <c r="G50" s="4" t="s">
        <v>294</v>
      </c>
      <c r="H50" s="4" t="s">
        <v>216</v>
      </c>
      <c r="I50" s="4" t="s">
        <v>295</v>
      </c>
      <c r="J50" s="4" t="s">
        <v>296</v>
      </c>
      <c r="K50" s="58">
        <v>43343</v>
      </c>
      <c r="L50" s="4">
        <v>1</v>
      </c>
      <c r="M50" s="4" t="s">
        <v>219</v>
      </c>
      <c r="N50" s="4">
        <v>5</v>
      </c>
      <c r="O50" s="4" t="s">
        <v>302</v>
      </c>
      <c r="P50" s="59">
        <v>98844239.950000003</v>
      </c>
    </row>
    <row r="51" spans="2:16" x14ac:dyDescent="0.25">
      <c r="B51" s="4" t="s">
        <v>212</v>
      </c>
      <c r="C51" s="4">
        <v>1500032262</v>
      </c>
      <c r="D51" s="4" t="s">
        <v>304</v>
      </c>
      <c r="E51" s="4" t="s">
        <v>284</v>
      </c>
      <c r="F51" s="4">
        <v>16110100</v>
      </c>
      <c r="G51" s="4" t="s">
        <v>294</v>
      </c>
      <c r="H51" s="4" t="s">
        <v>216</v>
      </c>
      <c r="I51" s="4" t="s">
        <v>295</v>
      </c>
      <c r="J51" s="4" t="s">
        <v>296</v>
      </c>
      <c r="K51" s="58">
        <v>43343</v>
      </c>
      <c r="L51" s="4">
        <v>1</v>
      </c>
      <c r="M51" s="4" t="s">
        <v>219</v>
      </c>
      <c r="N51" s="4">
        <v>5</v>
      </c>
      <c r="O51" s="4" t="s">
        <v>302</v>
      </c>
      <c r="P51" s="59">
        <v>98844239.950000003</v>
      </c>
    </row>
    <row r="52" spans="2:16" x14ac:dyDescent="0.25">
      <c r="B52" s="4" t="s">
        <v>212</v>
      </c>
      <c r="C52" s="4">
        <v>1500032263</v>
      </c>
      <c r="D52" s="4" t="s">
        <v>305</v>
      </c>
      <c r="E52" s="4" t="s">
        <v>284</v>
      </c>
      <c r="F52" s="4">
        <v>16110100</v>
      </c>
      <c r="G52" s="4" t="s">
        <v>294</v>
      </c>
      <c r="H52" s="4" t="s">
        <v>216</v>
      </c>
      <c r="I52" s="4" t="s">
        <v>295</v>
      </c>
      <c r="J52" s="4" t="s">
        <v>296</v>
      </c>
      <c r="K52" s="58">
        <v>43343</v>
      </c>
      <c r="L52" s="4">
        <v>1</v>
      </c>
      <c r="M52" s="4" t="s">
        <v>219</v>
      </c>
      <c r="N52" s="4">
        <v>5</v>
      </c>
      <c r="O52" s="4" t="s">
        <v>302</v>
      </c>
      <c r="P52" s="59">
        <v>98844239.950000003</v>
      </c>
    </row>
    <row r="53" spans="2:16" x14ac:dyDescent="0.25">
      <c r="B53" s="4" t="s">
        <v>212</v>
      </c>
      <c r="C53" s="4">
        <v>2000003296</v>
      </c>
      <c r="D53" s="4" t="s">
        <v>306</v>
      </c>
      <c r="E53" s="4"/>
      <c r="F53" s="4">
        <v>16251100</v>
      </c>
      <c r="G53" s="4" t="s">
        <v>146</v>
      </c>
      <c r="H53" s="4" t="s">
        <v>216</v>
      </c>
      <c r="I53" s="4" t="s">
        <v>290</v>
      </c>
      <c r="J53" s="4" t="s">
        <v>291</v>
      </c>
      <c r="K53" s="58">
        <v>44263</v>
      </c>
      <c r="L53" s="4">
        <v>28935</v>
      </c>
      <c r="M53" s="4" t="s">
        <v>219</v>
      </c>
      <c r="N53" s="4">
        <v>1</v>
      </c>
      <c r="O53" s="4" t="s">
        <v>292</v>
      </c>
      <c r="P53" s="59">
        <v>77737091.5</v>
      </c>
    </row>
    <row r="54" spans="2:16" x14ac:dyDescent="0.25">
      <c r="B54" s="4" t="s">
        <v>212</v>
      </c>
      <c r="C54" s="4">
        <v>2000003293</v>
      </c>
      <c r="D54" s="4" t="s">
        <v>307</v>
      </c>
      <c r="E54" s="4"/>
      <c r="F54" s="4">
        <v>16251100</v>
      </c>
      <c r="G54" s="4" t="s">
        <v>146</v>
      </c>
      <c r="H54" s="4" t="s">
        <v>216</v>
      </c>
      <c r="I54" s="4" t="s">
        <v>290</v>
      </c>
      <c r="J54" s="4" t="s">
        <v>291</v>
      </c>
      <c r="K54" s="58">
        <v>44263</v>
      </c>
      <c r="L54" s="4">
        <v>23447</v>
      </c>
      <c r="M54" s="4" t="s">
        <v>219</v>
      </c>
      <c r="N54" s="4">
        <v>1</v>
      </c>
      <c r="O54" s="4" t="s">
        <v>292</v>
      </c>
      <c r="P54" s="59">
        <v>74054754.140000001</v>
      </c>
    </row>
    <row r="55" spans="2:16" x14ac:dyDescent="0.25">
      <c r="B55" s="4" t="s">
        <v>212</v>
      </c>
      <c r="C55" s="4">
        <v>1500032267</v>
      </c>
      <c r="D55" s="4" t="s">
        <v>308</v>
      </c>
      <c r="E55" s="4" t="s">
        <v>284</v>
      </c>
      <c r="F55" s="4">
        <v>16110100</v>
      </c>
      <c r="G55" s="4" t="s">
        <v>294</v>
      </c>
      <c r="H55" s="4" t="s">
        <v>216</v>
      </c>
      <c r="I55" s="4" t="s">
        <v>295</v>
      </c>
      <c r="J55" s="4" t="s">
        <v>296</v>
      </c>
      <c r="K55" s="58">
        <v>43343</v>
      </c>
      <c r="L55" s="4">
        <v>1</v>
      </c>
      <c r="M55" s="4" t="s">
        <v>219</v>
      </c>
      <c r="N55" s="4">
        <v>5</v>
      </c>
      <c r="O55" s="4" t="s">
        <v>309</v>
      </c>
      <c r="P55" s="59">
        <v>64750361.200000003</v>
      </c>
    </row>
    <row r="56" spans="2:16" x14ac:dyDescent="0.25">
      <c r="B56" s="4" t="s">
        <v>212</v>
      </c>
      <c r="C56" s="4">
        <v>1500032268</v>
      </c>
      <c r="D56" s="4" t="s">
        <v>310</v>
      </c>
      <c r="E56" s="4" t="s">
        <v>284</v>
      </c>
      <c r="F56" s="4">
        <v>16110100</v>
      </c>
      <c r="G56" s="4" t="s">
        <v>294</v>
      </c>
      <c r="H56" s="4" t="s">
        <v>216</v>
      </c>
      <c r="I56" s="4" t="s">
        <v>295</v>
      </c>
      <c r="J56" s="4" t="s">
        <v>296</v>
      </c>
      <c r="K56" s="58">
        <v>43343</v>
      </c>
      <c r="L56" s="4">
        <v>1</v>
      </c>
      <c r="M56" s="4" t="s">
        <v>219</v>
      </c>
      <c r="N56" s="4">
        <v>5</v>
      </c>
      <c r="O56" s="4" t="s">
        <v>309</v>
      </c>
      <c r="P56" s="59">
        <v>64750361.200000003</v>
      </c>
    </row>
    <row r="57" spans="2:16" x14ac:dyDescent="0.25">
      <c r="B57" s="4" t="s">
        <v>212</v>
      </c>
      <c r="C57" s="4">
        <v>1500032269</v>
      </c>
      <c r="D57" s="4" t="s">
        <v>311</v>
      </c>
      <c r="E57" s="4" t="s">
        <v>284</v>
      </c>
      <c r="F57" s="4">
        <v>16110100</v>
      </c>
      <c r="G57" s="4" t="s">
        <v>294</v>
      </c>
      <c r="H57" s="4" t="s">
        <v>216</v>
      </c>
      <c r="I57" s="4" t="s">
        <v>295</v>
      </c>
      <c r="J57" s="4" t="s">
        <v>296</v>
      </c>
      <c r="K57" s="58">
        <v>43343</v>
      </c>
      <c r="L57" s="4">
        <v>1</v>
      </c>
      <c r="M57" s="4" t="s">
        <v>219</v>
      </c>
      <c r="N57" s="4">
        <v>5</v>
      </c>
      <c r="O57" s="4" t="s">
        <v>309</v>
      </c>
      <c r="P57" s="59">
        <v>64750361.200000003</v>
      </c>
    </row>
    <row r="58" spans="2:16" x14ac:dyDescent="0.25">
      <c r="B58" s="4" t="s">
        <v>212</v>
      </c>
      <c r="C58" s="4">
        <v>1500032270</v>
      </c>
      <c r="D58" s="4" t="s">
        <v>312</v>
      </c>
      <c r="E58" s="4" t="s">
        <v>284</v>
      </c>
      <c r="F58" s="4">
        <v>16110100</v>
      </c>
      <c r="G58" s="4" t="s">
        <v>294</v>
      </c>
      <c r="H58" s="4" t="s">
        <v>216</v>
      </c>
      <c r="I58" s="4" t="s">
        <v>295</v>
      </c>
      <c r="J58" s="4" t="s">
        <v>296</v>
      </c>
      <c r="K58" s="58">
        <v>43343</v>
      </c>
      <c r="L58" s="4">
        <v>1</v>
      </c>
      <c r="M58" s="4" t="s">
        <v>219</v>
      </c>
      <c r="N58" s="4">
        <v>5</v>
      </c>
      <c r="O58" s="4" t="s">
        <v>309</v>
      </c>
      <c r="P58" s="59">
        <v>64750361.200000003</v>
      </c>
    </row>
    <row r="59" spans="2:16" x14ac:dyDescent="0.25">
      <c r="B59" s="4" t="s">
        <v>212</v>
      </c>
      <c r="C59" s="4">
        <v>1500032271</v>
      </c>
      <c r="D59" s="4" t="s">
        <v>313</v>
      </c>
      <c r="E59" s="4" t="s">
        <v>284</v>
      </c>
      <c r="F59" s="4">
        <v>16110100</v>
      </c>
      <c r="G59" s="4" t="s">
        <v>294</v>
      </c>
      <c r="H59" s="4" t="s">
        <v>216</v>
      </c>
      <c r="I59" s="4" t="s">
        <v>295</v>
      </c>
      <c r="J59" s="4" t="s">
        <v>296</v>
      </c>
      <c r="K59" s="58">
        <v>43343</v>
      </c>
      <c r="L59" s="4">
        <v>1</v>
      </c>
      <c r="M59" s="4" t="s">
        <v>219</v>
      </c>
      <c r="N59" s="4">
        <v>5</v>
      </c>
      <c r="O59" s="4" t="s">
        <v>309</v>
      </c>
      <c r="P59" s="59">
        <v>64750361.200000003</v>
      </c>
    </row>
    <row r="60" spans="2:16" x14ac:dyDescent="0.25">
      <c r="B60" s="4" t="s">
        <v>212</v>
      </c>
      <c r="C60" s="4">
        <v>1500032272</v>
      </c>
      <c r="D60" s="4" t="s">
        <v>314</v>
      </c>
      <c r="E60" s="4" t="s">
        <v>284</v>
      </c>
      <c r="F60" s="4">
        <v>16110100</v>
      </c>
      <c r="G60" s="4" t="s">
        <v>294</v>
      </c>
      <c r="H60" s="4" t="s">
        <v>216</v>
      </c>
      <c r="I60" s="4" t="s">
        <v>295</v>
      </c>
      <c r="J60" s="4" t="s">
        <v>296</v>
      </c>
      <c r="K60" s="58">
        <v>43343</v>
      </c>
      <c r="L60" s="4">
        <v>1</v>
      </c>
      <c r="M60" s="4" t="s">
        <v>219</v>
      </c>
      <c r="N60" s="4">
        <v>5</v>
      </c>
      <c r="O60" s="4" t="s">
        <v>309</v>
      </c>
      <c r="P60" s="59">
        <v>64750361.200000003</v>
      </c>
    </row>
    <row r="61" spans="2:16" x14ac:dyDescent="0.25">
      <c r="B61" s="4" t="s">
        <v>212</v>
      </c>
      <c r="C61" s="4">
        <v>1500032273</v>
      </c>
      <c r="D61" s="4" t="s">
        <v>315</v>
      </c>
      <c r="E61" s="4" t="s">
        <v>284</v>
      </c>
      <c r="F61" s="4">
        <v>16110100</v>
      </c>
      <c r="G61" s="4" t="s">
        <v>294</v>
      </c>
      <c r="H61" s="4" t="s">
        <v>216</v>
      </c>
      <c r="I61" s="4" t="s">
        <v>295</v>
      </c>
      <c r="J61" s="4" t="s">
        <v>296</v>
      </c>
      <c r="K61" s="58">
        <v>43343</v>
      </c>
      <c r="L61" s="4">
        <v>1</v>
      </c>
      <c r="M61" s="4" t="s">
        <v>219</v>
      </c>
      <c r="N61" s="4">
        <v>5</v>
      </c>
      <c r="O61" s="4" t="s">
        <v>309</v>
      </c>
      <c r="P61" s="59">
        <v>64750361.200000003</v>
      </c>
    </row>
    <row r="62" spans="2:16" x14ac:dyDescent="0.25">
      <c r="B62" s="4" t="s">
        <v>212</v>
      </c>
      <c r="C62" s="4">
        <v>1500032274</v>
      </c>
      <c r="D62" s="4" t="s">
        <v>316</v>
      </c>
      <c r="E62" s="4" t="s">
        <v>284</v>
      </c>
      <c r="F62" s="4">
        <v>16110100</v>
      </c>
      <c r="G62" s="4" t="s">
        <v>294</v>
      </c>
      <c r="H62" s="4" t="s">
        <v>216</v>
      </c>
      <c r="I62" s="4" t="s">
        <v>295</v>
      </c>
      <c r="J62" s="4" t="s">
        <v>296</v>
      </c>
      <c r="K62" s="58">
        <v>43343</v>
      </c>
      <c r="L62" s="4">
        <v>1</v>
      </c>
      <c r="M62" s="4" t="s">
        <v>219</v>
      </c>
      <c r="N62" s="4">
        <v>5</v>
      </c>
      <c r="O62" s="4" t="s">
        <v>309</v>
      </c>
      <c r="P62" s="59">
        <v>64750361.200000003</v>
      </c>
    </row>
    <row r="63" spans="2:16" x14ac:dyDescent="0.25">
      <c r="B63" s="4" t="s">
        <v>212</v>
      </c>
      <c r="C63" s="4">
        <v>1500032275</v>
      </c>
      <c r="D63" s="4" t="s">
        <v>317</v>
      </c>
      <c r="E63" s="4" t="s">
        <v>284</v>
      </c>
      <c r="F63" s="4">
        <v>16110100</v>
      </c>
      <c r="G63" s="4" t="s">
        <v>294</v>
      </c>
      <c r="H63" s="4" t="s">
        <v>216</v>
      </c>
      <c r="I63" s="4" t="s">
        <v>295</v>
      </c>
      <c r="J63" s="4" t="s">
        <v>296</v>
      </c>
      <c r="K63" s="58">
        <v>43343</v>
      </c>
      <c r="L63" s="4">
        <v>1</v>
      </c>
      <c r="M63" s="4" t="s">
        <v>219</v>
      </c>
      <c r="N63" s="4">
        <v>5</v>
      </c>
      <c r="O63" s="4" t="s">
        <v>309</v>
      </c>
      <c r="P63" s="59">
        <v>64750361.200000003</v>
      </c>
    </row>
    <row r="64" spans="2:16" x14ac:dyDescent="0.25">
      <c r="B64" s="4" t="s">
        <v>212</v>
      </c>
      <c r="C64" s="4">
        <v>1500032276</v>
      </c>
      <c r="D64" s="4" t="s">
        <v>318</v>
      </c>
      <c r="E64" s="4" t="s">
        <v>284</v>
      </c>
      <c r="F64" s="4">
        <v>16110100</v>
      </c>
      <c r="G64" s="4" t="s">
        <v>294</v>
      </c>
      <c r="H64" s="4" t="s">
        <v>216</v>
      </c>
      <c r="I64" s="4" t="s">
        <v>295</v>
      </c>
      <c r="J64" s="4" t="s">
        <v>296</v>
      </c>
      <c r="K64" s="58">
        <v>43343</v>
      </c>
      <c r="L64" s="4">
        <v>1</v>
      </c>
      <c r="M64" s="4" t="s">
        <v>219</v>
      </c>
      <c r="N64" s="4">
        <v>5</v>
      </c>
      <c r="O64" s="4" t="s">
        <v>309</v>
      </c>
      <c r="P64" s="59">
        <v>64750361.200000003</v>
      </c>
    </row>
    <row r="65" spans="2:16" x14ac:dyDescent="0.25">
      <c r="B65" s="4" t="s">
        <v>212</v>
      </c>
      <c r="C65" s="4">
        <v>1500024243</v>
      </c>
      <c r="D65" s="4" t="s">
        <v>319</v>
      </c>
      <c r="E65" s="4" t="s">
        <v>284</v>
      </c>
      <c r="F65" s="4">
        <v>16110100</v>
      </c>
      <c r="G65" s="4" t="s">
        <v>294</v>
      </c>
      <c r="H65" s="4" t="s">
        <v>216</v>
      </c>
      <c r="I65" s="4" t="s">
        <v>320</v>
      </c>
      <c r="J65" s="4" t="s">
        <v>296</v>
      </c>
      <c r="K65" s="58">
        <v>43343</v>
      </c>
      <c r="L65" s="4">
        <v>70</v>
      </c>
      <c r="M65" s="4" t="s">
        <v>219</v>
      </c>
      <c r="N65" s="4">
        <v>5</v>
      </c>
      <c r="O65" s="4" t="s">
        <v>321</v>
      </c>
      <c r="P65" s="59">
        <v>60672173.759999998</v>
      </c>
    </row>
    <row r="66" spans="2:16" x14ac:dyDescent="0.25">
      <c r="B66" s="4" t="s">
        <v>212</v>
      </c>
      <c r="C66" s="4">
        <v>2000003036</v>
      </c>
      <c r="D66" s="4" t="s">
        <v>322</v>
      </c>
      <c r="E66" s="4"/>
      <c r="F66" s="4">
        <v>16251100</v>
      </c>
      <c r="G66" s="4" t="s">
        <v>146</v>
      </c>
      <c r="H66" s="4" t="s">
        <v>216</v>
      </c>
      <c r="I66" s="4" t="s">
        <v>323</v>
      </c>
      <c r="J66" s="4" t="s">
        <v>286</v>
      </c>
      <c r="K66" s="58">
        <v>44196</v>
      </c>
      <c r="L66" s="4">
        <v>1110</v>
      </c>
      <c r="M66" s="4" t="s">
        <v>219</v>
      </c>
      <c r="N66" s="4">
        <v>1</v>
      </c>
      <c r="O66" s="4" t="s">
        <v>292</v>
      </c>
      <c r="P66" s="59">
        <v>55376356.520000003</v>
      </c>
    </row>
    <row r="67" spans="2:16" x14ac:dyDescent="0.25">
      <c r="B67" s="4" t="s">
        <v>212</v>
      </c>
      <c r="C67" s="4">
        <v>2000003306</v>
      </c>
      <c r="D67" s="4" t="s">
        <v>288</v>
      </c>
      <c r="E67" s="4" t="s">
        <v>324</v>
      </c>
      <c r="F67" s="4">
        <v>16251100</v>
      </c>
      <c r="G67" s="4" t="s">
        <v>146</v>
      </c>
      <c r="H67" s="4" t="s">
        <v>216</v>
      </c>
      <c r="I67" s="4" t="s">
        <v>285</v>
      </c>
      <c r="J67" s="4" t="s">
        <v>286</v>
      </c>
      <c r="K67" s="58">
        <v>44267</v>
      </c>
      <c r="L67" s="4">
        <v>1360</v>
      </c>
      <c r="M67" s="4" t="s">
        <v>219</v>
      </c>
      <c r="N67" s="4">
        <v>1</v>
      </c>
      <c r="O67" s="4" t="s">
        <v>292</v>
      </c>
      <c r="P67" s="59">
        <v>47753461.359999999</v>
      </c>
    </row>
    <row r="68" spans="2:16" x14ac:dyDescent="0.25">
      <c r="B68" s="4" t="s">
        <v>212</v>
      </c>
      <c r="C68" s="4">
        <v>2000003332</v>
      </c>
      <c r="D68" s="4" t="s">
        <v>325</v>
      </c>
      <c r="E68" s="4" t="s">
        <v>289</v>
      </c>
      <c r="F68" s="4">
        <v>16251100</v>
      </c>
      <c r="G68" s="4" t="s">
        <v>146</v>
      </c>
      <c r="H68" s="4" t="s">
        <v>216</v>
      </c>
      <c r="I68" s="4" t="s">
        <v>290</v>
      </c>
      <c r="J68" s="4" t="s">
        <v>291</v>
      </c>
      <c r="K68" s="58">
        <v>44279</v>
      </c>
      <c r="L68" s="4">
        <v>11088</v>
      </c>
      <c r="M68" s="4" t="s">
        <v>219</v>
      </c>
      <c r="N68" s="4">
        <v>1</v>
      </c>
      <c r="O68" s="4" t="s">
        <v>292</v>
      </c>
      <c r="P68" s="59">
        <v>46840604.280000001</v>
      </c>
    </row>
    <row r="69" spans="2:16" x14ac:dyDescent="0.25">
      <c r="B69" s="4" t="s">
        <v>212</v>
      </c>
      <c r="C69" s="4">
        <v>1500024242</v>
      </c>
      <c r="D69" s="4" t="s">
        <v>326</v>
      </c>
      <c r="E69" s="4" t="s">
        <v>284</v>
      </c>
      <c r="F69" s="4">
        <v>16110100</v>
      </c>
      <c r="G69" s="4" t="s">
        <v>294</v>
      </c>
      <c r="H69" s="4" t="s">
        <v>216</v>
      </c>
      <c r="I69" s="4" t="s">
        <v>327</v>
      </c>
      <c r="J69" s="4" t="s">
        <v>291</v>
      </c>
      <c r="K69" s="58">
        <v>43343</v>
      </c>
      <c r="L69" s="4">
        <v>28</v>
      </c>
      <c r="M69" s="4" t="s">
        <v>219</v>
      </c>
      <c r="N69" s="4">
        <v>5</v>
      </c>
      <c r="O69" s="4" t="s">
        <v>328</v>
      </c>
      <c r="P69" s="59">
        <v>45152789.109999999</v>
      </c>
    </row>
    <row r="70" spans="2:16" x14ac:dyDescent="0.25">
      <c r="B70" s="4" t="s">
        <v>212</v>
      </c>
      <c r="C70" s="4">
        <v>2000003297</v>
      </c>
      <c r="D70" s="4" t="s">
        <v>329</v>
      </c>
      <c r="E70" s="4"/>
      <c r="F70" s="4">
        <v>16251100</v>
      </c>
      <c r="G70" s="4" t="s">
        <v>146</v>
      </c>
      <c r="H70" s="4" t="s">
        <v>216</v>
      </c>
      <c r="I70" s="4" t="s">
        <v>290</v>
      </c>
      <c r="J70" s="4" t="s">
        <v>291</v>
      </c>
      <c r="K70" s="58">
        <v>44263</v>
      </c>
      <c r="L70" s="4">
        <v>14562</v>
      </c>
      <c r="M70" s="4" t="s">
        <v>219</v>
      </c>
      <c r="N70" s="4">
        <v>1</v>
      </c>
      <c r="O70" s="4" t="s">
        <v>292</v>
      </c>
      <c r="P70" s="59">
        <v>41323810.25</v>
      </c>
    </row>
    <row r="71" spans="2:16" x14ac:dyDescent="0.25">
      <c r="B71" s="4" t="s">
        <v>212</v>
      </c>
      <c r="C71" s="4">
        <v>2000003330</v>
      </c>
      <c r="D71" s="4" t="s">
        <v>330</v>
      </c>
      <c r="E71" s="4" t="s">
        <v>289</v>
      </c>
      <c r="F71" s="4">
        <v>16251100</v>
      </c>
      <c r="G71" s="4" t="s">
        <v>146</v>
      </c>
      <c r="H71" s="4" t="s">
        <v>216</v>
      </c>
      <c r="I71" s="4" t="s">
        <v>290</v>
      </c>
      <c r="J71" s="4" t="s">
        <v>291</v>
      </c>
      <c r="K71" s="58">
        <v>44279</v>
      </c>
      <c r="L71" s="4">
        <v>7870</v>
      </c>
      <c r="M71" s="4" t="s">
        <v>219</v>
      </c>
      <c r="N71" s="4">
        <v>1</v>
      </c>
      <c r="O71" s="4" t="s">
        <v>292</v>
      </c>
      <c r="P71" s="59">
        <v>35600334.939999998</v>
      </c>
    </row>
    <row r="72" spans="2:16" x14ac:dyDescent="0.25">
      <c r="B72" s="4" t="s">
        <v>212</v>
      </c>
      <c r="C72" s="4">
        <v>1500024244</v>
      </c>
      <c r="D72" s="4" t="s">
        <v>331</v>
      </c>
      <c r="E72" s="4" t="s">
        <v>284</v>
      </c>
      <c r="F72" s="4">
        <v>16110100</v>
      </c>
      <c r="G72" s="4" t="s">
        <v>294</v>
      </c>
      <c r="H72" s="4" t="s">
        <v>216</v>
      </c>
      <c r="I72" s="4" t="s">
        <v>295</v>
      </c>
      <c r="J72" s="4" t="s">
        <v>296</v>
      </c>
      <c r="K72" s="58">
        <v>43343</v>
      </c>
      <c r="L72" s="4">
        <v>29</v>
      </c>
      <c r="M72" s="4" t="s">
        <v>219</v>
      </c>
      <c r="N72" s="4">
        <v>5</v>
      </c>
      <c r="O72" s="4" t="s">
        <v>321</v>
      </c>
      <c r="P72" s="59">
        <v>31102476.07</v>
      </c>
    </row>
    <row r="73" spans="2:16" x14ac:dyDescent="0.25">
      <c r="B73" s="4" t="s">
        <v>212</v>
      </c>
      <c r="C73" s="4">
        <v>2000003303</v>
      </c>
      <c r="D73" s="4" t="s">
        <v>307</v>
      </c>
      <c r="E73" s="4" t="s">
        <v>324</v>
      </c>
      <c r="F73" s="4">
        <v>16251100</v>
      </c>
      <c r="G73" s="4" t="s">
        <v>146</v>
      </c>
      <c r="H73" s="4" t="s">
        <v>216</v>
      </c>
      <c r="I73" s="4" t="s">
        <v>285</v>
      </c>
      <c r="J73" s="4" t="s">
        <v>286</v>
      </c>
      <c r="K73" s="58">
        <v>44267</v>
      </c>
      <c r="L73" s="4">
        <v>1050</v>
      </c>
      <c r="M73" s="4" t="s">
        <v>219</v>
      </c>
      <c r="N73" s="4">
        <v>1</v>
      </c>
      <c r="O73" s="4" t="s">
        <v>292</v>
      </c>
      <c r="P73" s="59">
        <v>29727759.829999998</v>
      </c>
    </row>
    <row r="74" spans="2:16" x14ac:dyDescent="0.25">
      <c r="B74" s="4" t="s">
        <v>212</v>
      </c>
      <c r="C74" s="4">
        <v>2000003040</v>
      </c>
      <c r="D74" s="4" t="s">
        <v>332</v>
      </c>
      <c r="E74" s="4"/>
      <c r="F74" s="4">
        <v>16251100</v>
      </c>
      <c r="G74" s="4" t="s">
        <v>146</v>
      </c>
      <c r="H74" s="4" t="s">
        <v>216</v>
      </c>
      <c r="I74" s="4" t="s">
        <v>333</v>
      </c>
      <c r="J74" s="4" t="s">
        <v>286</v>
      </c>
      <c r="K74" s="58">
        <v>44196</v>
      </c>
      <c r="L74" s="4">
        <v>12427</v>
      </c>
      <c r="M74" s="4" t="s">
        <v>219</v>
      </c>
      <c r="N74" s="4">
        <v>1</v>
      </c>
      <c r="O74" s="4" t="s">
        <v>292</v>
      </c>
      <c r="P74" s="59">
        <v>26805531.66</v>
      </c>
    </row>
    <row r="75" spans="2:16" x14ac:dyDescent="0.25">
      <c r="B75" s="4" t="s">
        <v>212</v>
      </c>
      <c r="C75" s="4">
        <v>1500023098</v>
      </c>
      <c r="D75" s="4" t="s">
        <v>334</v>
      </c>
      <c r="E75" s="4" t="s">
        <v>335</v>
      </c>
      <c r="F75" s="4">
        <v>16110100</v>
      </c>
      <c r="G75" s="4" t="s">
        <v>294</v>
      </c>
      <c r="H75" s="4" t="s">
        <v>216</v>
      </c>
      <c r="I75" s="4" t="s">
        <v>299</v>
      </c>
      <c r="J75" s="4" t="s">
        <v>286</v>
      </c>
      <c r="K75" s="58">
        <v>43314</v>
      </c>
      <c r="L75" s="4">
        <v>1</v>
      </c>
      <c r="M75" s="4" t="s">
        <v>219</v>
      </c>
      <c r="N75" s="4">
        <v>5</v>
      </c>
      <c r="O75" s="4" t="s">
        <v>336</v>
      </c>
      <c r="P75" s="59">
        <v>26801608.370000001</v>
      </c>
    </row>
    <row r="76" spans="2:16" x14ac:dyDescent="0.25">
      <c r="B76" s="4" t="s">
        <v>212</v>
      </c>
      <c r="C76" s="4">
        <v>2080003149</v>
      </c>
      <c r="D76" s="4" t="s">
        <v>337</v>
      </c>
      <c r="E76" s="4" t="s">
        <v>284</v>
      </c>
      <c r="F76" s="4">
        <v>16256900</v>
      </c>
      <c r="G76" s="4" t="s">
        <v>145</v>
      </c>
      <c r="H76" s="4" t="s">
        <v>216</v>
      </c>
      <c r="I76" s="4" t="s">
        <v>280</v>
      </c>
      <c r="J76" s="4" t="s">
        <v>281</v>
      </c>
      <c r="K76" s="58">
        <v>43343</v>
      </c>
      <c r="L76" s="4">
        <v>1</v>
      </c>
      <c r="M76" s="4" t="s">
        <v>219</v>
      </c>
      <c r="N76" s="4">
        <v>5</v>
      </c>
      <c r="O76" s="4" t="s">
        <v>287</v>
      </c>
      <c r="P76" s="59">
        <v>25919082.59</v>
      </c>
    </row>
    <row r="77" spans="2:16" x14ac:dyDescent="0.25">
      <c r="B77" s="4" t="s">
        <v>212</v>
      </c>
      <c r="C77" s="4">
        <v>2080003153</v>
      </c>
      <c r="D77" s="4" t="s">
        <v>338</v>
      </c>
      <c r="E77" s="4" t="s">
        <v>284</v>
      </c>
      <c r="F77" s="4">
        <v>16256900</v>
      </c>
      <c r="G77" s="4" t="s">
        <v>145</v>
      </c>
      <c r="H77" s="4" t="s">
        <v>216</v>
      </c>
      <c r="I77" s="4" t="s">
        <v>295</v>
      </c>
      <c r="J77" s="4" t="s">
        <v>296</v>
      </c>
      <c r="K77" s="58">
        <v>43343</v>
      </c>
      <c r="L77" s="4">
        <v>1</v>
      </c>
      <c r="M77" s="4" t="s">
        <v>219</v>
      </c>
      <c r="N77" s="4">
        <v>5</v>
      </c>
      <c r="O77" s="4" t="s">
        <v>339</v>
      </c>
      <c r="P77" s="59">
        <v>25362551.16</v>
      </c>
    </row>
    <row r="78" spans="2:16" x14ac:dyDescent="0.25">
      <c r="B78" s="4" t="s">
        <v>212</v>
      </c>
      <c r="C78" s="4">
        <v>2000003307</v>
      </c>
      <c r="D78" s="4" t="s">
        <v>340</v>
      </c>
      <c r="E78" s="4" t="s">
        <v>324</v>
      </c>
      <c r="F78" s="4">
        <v>16251100</v>
      </c>
      <c r="G78" s="4" t="s">
        <v>146</v>
      </c>
      <c r="H78" s="4" t="s">
        <v>216</v>
      </c>
      <c r="I78" s="4" t="s">
        <v>285</v>
      </c>
      <c r="J78" s="4" t="s">
        <v>286</v>
      </c>
      <c r="K78" s="58">
        <v>44267</v>
      </c>
      <c r="L78" s="4">
        <v>952</v>
      </c>
      <c r="M78" s="4" t="s">
        <v>219</v>
      </c>
      <c r="N78" s="4">
        <v>1</v>
      </c>
      <c r="O78" s="4" t="s">
        <v>292</v>
      </c>
      <c r="P78" s="59">
        <v>24756744.469999999</v>
      </c>
    </row>
    <row r="79" spans="2:16" x14ac:dyDescent="0.25">
      <c r="B79" s="4" t="s">
        <v>212</v>
      </c>
      <c r="C79" s="4">
        <v>1500015158</v>
      </c>
      <c r="D79" s="4" t="s">
        <v>341</v>
      </c>
      <c r="E79" s="4"/>
      <c r="F79" s="4">
        <v>16110100</v>
      </c>
      <c r="G79" s="4" t="s">
        <v>294</v>
      </c>
      <c r="H79" s="4" t="s">
        <v>216</v>
      </c>
      <c r="I79" s="4" t="s">
        <v>342</v>
      </c>
      <c r="J79" s="4" t="s">
        <v>286</v>
      </c>
      <c r="K79" s="58">
        <v>42004</v>
      </c>
      <c r="L79" s="4">
        <v>1</v>
      </c>
      <c r="M79" s="4" t="s">
        <v>219</v>
      </c>
      <c r="N79" s="4">
        <v>10</v>
      </c>
      <c r="O79" s="4"/>
      <c r="P79" s="59">
        <v>23729515.699999999</v>
      </c>
    </row>
    <row r="80" spans="2:16" x14ac:dyDescent="0.25">
      <c r="B80" s="4" t="s">
        <v>212</v>
      </c>
      <c r="C80" s="4">
        <v>2000003295</v>
      </c>
      <c r="D80" s="4" t="s">
        <v>343</v>
      </c>
      <c r="E80" s="4"/>
      <c r="F80" s="4">
        <v>16251100</v>
      </c>
      <c r="G80" s="4" t="s">
        <v>146</v>
      </c>
      <c r="H80" s="4" t="s">
        <v>216</v>
      </c>
      <c r="I80" s="4" t="s">
        <v>290</v>
      </c>
      <c r="J80" s="4" t="s">
        <v>291</v>
      </c>
      <c r="K80" s="58">
        <v>44263</v>
      </c>
      <c r="L80" s="4">
        <v>5794</v>
      </c>
      <c r="M80" s="4" t="s">
        <v>219</v>
      </c>
      <c r="N80" s="4">
        <v>1</v>
      </c>
      <c r="O80" s="4" t="s">
        <v>292</v>
      </c>
      <c r="P80" s="59">
        <v>23547392.34</v>
      </c>
    </row>
    <row r="81" spans="2:16" x14ac:dyDescent="0.25">
      <c r="B81" s="4" t="s">
        <v>212</v>
      </c>
      <c r="C81" s="4">
        <v>1500034332</v>
      </c>
      <c r="D81" s="4" t="s">
        <v>344</v>
      </c>
      <c r="E81" s="4" t="s">
        <v>345</v>
      </c>
      <c r="F81" s="4">
        <v>16110100</v>
      </c>
      <c r="G81" s="4" t="s">
        <v>294</v>
      </c>
      <c r="H81" s="4" t="s">
        <v>216</v>
      </c>
      <c r="I81" s="4" t="s">
        <v>346</v>
      </c>
      <c r="J81" s="4" t="s">
        <v>347</v>
      </c>
      <c r="K81" s="58">
        <v>44074</v>
      </c>
      <c r="L81" s="4">
        <v>1</v>
      </c>
      <c r="M81" s="4" t="s">
        <v>219</v>
      </c>
      <c r="N81" s="4">
        <v>5</v>
      </c>
      <c r="O81" s="4" t="s">
        <v>348</v>
      </c>
      <c r="P81" s="59">
        <v>22413009.289999999</v>
      </c>
    </row>
    <row r="82" spans="2:16" x14ac:dyDescent="0.25">
      <c r="B82" s="4" t="s">
        <v>212</v>
      </c>
      <c r="C82" s="4">
        <v>1500024236</v>
      </c>
      <c r="D82" s="4" t="s">
        <v>349</v>
      </c>
      <c r="E82" s="4" t="s">
        <v>284</v>
      </c>
      <c r="F82" s="4">
        <v>16110100</v>
      </c>
      <c r="G82" s="4" t="s">
        <v>294</v>
      </c>
      <c r="H82" s="4" t="s">
        <v>216</v>
      </c>
      <c r="I82" s="4" t="s">
        <v>320</v>
      </c>
      <c r="J82" s="4" t="s">
        <v>296</v>
      </c>
      <c r="K82" s="58">
        <v>43343</v>
      </c>
      <c r="L82" s="4">
        <v>1</v>
      </c>
      <c r="M82" s="4" t="s">
        <v>219</v>
      </c>
      <c r="N82" s="4">
        <v>5</v>
      </c>
      <c r="O82" s="4" t="s">
        <v>350</v>
      </c>
      <c r="P82" s="59">
        <v>22219642.399999999</v>
      </c>
    </row>
    <row r="83" spans="2:16" x14ac:dyDescent="0.25">
      <c r="B83" s="4" t="s">
        <v>212</v>
      </c>
      <c r="C83" s="4">
        <v>1500032287</v>
      </c>
      <c r="D83" s="4" t="s">
        <v>351</v>
      </c>
      <c r="E83" s="4" t="s">
        <v>284</v>
      </c>
      <c r="F83" s="4">
        <v>16110100</v>
      </c>
      <c r="G83" s="4" t="s">
        <v>294</v>
      </c>
      <c r="H83" s="4" t="s">
        <v>216</v>
      </c>
      <c r="I83" s="4" t="s">
        <v>320</v>
      </c>
      <c r="J83" s="4" t="s">
        <v>296</v>
      </c>
      <c r="K83" s="58">
        <v>43343</v>
      </c>
      <c r="L83" s="4">
        <v>1</v>
      </c>
      <c r="M83" s="4" t="s">
        <v>219</v>
      </c>
      <c r="N83" s="4">
        <v>5</v>
      </c>
      <c r="O83" s="4" t="s">
        <v>352</v>
      </c>
      <c r="P83" s="59">
        <v>21006746.25</v>
      </c>
    </row>
    <row r="84" spans="2:16" x14ac:dyDescent="0.25">
      <c r="B84" s="4" t="s">
        <v>212</v>
      </c>
      <c r="C84" s="4">
        <v>1500032282</v>
      </c>
      <c r="D84" s="4" t="s">
        <v>351</v>
      </c>
      <c r="E84" s="4" t="s">
        <v>284</v>
      </c>
      <c r="F84" s="4">
        <v>16110100</v>
      </c>
      <c r="G84" s="4" t="s">
        <v>294</v>
      </c>
      <c r="H84" s="4" t="s">
        <v>216</v>
      </c>
      <c r="I84" s="4" t="s">
        <v>320</v>
      </c>
      <c r="J84" s="4" t="s">
        <v>296</v>
      </c>
      <c r="K84" s="58">
        <v>43343</v>
      </c>
      <c r="L84" s="4">
        <v>1</v>
      </c>
      <c r="M84" s="4" t="s">
        <v>219</v>
      </c>
      <c r="N84" s="4">
        <v>5</v>
      </c>
      <c r="O84" s="4" t="s">
        <v>352</v>
      </c>
      <c r="P84" s="59">
        <v>21006746.23</v>
      </c>
    </row>
    <row r="85" spans="2:16" x14ac:dyDescent="0.25">
      <c r="B85" s="4" t="s">
        <v>212</v>
      </c>
      <c r="C85" s="4">
        <v>1500032283</v>
      </c>
      <c r="D85" s="4" t="s">
        <v>351</v>
      </c>
      <c r="E85" s="4" t="s">
        <v>284</v>
      </c>
      <c r="F85" s="4">
        <v>16110100</v>
      </c>
      <c r="G85" s="4" t="s">
        <v>294</v>
      </c>
      <c r="H85" s="4" t="s">
        <v>216</v>
      </c>
      <c r="I85" s="4" t="s">
        <v>320</v>
      </c>
      <c r="J85" s="4" t="s">
        <v>296</v>
      </c>
      <c r="K85" s="58">
        <v>43343</v>
      </c>
      <c r="L85" s="4">
        <v>1</v>
      </c>
      <c r="M85" s="4" t="s">
        <v>219</v>
      </c>
      <c r="N85" s="4">
        <v>5</v>
      </c>
      <c r="O85" s="4" t="s">
        <v>352</v>
      </c>
      <c r="P85" s="59">
        <v>21006746.23</v>
      </c>
    </row>
    <row r="86" spans="2:16" x14ac:dyDescent="0.25">
      <c r="B86" s="4" t="s">
        <v>212</v>
      </c>
      <c r="C86" s="4">
        <v>1500032284</v>
      </c>
      <c r="D86" s="4" t="s">
        <v>351</v>
      </c>
      <c r="E86" s="4" t="s">
        <v>284</v>
      </c>
      <c r="F86" s="4">
        <v>16110100</v>
      </c>
      <c r="G86" s="4" t="s">
        <v>294</v>
      </c>
      <c r="H86" s="4" t="s">
        <v>216</v>
      </c>
      <c r="I86" s="4" t="s">
        <v>320</v>
      </c>
      <c r="J86" s="4" t="s">
        <v>296</v>
      </c>
      <c r="K86" s="58">
        <v>43343</v>
      </c>
      <c r="L86" s="4">
        <v>1</v>
      </c>
      <c r="M86" s="4" t="s">
        <v>219</v>
      </c>
      <c r="N86" s="4">
        <v>5</v>
      </c>
      <c r="O86" s="4" t="s">
        <v>352</v>
      </c>
      <c r="P86" s="59">
        <v>21006746.23</v>
      </c>
    </row>
    <row r="87" spans="2:16" x14ac:dyDescent="0.25">
      <c r="B87" s="4" t="s">
        <v>212</v>
      </c>
      <c r="C87" s="4">
        <v>1500032285</v>
      </c>
      <c r="D87" s="4" t="s">
        <v>351</v>
      </c>
      <c r="E87" s="4" t="s">
        <v>284</v>
      </c>
      <c r="F87" s="4">
        <v>16110100</v>
      </c>
      <c r="G87" s="4" t="s">
        <v>294</v>
      </c>
      <c r="H87" s="4" t="s">
        <v>216</v>
      </c>
      <c r="I87" s="4" t="s">
        <v>320</v>
      </c>
      <c r="J87" s="4" t="s">
        <v>296</v>
      </c>
      <c r="K87" s="58">
        <v>43343</v>
      </c>
      <c r="L87" s="4">
        <v>1</v>
      </c>
      <c r="M87" s="4" t="s">
        <v>219</v>
      </c>
      <c r="N87" s="4">
        <v>5</v>
      </c>
      <c r="O87" s="4" t="s">
        <v>352</v>
      </c>
      <c r="P87" s="59">
        <v>21006746.23</v>
      </c>
    </row>
    <row r="88" spans="2:16" x14ac:dyDescent="0.25">
      <c r="B88" s="4" t="s">
        <v>212</v>
      </c>
      <c r="C88" s="4">
        <v>1500032286</v>
      </c>
      <c r="D88" s="4" t="s">
        <v>351</v>
      </c>
      <c r="E88" s="4" t="s">
        <v>284</v>
      </c>
      <c r="F88" s="4">
        <v>16110100</v>
      </c>
      <c r="G88" s="4" t="s">
        <v>294</v>
      </c>
      <c r="H88" s="4" t="s">
        <v>216</v>
      </c>
      <c r="I88" s="4" t="s">
        <v>320</v>
      </c>
      <c r="J88" s="4" t="s">
        <v>296</v>
      </c>
      <c r="K88" s="58">
        <v>43343</v>
      </c>
      <c r="L88" s="4">
        <v>1</v>
      </c>
      <c r="M88" s="4" t="s">
        <v>219</v>
      </c>
      <c r="N88" s="4">
        <v>5</v>
      </c>
      <c r="O88" s="4" t="s">
        <v>352</v>
      </c>
      <c r="P88" s="59">
        <v>21006746.23</v>
      </c>
    </row>
    <row r="89" spans="2:16" x14ac:dyDescent="0.25">
      <c r="B89" s="4" t="s">
        <v>212</v>
      </c>
      <c r="C89" s="4">
        <v>2000003043</v>
      </c>
      <c r="D89" s="4" t="s">
        <v>353</v>
      </c>
      <c r="E89" s="4"/>
      <c r="F89" s="4">
        <v>16251100</v>
      </c>
      <c r="G89" s="4" t="s">
        <v>146</v>
      </c>
      <c r="H89" s="4" t="s">
        <v>216</v>
      </c>
      <c r="I89" s="4" t="s">
        <v>290</v>
      </c>
      <c r="J89" s="4" t="s">
        <v>291</v>
      </c>
      <c r="K89" s="58">
        <v>44196</v>
      </c>
      <c r="L89" s="4">
        <v>3221</v>
      </c>
      <c r="M89" s="4" t="s">
        <v>219</v>
      </c>
      <c r="N89" s="4">
        <v>1</v>
      </c>
      <c r="O89" s="4" t="s">
        <v>292</v>
      </c>
      <c r="P89" s="59">
        <v>20847897.100000001</v>
      </c>
    </row>
    <row r="90" spans="2:16" x14ac:dyDescent="0.25">
      <c r="B90" s="4" t="s">
        <v>212</v>
      </c>
      <c r="C90" s="4">
        <v>1500029359</v>
      </c>
      <c r="D90" s="4" t="s">
        <v>354</v>
      </c>
      <c r="E90" s="4" t="s">
        <v>284</v>
      </c>
      <c r="F90" s="4">
        <v>16110100</v>
      </c>
      <c r="G90" s="4" t="s">
        <v>294</v>
      </c>
      <c r="H90" s="4" t="s">
        <v>216</v>
      </c>
      <c r="I90" s="4" t="s">
        <v>355</v>
      </c>
      <c r="J90" s="4" t="s">
        <v>356</v>
      </c>
      <c r="K90" s="58">
        <v>43343</v>
      </c>
      <c r="L90" s="4">
        <v>1</v>
      </c>
      <c r="M90" s="4" t="s">
        <v>219</v>
      </c>
      <c r="N90" s="4">
        <v>5</v>
      </c>
      <c r="O90" s="4" t="s">
        <v>357</v>
      </c>
      <c r="P90" s="59">
        <v>20263321.91</v>
      </c>
    </row>
    <row r="91" spans="2:16" x14ac:dyDescent="0.25">
      <c r="B91" s="4" t="s">
        <v>212</v>
      </c>
      <c r="C91" s="4">
        <v>1500024247</v>
      </c>
      <c r="D91" s="4" t="s">
        <v>354</v>
      </c>
      <c r="E91" s="4" t="s">
        <v>284</v>
      </c>
      <c r="F91" s="4">
        <v>16110100</v>
      </c>
      <c r="G91" s="4" t="s">
        <v>294</v>
      </c>
      <c r="H91" s="4" t="s">
        <v>216</v>
      </c>
      <c r="I91" s="4" t="s">
        <v>355</v>
      </c>
      <c r="J91" s="4" t="s">
        <v>356</v>
      </c>
      <c r="K91" s="58">
        <v>43343</v>
      </c>
      <c r="L91" s="4">
        <v>1</v>
      </c>
      <c r="M91" s="4" t="s">
        <v>219</v>
      </c>
      <c r="N91" s="4">
        <v>5</v>
      </c>
      <c r="O91" s="4" t="s">
        <v>357</v>
      </c>
      <c r="P91" s="59">
        <v>19400332.890000001</v>
      </c>
    </row>
    <row r="92" spans="2:16" x14ac:dyDescent="0.25">
      <c r="B92" s="4" t="s">
        <v>212</v>
      </c>
      <c r="C92" s="4">
        <v>1500024237</v>
      </c>
      <c r="D92" s="4" t="s">
        <v>358</v>
      </c>
      <c r="E92" s="4" t="s">
        <v>284</v>
      </c>
      <c r="F92" s="4">
        <v>16110100</v>
      </c>
      <c r="G92" s="4" t="s">
        <v>294</v>
      </c>
      <c r="H92" s="4" t="s">
        <v>216</v>
      </c>
      <c r="I92" s="4" t="s">
        <v>295</v>
      </c>
      <c r="J92" s="4" t="s">
        <v>296</v>
      </c>
      <c r="K92" s="58">
        <v>43343</v>
      </c>
      <c r="L92" s="4">
        <v>1</v>
      </c>
      <c r="M92" s="4" t="s">
        <v>219</v>
      </c>
      <c r="N92" s="4">
        <v>5</v>
      </c>
      <c r="O92" s="4" t="s">
        <v>350</v>
      </c>
      <c r="P92" s="59">
        <v>19017976.850000001</v>
      </c>
    </row>
    <row r="93" spans="2:16" x14ac:dyDescent="0.25">
      <c r="B93" s="4" t="s">
        <v>212</v>
      </c>
      <c r="C93" s="4">
        <v>2000003346</v>
      </c>
      <c r="D93" s="4" t="s">
        <v>329</v>
      </c>
      <c r="E93" s="4" t="s">
        <v>289</v>
      </c>
      <c r="F93" s="4">
        <v>16251100</v>
      </c>
      <c r="G93" s="4" t="s">
        <v>146</v>
      </c>
      <c r="H93" s="4" t="s">
        <v>216</v>
      </c>
      <c r="I93" s="4" t="s">
        <v>285</v>
      </c>
      <c r="J93" s="4" t="s">
        <v>286</v>
      </c>
      <c r="K93" s="58">
        <v>44280</v>
      </c>
      <c r="L93" s="4">
        <v>738</v>
      </c>
      <c r="M93" s="4" t="s">
        <v>219</v>
      </c>
      <c r="N93" s="4">
        <v>1</v>
      </c>
      <c r="O93" s="4" t="s">
        <v>292</v>
      </c>
      <c r="P93" s="59">
        <v>18848831.960000001</v>
      </c>
    </row>
    <row r="94" spans="2:16" x14ac:dyDescent="0.25">
      <c r="B94" s="4" t="s">
        <v>212</v>
      </c>
      <c r="C94" s="4">
        <v>1500032277</v>
      </c>
      <c r="D94" s="4" t="s">
        <v>359</v>
      </c>
      <c r="E94" s="4" t="s">
        <v>284</v>
      </c>
      <c r="F94" s="4">
        <v>16110100</v>
      </c>
      <c r="G94" s="4" t="s">
        <v>294</v>
      </c>
      <c r="H94" s="4" t="s">
        <v>216</v>
      </c>
      <c r="I94" s="4" t="s">
        <v>320</v>
      </c>
      <c r="J94" s="4" t="s">
        <v>296</v>
      </c>
      <c r="K94" s="58">
        <v>43343</v>
      </c>
      <c r="L94" s="4">
        <v>1</v>
      </c>
      <c r="M94" s="4" t="s">
        <v>219</v>
      </c>
      <c r="N94" s="4">
        <v>5</v>
      </c>
      <c r="O94" s="4" t="s">
        <v>360</v>
      </c>
      <c r="P94" s="59">
        <v>16180649.800000001</v>
      </c>
    </row>
    <row r="95" spans="2:16" x14ac:dyDescent="0.25">
      <c r="B95" s="4" t="s">
        <v>212</v>
      </c>
      <c r="C95" s="4">
        <v>1500032278</v>
      </c>
      <c r="D95" s="4" t="s">
        <v>361</v>
      </c>
      <c r="E95" s="4" t="s">
        <v>284</v>
      </c>
      <c r="F95" s="4">
        <v>16110100</v>
      </c>
      <c r="G95" s="4" t="s">
        <v>294</v>
      </c>
      <c r="H95" s="4" t="s">
        <v>216</v>
      </c>
      <c r="I95" s="4" t="s">
        <v>320</v>
      </c>
      <c r="J95" s="4" t="s">
        <v>296</v>
      </c>
      <c r="K95" s="58">
        <v>43343</v>
      </c>
      <c r="L95" s="4">
        <v>1</v>
      </c>
      <c r="M95" s="4" t="s">
        <v>219</v>
      </c>
      <c r="N95" s="4">
        <v>5</v>
      </c>
      <c r="O95" s="4" t="s">
        <v>360</v>
      </c>
      <c r="P95" s="59">
        <v>16180649.800000001</v>
      </c>
    </row>
    <row r="96" spans="2:16" x14ac:dyDescent="0.25">
      <c r="B96" s="4" t="s">
        <v>212</v>
      </c>
      <c r="C96" s="4">
        <v>1500032279</v>
      </c>
      <c r="D96" s="4" t="s">
        <v>362</v>
      </c>
      <c r="E96" s="4" t="s">
        <v>284</v>
      </c>
      <c r="F96" s="4">
        <v>16110100</v>
      </c>
      <c r="G96" s="4" t="s">
        <v>294</v>
      </c>
      <c r="H96" s="4" t="s">
        <v>216</v>
      </c>
      <c r="I96" s="4" t="s">
        <v>320</v>
      </c>
      <c r="J96" s="4" t="s">
        <v>296</v>
      </c>
      <c r="K96" s="58">
        <v>43343</v>
      </c>
      <c r="L96" s="4">
        <v>1</v>
      </c>
      <c r="M96" s="4" t="s">
        <v>219</v>
      </c>
      <c r="N96" s="4">
        <v>5</v>
      </c>
      <c r="O96" s="4" t="s">
        <v>360</v>
      </c>
      <c r="P96" s="59">
        <v>16180649.800000001</v>
      </c>
    </row>
    <row r="97" spans="2:16" x14ac:dyDescent="0.25">
      <c r="B97" s="4" t="s">
        <v>212</v>
      </c>
      <c r="C97" s="4">
        <v>1500032280</v>
      </c>
      <c r="D97" s="4" t="s">
        <v>363</v>
      </c>
      <c r="E97" s="4" t="s">
        <v>284</v>
      </c>
      <c r="F97" s="4">
        <v>16110100</v>
      </c>
      <c r="G97" s="4" t="s">
        <v>294</v>
      </c>
      <c r="H97" s="4" t="s">
        <v>216</v>
      </c>
      <c r="I97" s="4" t="s">
        <v>320</v>
      </c>
      <c r="J97" s="4" t="s">
        <v>296</v>
      </c>
      <c r="K97" s="58">
        <v>43343</v>
      </c>
      <c r="L97" s="4">
        <v>1</v>
      </c>
      <c r="M97" s="4" t="s">
        <v>219</v>
      </c>
      <c r="N97" s="4">
        <v>5</v>
      </c>
      <c r="O97" s="4" t="s">
        <v>360</v>
      </c>
      <c r="P97" s="59">
        <v>16180649.800000001</v>
      </c>
    </row>
    <row r="98" spans="2:16" x14ac:dyDescent="0.25">
      <c r="B98" s="4" t="s">
        <v>212</v>
      </c>
      <c r="C98" s="4">
        <v>1500032281</v>
      </c>
      <c r="D98" s="4" t="s">
        <v>364</v>
      </c>
      <c r="E98" s="4" t="s">
        <v>284</v>
      </c>
      <c r="F98" s="4">
        <v>16110100</v>
      </c>
      <c r="G98" s="4" t="s">
        <v>294</v>
      </c>
      <c r="H98" s="4" t="s">
        <v>216</v>
      </c>
      <c r="I98" s="4" t="s">
        <v>320</v>
      </c>
      <c r="J98" s="4" t="s">
        <v>296</v>
      </c>
      <c r="K98" s="58">
        <v>43343</v>
      </c>
      <c r="L98" s="4">
        <v>1</v>
      </c>
      <c r="M98" s="4" t="s">
        <v>219</v>
      </c>
      <c r="N98" s="4">
        <v>5</v>
      </c>
      <c r="O98" s="4" t="s">
        <v>360</v>
      </c>
      <c r="P98" s="59">
        <v>16180649.800000001</v>
      </c>
    </row>
    <row r="99" spans="2:16" x14ac:dyDescent="0.25">
      <c r="B99" s="4" t="s">
        <v>212</v>
      </c>
      <c r="C99" s="4">
        <v>2000003042</v>
      </c>
      <c r="D99" s="4" t="s">
        <v>365</v>
      </c>
      <c r="E99" s="4"/>
      <c r="F99" s="4">
        <v>16251100</v>
      </c>
      <c r="G99" s="4" t="s">
        <v>146</v>
      </c>
      <c r="H99" s="4" t="s">
        <v>216</v>
      </c>
      <c r="I99" s="4" t="s">
        <v>290</v>
      </c>
      <c r="J99" s="4" t="s">
        <v>291</v>
      </c>
      <c r="K99" s="58">
        <v>44196</v>
      </c>
      <c r="L99" s="4">
        <v>6127</v>
      </c>
      <c r="M99" s="4" t="s">
        <v>219</v>
      </c>
      <c r="N99" s="4">
        <v>1</v>
      </c>
      <c r="O99" s="4" t="s">
        <v>292</v>
      </c>
      <c r="P99" s="59">
        <v>16034658.470000001</v>
      </c>
    </row>
    <row r="100" spans="2:16" x14ac:dyDescent="0.25">
      <c r="B100" s="4" t="s">
        <v>212</v>
      </c>
      <c r="C100" s="4">
        <v>1500025562</v>
      </c>
      <c r="D100" s="4" t="s">
        <v>366</v>
      </c>
      <c r="E100" s="4" t="s">
        <v>367</v>
      </c>
      <c r="F100" s="4">
        <v>16110100</v>
      </c>
      <c r="G100" s="4" t="s">
        <v>294</v>
      </c>
      <c r="H100" s="4" t="s">
        <v>216</v>
      </c>
      <c r="I100" s="4" t="s">
        <v>299</v>
      </c>
      <c r="J100" s="4" t="s">
        <v>286</v>
      </c>
      <c r="K100" s="58">
        <v>43373</v>
      </c>
      <c r="L100" s="4">
        <v>1</v>
      </c>
      <c r="M100" s="4" t="s">
        <v>219</v>
      </c>
      <c r="N100" s="4">
        <v>5</v>
      </c>
      <c r="O100" s="4" t="s">
        <v>368</v>
      </c>
      <c r="P100" s="59">
        <v>15801347.640000001</v>
      </c>
    </row>
    <row r="101" spans="2:16" x14ac:dyDescent="0.25">
      <c r="B101" s="4" t="s">
        <v>212</v>
      </c>
      <c r="C101" s="4">
        <v>1500025563</v>
      </c>
      <c r="D101" s="4" t="s">
        <v>366</v>
      </c>
      <c r="E101" s="4" t="s">
        <v>367</v>
      </c>
      <c r="F101" s="4">
        <v>16110100</v>
      </c>
      <c r="G101" s="4" t="s">
        <v>294</v>
      </c>
      <c r="H101" s="4" t="s">
        <v>216</v>
      </c>
      <c r="I101" s="4" t="s">
        <v>299</v>
      </c>
      <c r="J101" s="4" t="s">
        <v>286</v>
      </c>
      <c r="K101" s="58">
        <v>43373</v>
      </c>
      <c r="L101" s="4">
        <v>1</v>
      </c>
      <c r="M101" s="4" t="s">
        <v>219</v>
      </c>
      <c r="N101" s="4">
        <v>5</v>
      </c>
      <c r="O101" s="4" t="s">
        <v>368</v>
      </c>
      <c r="P101" s="59">
        <v>15801347.630000001</v>
      </c>
    </row>
    <row r="102" spans="2:16" x14ac:dyDescent="0.25">
      <c r="B102" s="4" t="s">
        <v>212</v>
      </c>
      <c r="C102" s="4">
        <v>1500033315</v>
      </c>
      <c r="D102" s="4" t="s">
        <v>369</v>
      </c>
      <c r="E102" s="4" t="s">
        <v>370</v>
      </c>
      <c r="F102" s="4">
        <v>16110100</v>
      </c>
      <c r="G102" s="4" t="s">
        <v>294</v>
      </c>
      <c r="H102" s="4" t="s">
        <v>216</v>
      </c>
      <c r="I102" s="4" t="s">
        <v>299</v>
      </c>
      <c r="J102" s="4" t="s">
        <v>286</v>
      </c>
      <c r="K102" s="58">
        <v>43982</v>
      </c>
      <c r="L102" s="4">
        <v>1</v>
      </c>
      <c r="M102" s="4" t="s">
        <v>219</v>
      </c>
      <c r="N102" s="4">
        <v>5</v>
      </c>
      <c r="O102" s="4" t="s">
        <v>371</v>
      </c>
      <c r="P102" s="59">
        <v>15122210.710000001</v>
      </c>
    </row>
    <row r="103" spans="2:16" x14ac:dyDescent="0.25">
      <c r="B103" s="4" t="s">
        <v>212</v>
      </c>
      <c r="C103" s="4">
        <v>1500032249</v>
      </c>
      <c r="D103" s="4" t="s">
        <v>372</v>
      </c>
      <c r="E103" s="4" t="s">
        <v>373</v>
      </c>
      <c r="F103" s="4">
        <v>16110100</v>
      </c>
      <c r="G103" s="4" t="s">
        <v>294</v>
      </c>
      <c r="H103" s="4" t="s">
        <v>216</v>
      </c>
      <c r="I103" s="4" t="s">
        <v>374</v>
      </c>
      <c r="J103" s="4" t="s">
        <v>375</v>
      </c>
      <c r="K103" s="58">
        <v>43738</v>
      </c>
      <c r="L103" s="4">
        <v>1</v>
      </c>
      <c r="M103" s="4" t="s">
        <v>219</v>
      </c>
      <c r="N103" s="4">
        <v>5</v>
      </c>
      <c r="O103" s="4" t="s">
        <v>376</v>
      </c>
      <c r="P103" s="59">
        <v>14096186.92</v>
      </c>
    </row>
    <row r="104" spans="2:16" x14ac:dyDescent="0.25">
      <c r="B104" s="4" t="s">
        <v>212</v>
      </c>
      <c r="C104" s="4">
        <v>1500032250</v>
      </c>
      <c r="D104" s="4" t="s">
        <v>372</v>
      </c>
      <c r="E104" s="4" t="s">
        <v>373</v>
      </c>
      <c r="F104" s="4">
        <v>16110100</v>
      </c>
      <c r="G104" s="4" t="s">
        <v>294</v>
      </c>
      <c r="H104" s="4" t="s">
        <v>216</v>
      </c>
      <c r="I104" s="4" t="s">
        <v>374</v>
      </c>
      <c r="J104" s="4" t="s">
        <v>375</v>
      </c>
      <c r="K104" s="58">
        <v>43738</v>
      </c>
      <c r="L104" s="4">
        <v>1</v>
      </c>
      <c r="M104" s="4" t="s">
        <v>219</v>
      </c>
      <c r="N104" s="4">
        <v>5</v>
      </c>
      <c r="O104" s="4" t="s">
        <v>377</v>
      </c>
      <c r="P104" s="59">
        <v>14096186.92</v>
      </c>
    </row>
    <row r="105" spans="2:16" x14ac:dyDescent="0.25">
      <c r="B105" s="4" t="s">
        <v>212</v>
      </c>
      <c r="C105" s="4">
        <v>2000003345</v>
      </c>
      <c r="D105" s="4" t="s">
        <v>343</v>
      </c>
      <c r="E105" s="4" t="s">
        <v>289</v>
      </c>
      <c r="F105" s="4">
        <v>16251100</v>
      </c>
      <c r="G105" s="4" t="s">
        <v>146</v>
      </c>
      <c r="H105" s="4" t="s">
        <v>216</v>
      </c>
      <c r="I105" s="4" t="s">
        <v>285</v>
      </c>
      <c r="J105" s="4" t="s">
        <v>286</v>
      </c>
      <c r="K105" s="58">
        <v>44281</v>
      </c>
      <c r="L105" s="4">
        <v>268</v>
      </c>
      <c r="M105" s="4" t="s">
        <v>219</v>
      </c>
      <c r="N105" s="4">
        <v>1</v>
      </c>
      <c r="O105" s="4" t="s">
        <v>292</v>
      </c>
      <c r="P105" s="59">
        <v>13929709.25</v>
      </c>
    </row>
    <row r="106" spans="2:16" x14ac:dyDescent="0.25">
      <c r="B106" s="4" t="s">
        <v>212</v>
      </c>
      <c r="C106" s="4">
        <v>1520004250</v>
      </c>
      <c r="D106" s="4" t="s">
        <v>378</v>
      </c>
      <c r="E106" s="4" t="s">
        <v>379</v>
      </c>
      <c r="F106" s="4">
        <v>16111100</v>
      </c>
      <c r="G106" s="4" t="s">
        <v>140</v>
      </c>
      <c r="H106" s="4" t="s">
        <v>216</v>
      </c>
      <c r="I106" s="4" t="s">
        <v>380</v>
      </c>
      <c r="J106" s="4" t="s">
        <v>381</v>
      </c>
      <c r="K106" s="58">
        <v>43843</v>
      </c>
      <c r="L106" s="4">
        <v>1</v>
      </c>
      <c r="M106" s="4" t="s">
        <v>219</v>
      </c>
      <c r="N106" s="4">
        <v>10</v>
      </c>
      <c r="O106" s="4" t="s">
        <v>382</v>
      </c>
      <c r="P106" s="59">
        <v>13732760.880000001</v>
      </c>
    </row>
    <row r="107" spans="2:16" x14ac:dyDescent="0.25">
      <c r="B107" s="4" t="s">
        <v>212</v>
      </c>
      <c r="C107" s="4">
        <v>2080003145</v>
      </c>
      <c r="D107" s="4" t="s">
        <v>383</v>
      </c>
      <c r="E107" s="4" t="s">
        <v>284</v>
      </c>
      <c r="F107" s="4">
        <v>16256900</v>
      </c>
      <c r="G107" s="4" t="s">
        <v>145</v>
      </c>
      <c r="H107" s="4" t="s">
        <v>216</v>
      </c>
      <c r="I107" s="4" t="s">
        <v>295</v>
      </c>
      <c r="J107" s="4" t="s">
        <v>296</v>
      </c>
      <c r="K107" s="58">
        <v>43343</v>
      </c>
      <c r="L107" s="4">
        <v>1</v>
      </c>
      <c r="M107" s="4" t="s">
        <v>219</v>
      </c>
      <c r="N107" s="4">
        <v>5</v>
      </c>
      <c r="O107" s="4" t="s">
        <v>287</v>
      </c>
      <c r="P107" s="59">
        <v>13689535.279999999</v>
      </c>
    </row>
    <row r="108" spans="2:16" x14ac:dyDescent="0.25">
      <c r="B108" s="4" t="s">
        <v>212</v>
      </c>
      <c r="C108" s="4">
        <v>2000003041</v>
      </c>
      <c r="D108" s="4" t="s">
        <v>384</v>
      </c>
      <c r="E108" s="4" t="s">
        <v>385</v>
      </c>
      <c r="F108" s="4">
        <v>16251100</v>
      </c>
      <c r="G108" s="4" t="s">
        <v>146</v>
      </c>
      <c r="H108" s="4" t="s">
        <v>216</v>
      </c>
      <c r="I108" s="4" t="s">
        <v>290</v>
      </c>
      <c r="J108" s="4" t="s">
        <v>291</v>
      </c>
      <c r="K108" s="58">
        <v>44196</v>
      </c>
      <c r="L108" s="4">
        <v>4876</v>
      </c>
      <c r="M108" s="4" t="s">
        <v>219</v>
      </c>
      <c r="N108" s="4">
        <v>1</v>
      </c>
      <c r="O108" s="4" t="s">
        <v>292</v>
      </c>
      <c r="P108" s="59">
        <v>13676273.859999999</v>
      </c>
    </row>
    <row r="109" spans="2:16" x14ac:dyDescent="0.25">
      <c r="B109" s="4" t="s">
        <v>212</v>
      </c>
      <c r="C109" s="4">
        <v>1520004301</v>
      </c>
      <c r="D109" s="4" t="s">
        <v>386</v>
      </c>
      <c r="E109" s="4" t="s">
        <v>387</v>
      </c>
      <c r="F109" s="4">
        <v>16111100</v>
      </c>
      <c r="G109" s="4" t="s">
        <v>140</v>
      </c>
      <c r="H109" s="4" t="s">
        <v>216</v>
      </c>
      <c r="I109" s="4" t="s">
        <v>346</v>
      </c>
      <c r="J109" s="4" t="s">
        <v>347</v>
      </c>
      <c r="K109" s="58">
        <v>44155</v>
      </c>
      <c r="L109" s="4">
        <v>1</v>
      </c>
      <c r="M109" s="4" t="s">
        <v>219</v>
      </c>
      <c r="N109" s="4">
        <v>5</v>
      </c>
      <c r="O109" s="4"/>
      <c r="P109" s="59">
        <v>13592841.18</v>
      </c>
    </row>
    <row r="110" spans="2:16" x14ac:dyDescent="0.25">
      <c r="B110" s="4" t="s">
        <v>212</v>
      </c>
      <c r="C110" s="4">
        <v>2000003305</v>
      </c>
      <c r="D110" s="4" t="s">
        <v>330</v>
      </c>
      <c r="E110" s="4" t="s">
        <v>324</v>
      </c>
      <c r="F110" s="4">
        <v>16251100</v>
      </c>
      <c r="G110" s="4" t="s">
        <v>146</v>
      </c>
      <c r="H110" s="4" t="s">
        <v>216</v>
      </c>
      <c r="I110" s="4" t="s">
        <v>285</v>
      </c>
      <c r="J110" s="4" t="s">
        <v>286</v>
      </c>
      <c r="K110" s="58">
        <v>44267</v>
      </c>
      <c r="L110" s="4">
        <v>254</v>
      </c>
      <c r="M110" s="4" t="s">
        <v>219</v>
      </c>
      <c r="N110" s="4">
        <v>1</v>
      </c>
      <c r="O110" s="4" t="s">
        <v>292</v>
      </c>
      <c r="P110" s="59">
        <v>13543775.289999999</v>
      </c>
    </row>
    <row r="111" spans="2:16" x14ac:dyDescent="0.25">
      <c r="B111" s="4" t="s">
        <v>212</v>
      </c>
      <c r="C111" s="4">
        <v>2000003304</v>
      </c>
      <c r="D111" s="4" t="s">
        <v>384</v>
      </c>
      <c r="E111" s="4" t="s">
        <v>324</v>
      </c>
      <c r="F111" s="4">
        <v>16251100</v>
      </c>
      <c r="G111" s="4" t="s">
        <v>146</v>
      </c>
      <c r="H111" s="4" t="s">
        <v>216</v>
      </c>
      <c r="I111" s="4" t="s">
        <v>285</v>
      </c>
      <c r="J111" s="4" t="s">
        <v>286</v>
      </c>
      <c r="K111" s="58">
        <v>44266</v>
      </c>
      <c r="L111" s="4">
        <v>516</v>
      </c>
      <c r="M111" s="4" t="s">
        <v>219</v>
      </c>
      <c r="N111" s="4">
        <v>1</v>
      </c>
      <c r="O111" s="4" t="s">
        <v>292</v>
      </c>
      <c r="P111" s="59">
        <v>12691399.76</v>
      </c>
    </row>
    <row r="112" spans="2:16" x14ac:dyDescent="0.25">
      <c r="B112" s="4" t="s">
        <v>212</v>
      </c>
      <c r="C112" s="4">
        <v>1520004302</v>
      </c>
      <c r="D112" s="4" t="s">
        <v>388</v>
      </c>
      <c r="E112" s="4" t="s">
        <v>387</v>
      </c>
      <c r="F112" s="4">
        <v>16111100</v>
      </c>
      <c r="G112" s="4" t="s">
        <v>140</v>
      </c>
      <c r="H112" s="4" t="s">
        <v>216</v>
      </c>
      <c r="I112" s="4" t="s">
        <v>346</v>
      </c>
      <c r="J112" s="4" t="s">
        <v>347</v>
      </c>
      <c r="K112" s="58">
        <v>44155</v>
      </c>
      <c r="L112" s="4">
        <v>1</v>
      </c>
      <c r="M112" s="4" t="s">
        <v>219</v>
      </c>
      <c r="N112" s="4">
        <v>5</v>
      </c>
      <c r="O112" s="4"/>
      <c r="P112" s="59">
        <v>12529674.82</v>
      </c>
    </row>
    <row r="113" spans="2:16" x14ac:dyDescent="0.25">
      <c r="B113" s="4" t="s">
        <v>212</v>
      </c>
      <c r="C113" s="4">
        <v>1500016652</v>
      </c>
      <c r="D113" s="4" t="s">
        <v>389</v>
      </c>
      <c r="E113" s="4"/>
      <c r="F113" s="4">
        <v>16110100</v>
      </c>
      <c r="G113" s="4" t="s">
        <v>294</v>
      </c>
      <c r="H113" s="4" t="s">
        <v>216</v>
      </c>
      <c r="I113" s="4" t="s">
        <v>342</v>
      </c>
      <c r="J113" s="4" t="s">
        <v>286</v>
      </c>
      <c r="K113" s="58">
        <v>42369</v>
      </c>
      <c r="L113" s="4">
        <v>1</v>
      </c>
      <c r="M113" s="4" t="s">
        <v>219</v>
      </c>
      <c r="N113" s="4">
        <v>10</v>
      </c>
      <c r="O113" s="4" t="s">
        <v>390</v>
      </c>
      <c r="P113" s="59">
        <v>11971664.199999999</v>
      </c>
    </row>
    <row r="114" spans="2:16" x14ac:dyDescent="0.25">
      <c r="B114" s="4" t="s">
        <v>212</v>
      </c>
      <c r="C114" s="4">
        <v>1500031485</v>
      </c>
      <c r="D114" s="4" t="s">
        <v>391</v>
      </c>
      <c r="E114" s="4" t="s">
        <v>392</v>
      </c>
      <c r="F114" s="4">
        <v>16110100</v>
      </c>
      <c r="G114" s="4" t="s">
        <v>294</v>
      </c>
      <c r="H114" s="4" t="s">
        <v>216</v>
      </c>
      <c r="I114" s="4" t="s">
        <v>299</v>
      </c>
      <c r="J114" s="4" t="s">
        <v>286</v>
      </c>
      <c r="K114" s="58">
        <v>43677</v>
      </c>
      <c r="L114" s="4">
        <v>1</v>
      </c>
      <c r="M114" s="4" t="s">
        <v>219</v>
      </c>
      <c r="N114" s="4">
        <v>5</v>
      </c>
      <c r="O114" s="4" t="s">
        <v>393</v>
      </c>
      <c r="P114" s="59">
        <v>11840528.029999999</v>
      </c>
    </row>
    <row r="115" spans="2:16" x14ac:dyDescent="0.25">
      <c r="B115" s="4" t="s">
        <v>212</v>
      </c>
      <c r="C115" s="4">
        <v>1500031486</v>
      </c>
      <c r="D115" s="4" t="s">
        <v>391</v>
      </c>
      <c r="E115" s="4" t="s">
        <v>392</v>
      </c>
      <c r="F115" s="4">
        <v>16110100</v>
      </c>
      <c r="G115" s="4" t="s">
        <v>294</v>
      </c>
      <c r="H115" s="4" t="s">
        <v>216</v>
      </c>
      <c r="I115" s="4" t="s">
        <v>299</v>
      </c>
      <c r="J115" s="4" t="s">
        <v>286</v>
      </c>
      <c r="K115" s="58">
        <v>43677</v>
      </c>
      <c r="L115" s="4">
        <v>1</v>
      </c>
      <c r="M115" s="4" t="s">
        <v>219</v>
      </c>
      <c r="N115" s="4">
        <v>5</v>
      </c>
      <c r="O115" s="4" t="s">
        <v>393</v>
      </c>
      <c r="P115" s="59">
        <v>11840528.029999999</v>
      </c>
    </row>
    <row r="116" spans="2:16" x14ac:dyDescent="0.25">
      <c r="B116" s="4" t="s">
        <v>212</v>
      </c>
      <c r="C116" s="4">
        <v>1500031489</v>
      </c>
      <c r="D116" s="4" t="s">
        <v>391</v>
      </c>
      <c r="E116" s="4" t="s">
        <v>394</v>
      </c>
      <c r="F116" s="4">
        <v>16110100</v>
      </c>
      <c r="G116" s="4" t="s">
        <v>294</v>
      </c>
      <c r="H116" s="4" t="s">
        <v>216</v>
      </c>
      <c r="I116" s="4" t="s">
        <v>299</v>
      </c>
      <c r="J116" s="4" t="s">
        <v>286</v>
      </c>
      <c r="K116" s="58">
        <v>43677</v>
      </c>
      <c r="L116" s="4">
        <v>1</v>
      </c>
      <c r="M116" s="4" t="s">
        <v>219</v>
      </c>
      <c r="N116" s="4">
        <v>5</v>
      </c>
      <c r="O116" s="4" t="s">
        <v>393</v>
      </c>
      <c r="P116" s="59">
        <v>11840528.029999999</v>
      </c>
    </row>
    <row r="117" spans="2:16" x14ac:dyDescent="0.25">
      <c r="B117" s="4" t="s">
        <v>212</v>
      </c>
      <c r="C117" s="4">
        <v>1500031490</v>
      </c>
      <c r="D117" s="4" t="s">
        <v>391</v>
      </c>
      <c r="E117" s="4" t="s">
        <v>394</v>
      </c>
      <c r="F117" s="4">
        <v>16110100</v>
      </c>
      <c r="G117" s="4" t="s">
        <v>294</v>
      </c>
      <c r="H117" s="4" t="s">
        <v>216</v>
      </c>
      <c r="I117" s="4" t="s">
        <v>299</v>
      </c>
      <c r="J117" s="4" t="s">
        <v>286</v>
      </c>
      <c r="K117" s="58">
        <v>43677</v>
      </c>
      <c r="L117" s="4">
        <v>1</v>
      </c>
      <c r="M117" s="4" t="s">
        <v>219</v>
      </c>
      <c r="N117" s="4">
        <v>5</v>
      </c>
      <c r="O117" s="4" t="s">
        <v>393</v>
      </c>
      <c r="P117" s="59">
        <v>11840528</v>
      </c>
    </row>
    <row r="118" spans="2:16" x14ac:dyDescent="0.25">
      <c r="B118" s="4" t="s">
        <v>212</v>
      </c>
      <c r="C118" s="4">
        <v>1500032818</v>
      </c>
      <c r="D118" s="4" t="s">
        <v>395</v>
      </c>
      <c r="E118" s="4" t="s">
        <v>396</v>
      </c>
      <c r="F118" s="4">
        <v>16110100</v>
      </c>
      <c r="G118" s="4" t="s">
        <v>294</v>
      </c>
      <c r="H118" s="4" t="s">
        <v>216</v>
      </c>
      <c r="I118" s="4" t="s">
        <v>342</v>
      </c>
      <c r="J118" s="4" t="s">
        <v>286</v>
      </c>
      <c r="K118" s="58">
        <v>43830</v>
      </c>
      <c r="L118" s="4">
        <v>1</v>
      </c>
      <c r="M118" s="4" t="s">
        <v>219</v>
      </c>
      <c r="N118" s="4">
        <v>10</v>
      </c>
      <c r="O118" s="4" t="s">
        <v>397</v>
      </c>
      <c r="P118" s="59">
        <v>11696141.98</v>
      </c>
    </row>
    <row r="119" spans="2:16" x14ac:dyDescent="0.25">
      <c r="B119" s="4" t="s">
        <v>212</v>
      </c>
      <c r="C119" s="4">
        <v>2000003294</v>
      </c>
      <c r="D119" s="4" t="s">
        <v>398</v>
      </c>
      <c r="E119" s="4"/>
      <c r="F119" s="4">
        <v>16251100</v>
      </c>
      <c r="G119" s="4" t="s">
        <v>146</v>
      </c>
      <c r="H119" s="4" t="s">
        <v>216</v>
      </c>
      <c r="I119" s="4" t="s">
        <v>290</v>
      </c>
      <c r="J119" s="4" t="s">
        <v>291</v>
      </c>
      <c r="K119" s="58">
        <v>44263</v>
      </c>
      <c r="L119" s="4">
        <v>2575</v>
      </c>
      <c r="M119" s="4" t="s">
        <v>219</v>
      </c>
      <c r="N119" s="4">
        <v>1</v>
      </c>
      <c r="O119" s="4" t="s">
        <v>292</v>
      </c>
      <c r="P119" s="59">
        <v>11632097.34</v>
      </c>
    </row>
    <row r="120" spans="2:16" x14ac:dyDescent="0.25">
      <c r="B120" s="4" t="s">
        <v>212</v>
      </c>
      <c r="C120" s="4">
        <v>1520004322</v>
      </c>
      <c r="D120" s="4" t="s">
        <v>399</v>
      </c>
      <c r="E120" s="4" t="s">
        <v>400</v>
      </c>
      <c r="F120" s="4">
        <v>16111100</v>
      </c>
      <c r="G120" s="4" t="s">
        <v>140</v>
      </c>
      <c r="H120" s="4" t="s">
        <v>216</v>
      </c>
      <c r="I120" s="4" t="s">
        <v>346</v>
      </c>
      <c r="J120" s="4" t="s">
        <v>347</v>
      </c>
      <c r="K120" s="58">
        <v>44104</v>
      </c>
      <c r="L120" s="4">
        <v>1</v>
      </c>
      <c r="M120" s="4" t="s">
        <v>219</v>
      </c>
      <c r="N120" s="4">
        <v>5</v>
      </c>
      <c r="O120" s="4" t="s">
        <v>401</v>
      </c>
      <c r="P120" s="59">
        <v>11412392.58</v>
      </c>
    </row>
    <row r="121" spans="2:16" x14ac:dyDescent="0.25">
      <c r="B121" s="4" t="s">
        <v>212</v>
      </c>
      <c r="C121" s="4">
        <v>1500025621</v>
      </c>
      <c r="D121" s="4" t="s">
        <v>402</v>
      </c>
      <c r="E121" s="4" t="s">
        <v>403</v>
      </c>
      <c r="F121" s="4">
        <v>16110100</v>
      </c>
      <c r="G121" s="4" t="s">
        <v>294</v>
      </c>
      <c r="H121" s="4" t="s">
        <v>216</v>
      </c>
      <c r="I121" s="4" t="s">
        <v>299</v>
      </c>
      <c r="J121" s="4" t="s">
        <v>286</v>
      </c>
      <c r="K121" s="58">
        <v>43373</v>
      </c>
      <c r="L121" s="4">
        <v>1</v>
      </c>
      <c r="M121" s="4" t="s">
        <v>219</v>
      </c>
      <c r="N121" s="4">
        <v>5</v>
      </c>
      <c r="O121" s="4" t="s">
        <v>404</v>
      </c>
      <c r="P121" s="59">
        <v>11374732.050000001</v>
      </c>
    </row>
    <row r="122" spans="2:16" x14ac:dyDescent="0.25">
      <c r="B122" s="4" t="s">
        <v>212</v>
      </c>
      <c r="C122" s="4">
        <v>1500025620</v>
      </c>
      <c r="D122" s="4" t="s">
        <v>402</v>
      </c>
      <c r="E122" s="4" t="s">
        <v>403</v>
      </c>
      <c r="F122" s="4">
        <v>16110100</v>
      </c>
      <c r="G122" s="4" t="s">
        <v>294</v>
      </c>
      <c r="H122" s="4" t="s">
        <v>216</v>
      </c>
      <c r="I122" s="4" t="s">
        <v>299</v>
      </c>
      <c r="J122" s="4" t="s">
        <v>286</v>
      </c>
      <c r="K122" s="58">
        <v>43373</v>
      </c>
      <c r="L122" s="4">
        <v>1</v>
      </c>
      <c r="M122" s="4" t="s">
        <v>219</v>
      </c>
      <c r="N122" s="4">
        <v>5</v>
      </c>
      <c r="O122" s="4" t="s">
        <v>404</v>
      </c>
      <c r="P122" s="59">
        <v>11374731.99</v>
      </c>
    </row>
    <row r="123" spans="2:16" x14ac:dyDescent="0.25">
      <c r="B123" s="4" t="s">
        <v>212</v>
      </c>
      <c r="C123" s="4">
        <v>1500025799</v>
      </c>
      <c r="D123" s="4" t="s">
        <v>402</v>
      </c>
      <c r="E123" s="4" t="s">
        <v>405</v>
      </c>
      <c r="F123" s="4">
        <v>16110100</v>
      </c>
      <c r="G123" s="4" t="s">
        <v>294</v>
      </c>
      <c r="H123" s="4" t="s">
        <v>216</v>
      </c>
      <c r="I123" s="4" t="s">
        <v>299</v>
      </c>
      <c r="J123" s="4" t="s">
        <v>286</v>
      </c>
      <c r="K123" s="58">
        <v>43373</v>
      </c>
      <c r="L123" s="4">
        <v>1</v>
      </c>
      <c r="M123" s="4" t="s">
        <v>219</v>
      </c>
      <c r="N123" s="4">
        <v>5</v>
      </c>
      <c r="O123" s="4" t="s">
        <v>404</v>
      </c>
      <c r="P123" s="59">
        <v>11359309.91</v>
      </c>
    </row>
    <row r="124" spans="2:16" x14ac:dyDescent="0.25">
      <c r="B124" s="4" t="s">
        <v>212</v>
      </c>
      <c r="C124" s="4">
        <v>1500025794</v>
      </c>
      <c r="D124" s="4" t="s">
        <v>402</v>
      </c>
      <c r="E124" s="4" t="s">
        <v>405</v>
      </c>
      <c r="F124" s="4">
        <v>16110100</v>
      </c>
      <c r="G124" s="4" t="s">
        <v>294</v>
      </c>
      <c r="H124" s="4" t="s">
        <v>216</v>
      </c>
      <c r="I124" s="4" t="s">
        <v>299</v>
      </c>
      <c r="J124" s="4" t="s">
        <v>286</v>
      </c>
      <c r="K124" s="58">
        <v>43373</v>
      </c>
      <c r="L124" s="4">
        <v>1</v>
      </c>
      <c r="M124" s="4" t="s">
        <v>219</v>
      </c>
      <c r="N124" s="4">
        <v>5</v>
      </c>
      <c r="O124" s="4" t="s">
        <v>404</v>
      </c>
      <c r="P124" s="59">
        <v>11359309.890000001</v>
      </c>
    </row>
    <row r="125" spans="2:16" x14ac:dyDescent="0.25">
      <c r="B125" s="4" t="s">
        <v>212</v>
      </c>
      <c r="C125" s="4">
        <v>1500025795</v>
      </c>
      <c r="D125" s="4" t="s">
        <v>402</v>
      </c>
      <c r="E125" s="4" t="s">
        <v>405</v>
      </c>
      <c r="F125" s="4">
        <v>16110100</v>
      </c>
      <c r="G125" s="4" t="s">
        <v>294</v>
      </c>
      <c r="H125" s="4" t="s">
        <v>216</v>
      </c>
      <c r="I125" s="4" t="s">
        <v>299</v>
      </c>
      <c r="J125" s="4" t="s">
        <v>286</v>
      </c>
      <c r="K125" s="58">
        <v>43373</v>
      </c>
      <c r="L125" s="4">
        <v>1</v>
      </c>
      <c r="M125" s="4" t="s">
        <v>219</v>
      </c>
      <c r="N125" s="4">
        <v>5</v>
      </c>
      <c r="O125" s="4" t="s">
        <v>404</v>
      </c>
      <c r="P125" s="59">
        <v>11359309.890000001</v>
      </c>
    </row>
    <row r="126" spans="2:16" x14ac:dyDescent="0.25">
      <c r="B126" s="4" t="s">
        <v>212</v>
      </c>
      <c r="C126" s="4">
        <v>1500025796</v>
      </c>
      <c r="D126" s="4" t="s">
        <v>402</v>
      </c>
      <c r="E126" s="4" t="s">
        <v>405</v>
      </c>
      <c r="F126" s="4">
        <v>16110100</v>
      </c>
      <c r="G126" s="4" t="s">
        <v>294</v>
      </c>
      <c r="H126" s="4" t="s">
        <v>216</v>
      </c>
      <c r="I126" s="4" t="s">
        <v>299</v>
      </c>
      <c r="J126" s="4" t="s">
        <v>286</v>
      </c>
      <c r="K126" s="58">
        <v>43373</v>
      </c>
      <c r="L126" s="4">
        <v>1</v>
      </c>
      <c r="M126" s="4" t="s">
        <v>219</v>
      </c>
      <c r="N126" s="4">
        <v>5</v>
      </c>
      <c r="O126" s="4" t="s">
        <v>404</v>
      </c>
      <c r="P126" s="59">
        <v>11359309.890000001</v>
      </c>
    </row>
    <row r="127" spans="2:16" x14ac:dyDescent="0.25">
      <c r="B127" s="4" t="s">
        <v>212</v>
      </c>
      <c r="C127" s="4">
        <v>1500025797</v>
      </c>
      <c r="D127" s="4" t="s">
        <v>402</v>
      </c>
      <c r="E127" s="4" t="s">
        <v>405</v>
      </c>
      <c r="F127" s="4">
        <v>16110100</v>
      </c>
      <c r="G127" s="4" t="s">
        <v>294</v>
      </c>
      <c r="H127" s="4" t="s">
        <v>216</v>
      </c>
      <c r="I127" s="4" t="s">
        <v>299</v>
      </c>
      <c r="J127" s="4" t="s">
        <v>286</v>
      </c>
      <c r="K127" s="58">
        <v>43373</v>
      </c>
      <c r="L127" s="4">
        <v>1</v>
      </c>
      <c r="M127" s="4" t="s">
        <v>219</v>
      </c>
      <c r="N127" s="4">
        <v>5</v>
      </c>
      <c r="O127" s="4" t="s">
        <v>404</v>
      </c>
      <c r="P127" s="59">
        <v>11359309.890000001</v>
      </c>
    </row>
    <row r="128" spans="2:16" x14ac:dyDescent="0.25">
      <c r="B128" s="4" t="s">
        <v>212</v>
      </c>
      <c r="C128" s="4">
        <v>1500025798</v>
      </c>
      <c r="D128" s="4" t="s">
        <v>402</v>
      </c>
      <c r="E128" s="4" t="s">
        <v>405</v>
      </c>
      <c r="F128" s="4">
        <v>16110100</v>
      </c>
      <c r="G128" s="4" t="s">
        <v>294</v>
      </c>
      <c r="H128" s="4" t="s">
        <v>216</v>
      </c>
      <c r="I128" s="4" t="s">
        <v>299</v>
      </c>
      <c r="J128" s="4" t="s">
        <v>286</v>
      </c>
      <c r="K128" s="58">
        <v>43373</v>
      </c>
      <c r="L128" s="4">
        <v>1</v>
      </c>
      <c r="M128" s="4" t="s">
        <v>219</v>
      </c>
      <c r="N128" s="4">
        <v>5</v>
      </c>
      <c r="O128" s="4" t="s">
        <v>404</v>
      </c>
      <c r="P128" s="59">
        <v>11359309.880000001</v>
      </c>
    </row>
    <row r="129" spans="2:16" x14ac:dyDescent="0.25">
      <c r="B129" s="4" t="s">
        <v>212</v>
      </c>
      <c r="C129" s="4">
        <v>1500025623</v>
      </c>
      <c r="D129" s="4" t="s">
        <v>402</v>
      </c>
      <c r="E129" s="4" t="s">
        <v>403</v>
      </c>
      <c r="F129" s="4">
        <v>16110100</v>
      </c>
      <c r="G129" s="4" t="s">
        <v>294</v>
      </c>
      <c r="H129" s="4" t="s">
        <v>216</v>
      </c>
      <c r="I129" s="4" t="s">
        <v>299</v>
      </c>
      <c r="J129" s="4" t="s">
        <v>286</v>
      </c>
      <c r="K129" s="58">
        <v>43373</v>
      </c>
      <c r="L129" s="4">
        <v>1</v>
      </c>
      <c r="M129" s="4" t="s">
        <v>219</v>
      </c>
      <c r="N129" s="4">
        <v>5</v>
      </c>
      <c r="O129" s="4" t="s">
        <v>404</v>
      </c>
      <c r="P129" s="59">
        <v>11337080.77</v>
      </c>
    </row>
    <row r="130" spans="2:16" x14ac:dyDescent="0.25">
      <c r="B130" s="4" t="s">
        <v>212</v>
      </c>
      <c r="C130" s="4">
        <v>1500025622</v>
      </c>
      <c r="D130" s="4" t="s">
        <v>402</v>
      </c>
      <c r="E130" s="4" t="s">
        <v>403</v>
      </c>
      <c r="F130" s="4">
        <v>16110100</v>
      </c>
      <c r="G130" s="4" t="s">
        <v>294</v>
      </c>
      <c r="H130" s="4" t="s">
        <v>216</v>
      </c>
      <c r="I130" s="4" t="s">
        <v>299</v>
      </c>
      <c r="J130" s="4" t="s">
        <v>286</v>
      </c>
      <c r="K130" s="58">
        <v>43373</v>
      </c>
      <c r="L130" s="4">
        <v>1</v>
      </c>
      <c r="M130" s="4" t="s">
        <v>219</v>
      </c>
      <c r="N130" s="4">
        <v>5</v>
      </c>
      <c r="O130" s="4" t="s">
        <v>404</v>
      </c>
      <c r="P130" s="59">
        <v>11337080.76</v>
      </c>
    </row>
    <row r="131" spans="2:16" x14ac:dyDescent="0.25">
      <c r="B131" s="4" t="s">
        <v>212</v>
      </c>
      <c r="C131" s="4">
        <v>1500025790</v>
      </c>
      <c r="D131" s="4" t="s">
        <v>402</v>
      </c>
      <c r="E131" s="4" t="s">
        <v>405</v>
      </c>
      <c r="F131" s="4">
        <v>16110100</v>
      </c>
      <c r="G131" s="4" t="s">
        <v>294</v>
      </c>
      <c r="H131" s="4" t="s">
        <v>216</v>
      </c>
      <c r="I131" s="4" t="s">
        <v>299</v>
      </c>
      <c r="J131" s="4" t="s">
        <v>286</v>
      </c>
      <c r="K131" s="58">
        <v>43373</v>
      </c>
      <c r="L131" s="4">
        <v>1</v>
      </c>
      <c r="M131" s="4" t="s">
        <v>219</v>
      </c>
      <c r="N131" s="4">
        <v>5</v>
      </c>
      <c r="O131" s="4" t="s">
        <v>404</v>
      </c>
      <c r="P131" s="59">
        <v>11321785.6</v>
      </c>
    </row>
    <row r="132" spans="2:16" x14ac:dyDescent="0.25">
      <c r="B132" s="4" t="s">
        <v>212</v>
      </c>
      <c r="C132" s="4">
        <v>1500025792</v>
      </c>
      <c r="D132" s="4" t="s">
        <v>402</v>
      </c>
      <c r="E132" s="4" t="s">
        <v>405</v>
      </c>
      <c r="F132" s="4">
        <v>16110100</v>
      </c>
      <c r="G132" s="4" t="s">
        <v>294</v>
      </c>
      <c r="H132" s="4" t="s">
        <v>216</v>
      </c>
      <c r="I132" s="4" t="s">
        <v>299</v>
      </c>
      <c r="J132" s="4" t="s">
        <v>286</v>
      </c>
      <c r="K132" s="58">
        <v>43373</v>
      </c>
      <c r="L132" s="4">
        <v>1</v>
      </c>
      <c r="M132" s="4" t="s">
        <v>219</v>
      </c>
      <c r="N132" s="4">
        <v>5</v>
      </c>
      <c r="O132" s="4" t="s">
        <v>404</v>
      </c>
      <c r="P132" s="59">
        <v>11321785.6</v>
      </c>
    </row>
    <row r="133" spans="2:16" x14ac:dyDescent="0.25">
      <c r="B133" s="4" t="s">
        <v>212</v>
      </c>
      <c r="C133" s="4">
        <v>1500025789</v>
      </c>
      <c r="D133" s="4" t="s">
        <v>402</v>
      </c>
      <c r="E133" s="4" t="s">
        <v>405</v>
      </c>
      <c r="F133" s="4">
        <v>16110100</v>
      </c>
      <c r="G133" s="4" t="s">
        <v>294</v>
      </c>
      <c r="H133" s="4" t="s">
        <v>216</v>
      </c>
      <c r="I133" s="4" t="s">
        <v>299</v>
      </c>
      <c r="J133" s="4" t="s">
        <v>286</v>
      </c>
      <c r="K133" s="58">
        <v>43373</v>
      </c>
      <c r="L133" s="4">
        <v>1</v>
      </c>
      <c r="M133" s="4" t="s">
        <v>219</v>
      </c>
      <c r="N133" s="4">
        <v>5</v>
      </c>
      <c r="O133" s="4" t="s">
        <v>404</v>
      </c>
      <c r="P133" s="59">
        <v>11321342.939999999</v>
      </c>
    </row>
    <row r="134" spans="2:16" x14ac:dyDescent="0.25">
      <c r="B134" s="4" t="s">
        <v>212</v>
      </c>
      <c r="C134" s="4">
        <v>1500025791</v>
      </c>
      <c r="D134" s="4" t="s">
        <v>402</v>
      </c>
      <c r="E134" s="4" t="s">
        <v>405</v>
      </c>
      <c r="F134" s="4">
        <v>16110100</v>
      </c>
      <c r="G134" s="4" t="s">
        <v>294</v>
      </c>
      <c r="H134" s="4" t="s">
        <v>216</v>
      </c>
      <c r="I134" s="4" t="s">
        <v>299</v>
      </c>
      <c r="J134" s="4" t="s">
        <v>286</v>
      </c>
      <c r="K134" s="58">
        <v>43373</v>
      </c>
      <c r="L134" s="4">
        <v>1</v>
      </c>
      <c r="M134" s="4" t="s">
        <v>219</v>
      </c>
      <c r="N134" s="4">
        <v>5</v>
      </c>
      <c r="O134" s="4" t="s">
        <v>404</v>
      </c>
      <c r="P134" s="59">
        <v>11321342.939999999</v>
      </c>
    </row>
    <row r="135" spans="2:16" x14ac:dyDescent="0.25">
      <c r="B135" s="4" t="s">
        <v>212</v>
      </c>
      <c r="C135" s="4">
        <v>1500025793</v>
      </c>
      <c r="D135" s="4" t="s">
        <v>402</v>
      </c>
      <c r="E135" s="4" t="s">
        <v>405</v>
      </c>
      <c r="F135" s="4">
        <v>16110100</v>
      </c>
      <c r="G135" s="4" t="s">
        <v>294</v>
      </c>
      <c r="H135" s="4" t="s">
        <v>216</v>
      </c>
      <c r="I135" s="4" t="s">
        <v>299</v>
      </c>
      <c r="J135" s="4" t="s">
        <v>286</v>
      </c>
      <c r="K135" s="58">
        <v>43373</v>
      </c>
      <c r="L135" s="4">
        <v>1</v>
      </c>
      <c r="M135" s="4" t="s">
        <v>219</v>
      </c>
      <c r="N135" s="4">
        <v>5</v>
      </c>
      <c r="O135" s="4" t="s">
        <v>404</v>
      </c>
      <c r="P135" s="59">
        <v>11321342.939999999</v>
      </c>
    </row>
    <row r="136" spans="2:16" x14ac:dyDescent="0.25">
      <c r="B136" s="4" t="s">
        <v>212</v>
      </c>
      <c r="C136" s="4">
        <v>1500025788</v>
      </c>
      <c r="D136" s="4" t="s">
        <v>402</v>
      </c>
      <c r="E136" s="4" t="s">
        <v>405</v>
      </c>
      <c r="F136" s="4">
        <v>16110100</v>
      </c>
      <c r="G136" s="4" t="s">
        <v>294</v>
      </c>
      <c r="H136" s="4" t="s">
        <v>216</v>
      </c>
      <c r="I136" s="4" t="s">
        <v>299</v>
      </c>
      <c r="J136" s="4" t="s">
        <v>286</v>
      </c>
      <c r="K136" s="58">
        <v>43373</v>
      </c>
      <c r="L136" s="4">
        <v>1</v>
      </c>
      <c r="M136" s="4" t="s">
        <v>219</v>
      </c>
      <c r="N136" s="4">
        <v>5</v>
      </c>
      <c r="O136" s="4" t="s">
        <v>404</v>
      </c>
      <c r="P136" s="59">
        <v>11318624.24</v>
      </c>
    </row>
    <row r="137" spans="2:16" x14ac:dyDescent="0.25">
      <c r="B137" s="4" t="s">
        <v>212</v>
      </c>
      <c r="C137" s="4">
        <v>1500032265</v>
      </c>
      <c r="D137" s="4" t="s">
        <v>406</v>
      </c>
      <c r="E137" s="4" t="s">
        <v>284</v>
      </c>
      <c r="F137" s="4">
        <v>16110100</v>
      </c>
      <c r="G137" s="4" t="s">
        <v>294</v>
      </c>
      <c r="H137" s="4" t="s">
        <v>216</v>
      </c>
      <c r="I137" s="4" t="s">
        <v>320</v>
      </c>
      <c r="J137" s="4" t="s">
        <v>296</v>
      </c>
      <c r="K137" s="58">
        <v>43343</v>
      </c>
      <c r="L137" s="4">
        <v>1</v>
      </c>
      <c r="M137" s="4" t="s">
        <v>219</v>
      </c>
      <c r="N137" s="4">
        <v>5</v>
      </c>
      <c r="O137" s="4" t="s">
        <v>407</v>
      </c>
      <c r="P137" s="59">
        <v>11143809.939999999</v>
      </c>
    </row>
    <row r="138" spans="2:16" x14ac:dyDescent="0.25">
      <c r="B138" s="4" t="s">
        <v>212</v>
      </c>
      <c r="C138" s="4">
        <v>1500026910</v>
      </c>
      <c r="D138" s="4" t="s">
        <v>402</v>
      </c>
      <c r="E138" s="4" t="s">
        <v>408</v>
      </c>
      <c r="F138" s="4">
        <v>16110100</v>
      </c>
      <c r="G138" s="4" t="s">
        <v>294</v>
      </c>
      <c r="H138" s="4" t="s">
        <v>216</v>
      </c>
      <c r="I138" s="4" t="s">
        <v>299</v>
      </c>
      <c r="J138" s="4" t="s">
        <v>286</v>
      </c>
      <c r="K138" s="58">
        <v>43404</v>
      </c>
      <c r="L138" s="4">
        <v>1</v>
      </c>
      <c r="M138" s="4" t="s">
        <v>219</v>
      </c>
      <c r="N138" s="4">
        <v>5</v>
      </c>
      <c r="O138" s="4" t="s">
        <v>409</v>
      </c>
      <c r="P138" s="59">
        <v>10728718.609999999</v>
      </c>
    </row>
    <row r="139" spans="2:16" x14ac:dyDescent="0.25">
      <c r="B139" s="4" t="s">
        <v>212</v>
      </c>
      <c r="C139" s="4">
        <v>2000003344</v>
      </c>
      <c r="D139" s="4" t="s">
        <v>325</v>
      </c>
      <c r="E139" s="4" t="s">
        <v>289</v>
      </c>
      <c r="F139" s="4">
        <v>16251100</v>
      </c>
      <c r="G139" s="4" t="s">
        <v>146</v>
      </c>
      <c r="H139" s="4" t="s">
        <v>216</v>
      </c>
      <c r="I139" s="4" t="s">
        <v>285</v>
      </c>
      <c r="J139" s="4" t="s">
        <v>286</v>
      </c>
      <c r="K139" s="58">
        <v>44280</v>
      </c>
      <c r="L139" s="4">
        <v>164</v>
      </c>
      <c r="M139" s="4" t="s">
        <v>219</v>
      </c>
      <c r="N139" s="4">
        <v>1</v>
      </c>
      <c r="O139" s="4" t="s">
        <v>292</v>
      </c>
      <c r="P139" s="59">
        <v>10627390.109999999</v>
      </c>
    </row>
    <row r="140" spans="2:16" x14ac:dyDescent="0.25">
      <c r="B140" s="4" t="s">
        <v>212</v>
      </c>
      <c r="C140" s="4">
        <v>1500003812</v>
      </c>
      <c r="D140" s="4" t="s">
        <v>410</v>
      </c>
      <c r="E140" s="4" t="s">
        <v>410</v>
      </c>
      <c r="F140" s="4">
        <v>16110100</v>
      </c>
      <c r="G140" s="4" t="s">
        <v>294</v>
      </c>
      <c r="H140" s="4" t="s">
        <v>216</v>
      </c>
      <c r="I140" s="4" t="s">
        <v>342</v>
      </c>
      <c r="J140" s="4" t="s">
        <v>286</v>
      </c>
      <c r="K140" s="58">
        <v>40550</v>
      </c>
      <c r="L140" s="4">
        <v>1</v>
      </c>
      <c r="M140" s="4" t="s">
        <v>219</v>
      </c>
      <c r="N140" s="4">
        <v>10</v>
      </c>
      <c r="O140" s="4" t="s">
        <v>411</v>
      </c>
      <c r="P140" s="59">
        <v>10570569.23</v>
      </c>
    </row>
    <row r="141" spans="2:16" x14ac:dyDescent="0.25">
      <c r="B141" s="4" t="s">
        <v>212</v>
      </c>
      <c r="C141" s="4">
        <v>1500024053</v>
      </c>
      <c r="D141" s="4" t="s">
        <v>412</v>
      </c>
      <c r="E141" s="4" t="s">
        <v>413</v>
      </c>
      <c r="F141" s="4">
        <v>16110100</v>
      </c>
      <c r="G141" s="4" t="s">
        <v>294</v>
      </c>
      <c r="H141" s="4" t="s">
        <v>216</v>
      </c>
      <c r="I141" s="4" t="s">
        <v>299</v>
      </c>
      <c r="J141" s="4" t="s">
        <v>286</v>
      </c>
      <c r="K141" s="58">
        <v>43326</v>
      </c>
      <c r="L141" s="4">
        <v>1</v>
      </c>
      <c r="M141" s="4" t="s">
        <v>219</v>
      </c>
      <c r="N141" s="4">
        <v>5</v>
      </c>
      <c r="O141" s="4" t="s">
        <v>409</v>
      </c>
      <c r="P141" s="59">
        <v>10518542.42</v>
      </c>
    </row>
    <row r="142" spans="2:16" x14ac:dyDescent="0.25">
      <c r="B142" s="4" t="s">
        <v>212</v>
      </c>
      <c r="C142" s="4">
        <v>1500024057</v>
      </c>
      <c r="D142" s="4" t="s">
        <v>412</v>
      </c>
      <c r="E142" s="4" t="s">
        <v>414</v>
      </c>
      <c r="F142" s="4">
        <v>16110100</v>
      </c>
      <c r="G142" s="4" t="s">
        <v>294</v>
      </c>
      <c r="H142" s="4" t="s">
        <v>216</v>
      </c>
      <c r="I142" s="4" t="s">
        <v>299</v>
      </c>
      <c r="J142" s="4" t="s">
        <v>286</v>
      </c>
      <c r="K142" s="58">
        <v>43326</v>
      </c>
      <c r="L142" s="4">
        <v>1</v>
      </c>
      <c r="M142" s="4" t="s">
        <v>219</v>
      </c>
      <c r="N142" s="4">
        <v>5</v>
      </c>
      <c r="O142" s="4" t="s">
        <v>409</v>
      </c>
      <c r="P142" s="59">
        <v>10513245.58</v>
      </c>
    </row>
    <row r="143" spans="2:16" x14ac:dyDescent="0.25">
      <c r="B143" s="4" t="s">
        <v>212</v>
      </c>
      <c r="C143" s="4">
        <v>1500024058</v>
      </c>
      <c r="D143" s="4" t="s">
        <v>412</v>
      </c>
      <c r="E143" s="4" t="s">
        <v>414</v>
      </c>
      <c r="F143" s="4">
        <v>16110100</v>
      </c>
      <c r="G143" s="4" t="s">
        <v>294</v>
      </c>
      <c r="H143" s="4" t="s">
        <v>216</v>
      </c>
      <c r="I143" s="4" t="s">
        <v>299</v>
      </c>
      <c r="J143" s="4" t="s">
        <v>286</v>
      </c>
      <c r="K143" s="58">
        <v>43326</v>
      </c>
      <c r="L143" s="4">
        <v>1</v>
      </c>
      <c r="M143" s="4" t="s">
        <v>219</v>
      </c>
      <c r="N143" s="4">
        <v>5</v>
      </c>
      <c r="O143" s="4" t="s">
        <v>409</v>
      </c>
      <c r="P143" s="59">
        <v>10513245.58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U34"/>
  <sheetViews>
    <sheetView workbookViewId="0">
      <selection activeCell="T10" sqref="T10:T19"/>
    </sheetView>
  </sheetViews>
  <sheetFormatPr defaultRowHeight="15" x14ac:dyDescent="0.25"/>
  <cols>
    <col min="7" max="7" width="17.5703125" bestFit="1" customWidth="1"/>
    <col min="8" max="8" width="14.7109375" bestFit="1" customWidth="1"/>
    <col min="9" max="9" width="16.7109375" bestFit="1" customWidth="1"/>
    <col min="11" max="11" width="11" customWidth="1"/>
    <col min="13" max="13" width="9.85546875" customWidth="1"/>
    <col min="20" max="20" width="18.5703125" bestFit="1" customWidth="1"/>
    <col min="21" max="21" width="15.85546875" bestFit="1" customWidth="1"/>
  </cols>
  <sheetData>
    <row r="6" spans="3:21" x14ac:dyDescent="0.25">
      <c r="C6" s="245" t="s">
        <v>479</v>
      </c>
      <c r="D6" s="246"/>
      <c r="E6" s="246"/>
      <c r="F6" s="246"/>
      <c r="G6" s="246"/>
      <c r="H6" s="246"/>
      <c r="I6" s="246"/>
      <c r="J6" s="246"/>
      <c r="K6" s="246"/>
      <c r="L6" s="246"/>
      <c r="M6" s="246"/>
      <c r="N6" s="246"/>
      <c r="O6" s="247"/>
    </row>
    <row r="7" spans="3:21" ht="30" x14ac:dyDescent="0.25">
      <c r="C7" s="266" t="s">
        <v>25</v>
      </c>
      <c r="D7" s="89" t="s">
        <v>0</v>
      </c>
      <c r="E7" s="89" t="s">
        <v>1</v>
      </c>
      <c r="F7" s="89" t="s">
        <v>2</v>
      </c>
      <c r="G7" s="262" t="s">
        <v>3</v>
      </c>
      <c r="H7" s="262" t="s">
        <v>4</v>
      </c>
      <c r="I7" s="262" t="s">
        <v>5</v>
      </c>
      <c r="J7" s="262"/>
      <c r="K7" s="262" t="s">
        <v>6</v>
      </c>
      <c r="L7" s="262" t="s">
        <v>7</v>
      </c>
      <c r="M7" s="262" t="s">
        <v>8</v>
      </c>
      <c r="N7" s="262" t="s">
        <v>9</v>
      </c>
      <c r="O7" s="262" t="s">
        <v>10</v>
      </c>
    </row>
    <row r="8" spans="3:21" ht="30" x14ac:dyDescent="0.25">
      <c r="C8" s="267"/>
      <c r="D8" s="89"/>
      <c r="E8" s="89"/>
      <c r="F8" s="89"/>
      <c r="G8" s="262"/>
      <c r="H8" s="262"/>
      <c r="I8" s="89" t="s">
        <v>11</v>
      </c>
      <c r="J8" s="89" t="s">
        <v>12</v>
      </c>
      <c r="K8" s="262"/>
      <c r="L8" s="262"/>
      <c r="M8" s="262"/>
      <c r="N8" s="262"/>
      <c r="O8" s="262"/>
    </row>
    <row r="9" spans="3:21" x14ac:dyDescent="0.25">
      <c r="C9" s="1">
        <v>1</v>
      </c>
      <c r="D9" s="1" t="s">
        <v>13</v>
      </c>
      <c r="E9" s="1" t="s">
        <v>14</v>
      </c>
      <c r="F9" s="1">
        <v>2018</v>
      </c>
      <c r="G9" s="1">
        <v>46.46</v>
      </c>
      <c r="H9" s="1">
        <v>1399.99</v>
      </c>
      <c r="I9" s="1">
        <v>220.17</v>
      </c>
      <c r="J9" s="1">
        <v>549.16999999999996</v>
      </c>
      <c r="K9" s="1">
        <v>94.26</v>
      </c>
      <c r="L9" s="1"/>
      <c r="M9" s="1"/>
      <c r="N9" s="1"/>
      <c r="O9" s="2">
        <f>SUM(G9:N9)</f>
        <v>2310.0500000000002</v>
      </c>
      <c r="S9">
        <f>H20</f>
        <v>1915.3600000000001</v>
      </c>
    </row>
    <row r="10" spans="3:21" x14ac:dyDescent="0.25">
      <c r="C10" s="1">
        <v>2</v>
      </c>
      <c r="D10" s="1" t="s">
        <v>15</v>
      </c>
      <c r="E10" s="1" t="s">
        <v>16</v>
      </c>
      <c r="F10" s="1">
        <v>2018</v>
      </c>
      <c r="G10" s="1">
        <v>0.56000000000000005</v>
      </c>
      <c r="H10" s="1">
        <v>68.62</v>
      </c>
      <c r="I10" s="1">
        <v>36.31</v>
      </c>
      <c r="J10" s="1">
        <v>81.3</v>
      </c>
      <c r="K10" s="1">
        <v>18.5</v>
      </c>
      <c r="L10" s="1"/>
      <c r="M10" s="1"/>
      <c r="N10" s="1"/>
      <c r="O10" s="2">
        <f t="shared" ref="O10:O19" si="0">SUM(G10:N10)</f>
        <v>205.29000000000002</v>
      </c>
      <c r="S10" s="227">
        <f>H9/$S$9</f>
        <v>0.73092786734608628</v>
      </c>
      <c r="T10" s="225">
        <f>S10*$T$20</f>
        <v>6401749232.0457668</v>
      </c>
      <c r="U10" s="31">
        <f>SUM(T10:T19)</f>
        <v>8758387137.8303986</v>
      </c>
    </row>
    <row r="11" spans="3:21" x14ac:dyDescent="0.25">
      <c r="C11" s="1">
        <v>3</v>
      </c>
      <c r="D11" s="1" t="s">
        <v>17</v>
      </c>
      <c r="E11" s="1" t="s">
        <v>18</v>
      </c>
      <c r="F11" s="1">
        <v>2019</v>
      </c>
      <c r="G11" s="1">
        <v>0.21</v>
      </c>
      <c r="H11" s="1">
        <v>7.23</v>
      </c>
      <c r="I11" s="1">
        <v>4.8899999999999997</v>
      </c>
      <c r="J11" s="1">
        <v>169.03</v>
      </c>
      <c r="K11" s="1">
        <v>21.31</v>
      </c>
      <c r="L11" s="1"/>
      <c r="M11" s="1"/>
      <c r="N11" s="1"/>
      <c r="O11" s="2">
        <f t="shared" si="0"/>
        <v>202.67000000000002</v>
      </c>
      <c r="S11" s="227">
        <f t="shared" ref="S11:S19" si="1">H10/$S$9</f>
        <v>3.5826163227800516E-2</v>
      </c>
      <c r="T11" s="225">
        <f t="shared" ref="T11:T19" si="2">S11*$T$20</f>
        <v>313779407.2121805</v>
      </c>
    </row>
    <row r="12" spans="3:21" x14ac:dyDescent="0.25">
      <c r="C12" s="1">
        <v>4</v>
      </c>
      <c r="D12" s="1" t="s">
        <v>19</v>
      </c>
      <c r="E12" s="1" t="s">
        <v>20</v>
      </c>
      <c r="F12" s="1">
        <v>2019</v>
      </c>
      <c r="G12" s="1"/>
      <c r="H12" s="1">
        <v>1.8</v>
      </c>
      <c r="I12" s="1">
        <v>24.45</v>
      </c>
      <c r="J12" s="1">
        <v>28.19</v>
      </c>
      <c r="K12" s="1">
        <v>2.31</v>
      </c>
      <c r="L12" s="1"/>
      <c r="M12" s="1"/>
      <c r="N12" s="1"/>
      <c r="O12" s="2">
        <f t="shared" si="0"/>
        <v>56.75</v>
      </c>
      <c r="S12" s="100">
        <f t="shared" si="1"/>
        <v>3.7747473059894744E-3</v>
      </c>
      <c r="T12" s="225">
        <f t="shared" si="2"/>
        <v>33060698.253338166</v>
      </c>
    </row>
    <row r="13" spans="3:21" x14ac:dyDescent="0.25">
      <c r="C13" s="1">
        <v>5</v>
      </c>
      <c r="D13" s="1" t="s">
        <v>13</v>
      </c>
      <c r="E13" s="1" t="s">
        <v>14</v>
      </c>
      <c r="F13" s="1">
        <v>2019</v>
      </c>
      <c r="G13" s="1"/>
      <c r="H13" s="1">
        <v>20.079999999999998</v>
      </c>
      <c r="I13" s="1">
        <v>1.81</v>
      </c>
      <c r="J13" s="1">
        <v>76.37</v>
      </c>
      <c r="K13" s="1">
        <v>1.76</v>
      </c>
      <c r="L13" s="1"/>
      <c r="M13" s="1"/>
      <c r="N13" s="1"/>
      <c r="O13" s="2">
        <f t="shared" si="0"/>
        <v>100.02000000000001</v>
      </c>
      <c r="S13" s="100">
        <f t="shared" si="1"/>
        <v>9.3977111352435045E-4</v>
      </c>
      <c r="T13" s="225">
        <f t="shared" si="2"/>
        <v>8230879.2331962241</v>
      </c>
    </row>
    <row r="14" spans="3:21" x14ac:dyDescent="0.25">
      <c r="C14" s="1">
        <v>6</v>
      </c>
      <c r="D14" s="1" t="s">
        <v>15</v>
      </c>
      <c r="E14" s="1" t="s">
        <v>16</v>
      </c>
      <c r="F14" s="1">
        <v>2019</v>
      </c>
      <c r="G14" s="1">
        <v>1.61</v>
      </c>
      <c r="H14" s="1">
        <v>399.3</v>
      </c>
      <c r="I14" s="1">
        <v>25.85</v>
      </c>
      <c r="J14" s="1">
        <v>23.48</v>
      </c>
      <c r="K14" s="1">
        <v>9.73</v>
      </c>
      <c r="L14" s="1"/>
      <c r="M14" s="1"/>
      <c r="N14" s="1"/>
      <c r="O14" s="2">
        <f t="shared" si="0"/>
        <v>459.97000000000008</v>
      </c>
      <c r="S14" s="226">
        <f t="shared" si="1"/>
        <v>1.0483668866427197E-2</v>
      </c>
      <c r="T14" s="225">
        <f t="shared" si="2"/>
        <v>91820030.556988984</v>
      </c>
    </row>
    <row r="15" spans="3:21" x14ac:dyDescent="0.25">
      <c r="C15" s="1">
        <v>7</v>
      </c>
      <c r="D15" s="1" t="s">
        <v>17</v>
      </c>
      <c r="E15" s="1" t="s">
        <v>18</v>
      </c>
      <c r="F15" s="1">
        <v>2020</v>
      </c>
      <c r="G15" s="1"/>
      <c r="H15" s="1"/>
      <c r="I15" s="1">
        <v>1.88</v>
      </c>
      <c r="J15" s="1">
        <v>25.36</v>
      </c>
      <c r="K15" s="1">
        <v>0.7</v>
      </c>
      <c r="L15" s="1"/>
      <c r="M15" s="1"/>
      <c r="N15" s="1"/>
      <c r="O15" s="2">
        <f t="shared" si="0"/>
        <v>27.939999999999998</v>
      </c>
      <c r="S15" s="100">
        <f t="shared" si="1"/>
        <v>0.20847255868348508</v>
      </c>
      <c r="T15" s="225">
        <f t="shared" si="2"/>
        <v>1825883376.564029</v>
      </c>
    </row>
    <row r="16" spans="3:21" x14ac:dyDescent="0.25">
      <c r="C16" s="1">
        <v>8</v>
      </c>
      <c r="D16" s="1" t="s">
        <v>19</v>
      </c>
      <c r="E16" s="1" t="s">
        <v>20</v>
      </c>
      <c r="F16" s="1">
        <v>2020</v>
      </c>
      <c r="G16" s="1"/>
      <c r="H16" s="1">
        <v>14.9</v>
      </c>
      <c r="I16" s="1">
        <v>0.71</v>
      </c>
      <c r="J16" s="1">
        <v>16.53</v>
      </c>
      <c r="K16" s="1">
        <v>0.06</v>
      </c>
      <c r="L16" s="1"/>
      <c r="M16" s="1"/>
      <c r="N16" s="1"/>
      <c r="O16" s="2">
        <f t="shared" si="0"/>
        <v>32.200000000000003</v>
      </c>
      <c r="S16" s="100">
        <f t="shared" si="1"/>
        <v>0</v>
      </c>
      <c r="T16" s="225">
        <f t="shared" si="2"/>
        <v>0</v>
      </c>
    </row>
    <row r="17" spans="3:20" x14ac:dyDescent="0.25">
      <c r="C17" s="1">
        <v>9</v>
      </c>
      <c r="D17" s="1" t="s">
        <v>13</v>
      </c>
      <c r="E17" s="1" t="s">
        <v>14</v>
      </c>
      <c r="F17" s="1">
        <v>2020</v>
      </c>
      <c r="G17" s="1"/>
      <c r="H17" s="1"/>
      <c r="I17" s="1">
        <v>0.84</v>
      </c>
      <c r="J17" s="1">
        <v>24.14</v>
      </c>
      <c r="K17" s="1">
        <v>1</v>
      </c>
      <c r="L17" s="1"/>
      <c r="M17" s="1"/>
      <c r="N17" s="1"/>
      <c r="O17" s="2">
        <f t="shared" si="0"/>
        <v>25.98</v>
      </c>
      <c r="S17" s="226">
        <f t="shared" si="1"/>
        <v>7.7792164397293452E-3</v>
      </c>
      <c r="T17" s="225">
        <f t="shared" si="2"/>
        <v>68133389.208124295</v>
      </c>
    </row>
    <row r="18" spans="3:20" x14ac:dyDescent="0.25">
      <c r="C18" s="1">
        <v>10</v>
      </c>
      <c r="D18" s="1" t="s">
        <v>15</v>
      </c>
      <c r="E18" s="1" t="s">
        <v>16</v>
      </c>
      <c r="F18" s="1">
        <v>2020</v>
      </c>
      <c r="G18" s="1">
        <v>0.09</v>
      </c>
      <c r="H18" s="1">
        <v>3.44</v>
      </c>
      <c r="I18" s="1">
        <v>3.66</v>
      </c>
      <c r="J18" s="1">
        <v>29.68</v>
      </c>
      <c r="K18" s="1">
        <v>0.56999999999999995</v>
      </c>
      <c r="L18" s="1"/>
      <c r="M18" s="1"/>
      <c r="N18" s="1"/>
      <c r="O18" s="2">
        <f>SUM(G18:N18)</f>
        <v>37.44</v>
      </c>
      <c r="S18" s="100">
        <f t="shared" si="1"/>
        <v>0</v>
      </c>
      <c r="T18" s="225">
        <f t="shared" si="2"/>
        <v>0</v>
      </c>
    </row>
    <row r="19" spans="3:20" x14ac:dyDescent="0.25">
      <c r="C19" s="1">
        <v>11</v>
      </c>
      <c r="D19" s="1" t="s">
        <v>17</v>
      </c>
      <c r="E19" s="1" t="s">
        <v>18</v>
      </c>
      <c r="F19" s="1">
        <v>2021</v>
      </c>
      <c r="G19" s="1"/>
      <c r="H19" s="1"/>
      <c r="I19" s="1">
        <v>8.68</v>
      </c>
      <c r="J19" s="1">
        <v>194.53</v>
      </c>
      <c r="K19" s="1">
        <v>1.91</v>
      </c>
      <c r="L19" s="1"/>
      <c r="M19" s="1"/>
      <c r="N19" s="1"/>
      <c r="O19" s="2">
        <f t="shared" si="0"/>
        <v>205.12</v>
      </c>
      <c r="S19" s="227">
        <f t="shared" si="1"/>
        <v>1.7960070169576476E-3</v>
      </c>
      <c r="T19" s="225">
        <f t="shared" si="2"/>
        <v>15730124.756775007</v>
      </c>
    </row>
    <row r="20" spans="3:20" x14ac:dyDescent="0.25">
      <c r="C20" s="263" t="s">
        <v>21</v>
      </c>
      <c r="D20" s="263"/>
      <c r="E20" s="263"/>
      <c r="F20" s="263"/>
      <c r="G20" s="3">
        <f>SUM(G9:G19)</f>
        <v>48.930000000000007</v>
      </c>
      <c r="H20" s="3">
        <f t="shared" ref="H20:O20" si="3">SUM(H9:H19)</f>
        <v>1915.3600000000001</v>
      </c>
      <c r="I20" s="3">
        <f t="shared" si="3"/>
        <v>329.25</v>
      </c>
      <c r="J20" s="3">
        <f t="shared" si="3"/>
        <v>1217.78</v>
      </c>
      <c r="K20" s="3">
        <f t="shared" si="3"/>
        <v>152.10999999999996</v>
      </c>
      <c r="L20" s="3"/>
      <c r="M20" s="3"/>
      <c r="N20" s="3"/>
      <c r="O20" s="3">
        <f t="shared" si="3"/>
        <v>3663.4300000000003</v>
      </c>
      <c r="T20" s="225">
        <f>'Building Constrcution Sheet'!K36</f>
        <v>8758387137.8304005</v>
      </c>
    </row>
    <row r="21" spans="3:20" x14ac:dyDescent="0.25">
      <c r="C21" s="263"/>
      <c r="D21" s="263"/>
      <c r="E21" s="263"/>
      <c r="F21" s="263"/>
      <c r="G21" s="264">
        <f>SUM(G20:H20)</f>
        <v>1964.2900000000002</v>
      </c>
      <c r="H21" s="265"/>
      <c r="I21" s="263">
        <f>SUM(I20:K20)</f>
        <v>1699.1399999999999</v>
      </c>
      <c r="J21" s="263"/>
      <c r="K21" s="263"/>
      <c r="L21" s="1"/>
      <c r="M21" s="1"/>
      <c r="N21" s="1"/>
      <c r="O21" s="4"/>
    </row>
    <row r="24" spans="3:20" x14ac:dyDescent="0.25">
      <c r="F24" s="24" t="s">
        <v>25</v>
      </c>
      <c r="G24" s="258" t="s">
        <v>26</v>
      </c>
      <c r="H24" s="258"/>
      <c r="I24" s="24" t="s">
        <v>27</v>
      </c>
    </row>
    <row r="25" spans="3:20" x14ac:dyDescent="0.25">
      <c r="F25" s="1">
        <v>1</v>
      </c>
      <c r="G25" s="251" t="s">
        <v>34</v>
      </c>
      <c r="H25" s="252"/>
      <c r="I25" s="4">
        <v>48.93</v>
      </c>
    </row>
    <row r="26" spans="3:20" x14ac:dyDescent="0.25">
      <c r="F26" s="1">
        <v>2</v>
      </c>
      <c r="G26" s="251" t="s">
        <v>29</v>
      </c>
      <c r="H26" s="252"/>
      <c r="I26" s="4">
        <v>1915.36</v>
      </c>
    </row>
    <row r="27" spans="3:20" x14ac:dyDescent="0.25">
      <c r="F27" s="259">
        <v>3</v>
      </c>
      <c r="G27" s="261" t="s">
        <v>28</v>
      </c>
      <c r="H27" s="9" t="s">
        <v>35</v>
      </c>
      <c r="I27" s="4">
        <v>329.25</v>
      </c>
    </row>
    <row r="28" spans="3:20" x14ac:dyDescent="0.25">
      <c r="F28" s="260"/>
      <c r="G28" s="261"/>
      <c r="H28" s="9" t="s">
        <v>12</v>
      </c>
      <c r="I28" s="4">
        <v>1217.78</v>
      </c>
    </row>
    <row r="29" spans="3:20" x14ac:dyDescent="0.25">
      <c r="F29" s="1">
        <v>4</v>
      </c>
      <c r="G29" s="251" t="s">
        <v>31</v>
      </c>
      <c r="H29" s="252"/>
      <c r="I29" s="4">
        <v>152.11000000000001</v>
      </c>
    </row>
    <row r="30" spans="3:20" x14ac:dyDescent="0.25">
      <c r="F30" s="1">
        <v>5</v>
      </c>
      <c r="G30" s="251" t="s">
        <v>33</v>
      </c>
      <c r="H30" s="252"/>
      <c r="I30" s="4">
        <v>0</v>
      </c>
    </row>
    <row r="31" spans="3:20" x14ac:dyDescent="0.25">
      <c r="F31" s="1">
        <v>6</v>
      </c>
      <c r="G31" s="253" t="s">
        <v>30</v>
      </c>
      <c r="H31" s="254"/>
      <c r="I31" s="4">
        <v>0</v>
      </c>
    </row>
    <row r="32" spans="3:20" x14ac:dyDescent="0.25">
      <c r="F32" s="1">
        <v>7</v>
      </c>
      <c r="G32" s="253" t="s">
        <v>32</v>
      </c>
      <c r="H32" s="254"/>
      <c r="I32" s="4">
        <v>0</v>
      </c>
    </row>
    <row r="33" spans="6:9" x14ac:dyDescent="0.25">
      <c r="F33" s="255"/>
      <c r="G33" s="256"/>
      <c r="H33" s="256"/>
      <c r="I33" s="257"/>
    </row>
    <row r="34" spans="6:9" x14ac:dyDescent="0.25">
      <c r="F34" s="248" t="s">
        <v>21</v>
      </c>
      <c r="G34" s="249"/>
      <c r="H34" s="250"/>
      <c r="I34" s="2">
        <f>SUM(I25:I32)</f>
        <v>3663.43</v>
      </c>
    </row>
  </sheetData>
  <mergeCells count="24">
    <mergeCell ref="L7:L8"/>
    <mergeCell ref="M7:M8"/>
    <mergeCell ref="C7:C8"/>
    <mergeCell ref="I21:K21"/>
    <mergeCell ref="G7:G8"/>
    <mergeCell ref="H7:H8"/>
    <mergeCell ref="I7:J7"/>
    <mergeCell ref="K7:K8"/>
    <mergeCell ref="C6:O6"/>
    <mergeCell ref="F34:H34"/>
    <mergeCell ref="G29:H29"/>
    <mergeCell ref="G30:H30"/>
    <mergeCell ref="G31:H31"/>
    <mergeCell ref="G32:H32"/>
    <mergeCell ref="F33:I33"/>
    <mergeCell ref="G24:H24"/>
    <mergeCell ref="G25:H25"/>
    <mergeCell ref="G26:H26"/>
    <mergeCell ref="F27:F28"/>
    <mergeCell ref="G27:G28"/>
    <mergeCell ref="N7:N8"/>
    <mergeCell ref="O7:O8"/>
    <mergeCell ref="C20:F21"/>
    <mergeCell ref="G21:H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R78"/>
  <sheetViews>
    <sheetView topLeftCell="A70" workbookViewId="0">
      <selection activeCell="C74" sqref="C74:L78"/>
    </sheetView>
  </sheetViews>
  <sheetFormatPr defaultRowHeight="15" x14ac:dyDescent="0.25"/>
  <cols>
    <col min="3" max="3" width="41.140625" customWidth="1"/>
    <col min="5" max="5" width="10.7109375" customWidth="1"/>
    <col min="6" max="6" width="11.5703125" customWidth="1"/>
    <col min="10" max="10" width="10" customWidth="1"/>
    <col min="17" max="17" width="18.5703125" bestFit="1" customWidth="1"/>
    <col min="18" max="18" width="10.5703125" bestFit="1" customWidth="1"/>
  </cols>
  <sheetData>
    <row r="4" spans="3:18" x14ac:dyDescent="0.25">
      <c r="C4" s="268" t="s">
        <v>466</v>
      </c>
      <c r="D4" s="268"/>
      <c r="E4" s="268"/>
      <c r="F4" s="268"/>
      <c r="G4" s="268"/>
      <c r="H4" s="268"/>
      <c r="I4" s="268"/>
      <c r="J4" s="268"/>
      <c r="K4" s="268"/>
      <c r="L4" s="268"/>
    </row>
    <row r="5" spans="3:18" x14ac:dyDescent="0.25">
      <c r="C5" s="262"/>
      <c r="D5" s="262" t="s">
        <v>3</v>
      </c>
      <c r="E5" s="262" t="s">
        <v>4</v>
      </c>
      <c r="F5" s="262" t="s">
        <v>5</v>
      </c>
      <c r="G5" s="262"/>
      <c r="H5" s="262" t="s">
        <v>6</v>
      </c>
      <c r="I5" s="262" t="s">
        <v>7</v>
      </c>
      <c r="J5" s="262" t="s">
        <v>8</v>
      </c>
      <c r="K5" s="262" t="s">
        <v>9</v>
      </c>
      <c r="L5" s="262" t="s">
        <v>10</v>
      </c>
    </row>
    <row r="6" spans="3:18" ht="30" x14ac:dyDescent="0.25">
      <c r="C6" s="262"/>
      <c r="D6" s="262"/>
      <c r="E6" s="262"/>
      <c r="F6" s="209" t="s">
        <v>11</v>
      </c>
      <c r="G6" s="209" t="s">
        <v>12</v>
      </c>
      <c r="H6" s="262"/>
      <c r="I6" s="262"/>
      <c r="J6" s="262"/>
      <c r="K6" s="262"/>
      <c r="L6" s="262"/>
    </row>
    <row r="7" spans="3:18" x14ac:dyDescent="0.25">
      <c r="C7" s="231" t="s">
        <v>467</v>
      </c>
      <c r="D7" s="1">
        <v>46.46</v>
      </c>
      <c r="E7" s="1">
        <v>1399.99</v>
      </c>
      <c r="F7" s="1">
        <v>220.17</v>
      </c>
      <c r="G7" s="1">
        <v>549.16999999999996</v>
      </c>
      <c r="H7" s="1">
        <v>94.26</v>
      </c>
      <c r="I7" s="1"/>
      <c r="J7" s="1"/>
      <c r="K7" s="1"/>
      <c r="L7" s="210">
        <f>SUM(D7:K7)</f>
        <v>2310.0500000000002</v>
      </c>
    </row>
    <row r="8" spans="3:18" ht="30" x14ac:dyDescent="0.25">
      <c r="C8" s="231" t="s">
        <v>468</v>
      </c>
      <c r="D8" s="1">
        <f>D7</f>
        <v>46.46</v>
      </c>
      <c r="E8" s="228">
        <f>R8</f>
        <v>640.17492320457666</v>
      </c>
      <c r="F8" s="1">
        <v>220.17</v>
      </c>
      <c r="G8" s="1">
        <v>549.16999999999996</v>
      </c>
      <c r="H8" s="1">
        <v>94.26</v>
      </c>
      <c r="I8" s="1"/>
      <c r="J8" s="1"/>
      <c r="K8" s="1"/>
      <c r="L8" s="232">
        <f>SUM(D8:K8)</f>
        <v>1550.2349232045765</v>
      </c>
      <c r="O8" s="80"/>
      <c r="Q8" s="23">
        <v>6401749232.0457668</v>
      </c>
      <c r="R8" s="32">
        <f>Q8/10^7</f>
        <v>640.17492320457666</v>
      </c>
    </row>
    <row r="9" spans="3:18" x14ac:dyDescent="0.25">
      <c r="C9" s="229"/>
      <c r="D9" s="229"/>
      <c r="E9" s="229"/>
      <c r="F9" s="229"/>
      <c r="G9" s="229"/>
      <c r="H9" s="229"/>
      <c r="I9" s="229"/>
      <c r="J9" s="229"/>
      <c r="K9" s="229"/>
      <c r="L9" s="229"/>
      <c r="Q9" s="23">
        <v>313779407.2121805</v>
      </c>
      <c r="R9" s="32">
        <f t="shared" ref="R9:R17" si="0">Q9/10^7</f>
        <v>31.377940721218049</v>
      </c>
    </row>
    <row r="10" spans="3:18" x14ac:dyDescent="0.25">
      <c r="C10" s="229"/>
      <c r="D10" s="229"/>
      <c r="E10" s="229"/>
      <c r="F10" s="229"/>
      <c r="G10" s="229"/>
      <c r="H10" s="229"/>
      <c r="I10" s="229"/>
      <c r="J10" s="229"/>
      <c r="K10" s="229"/>
      <c r="L10" s="229"/>
      <c r="Q10" s="23">
        <v>33060698.253338166</v>
      </c>
      <c r="R10" s="32">
        <f t="shared" si="0"/>
        <v>3.3060698253338168</v>
      </c>
    </row>
    <row r="11" spans="3:18" x14ac:dyDescent="0.25">
      <c r="C11" s="268" t="s">
        <v>469</v>
      </c>
      <c r="D11" s="268"/>
      <c r="E11" s="268"/>
      <c r="F11" s="268"/>
      <c r="G11" s="268"/>
      <c r="H11" s="268"/>
      <c r="I11" s="268"/>
      <c r="J11" s="268"/>
      <c r="K11" s="268"/>
      <c r="L11" s="268"/>
      <c r="Q11" s="23">
        <v>8230879.2331962241</v>
      </c>
      <c r="R11" s="32">
        <f t="shared" si="0"/>
        <v>0.82308792331962244</v>
      </c>
    </row>
    <row r="12" spans="3:18" x14ac:dyDescent="0.25">
      <c r="C12" s="262"/>
      <c r="D12" s="262" t="s">
        <v>3</v>
      </c>
      <c r="E12" s="262" t="s">
        <v>4</v>
      </c>
      <c r="F12" s="262" t="s">
        <v>5</v>
      </c>
      <c r="G12" s="262"/>
      <c r="H12" s="262" t="s">
        <v>6</v>
      </c>
      <c r="I12" s="262" t="s">
        <v>7</v>
      </c>
      <c r="J12" s="262" t="s">
        <v>8</v>
      </c>
      <c r="K12" s="262" t="s">
        <v>9</v>
      </c>
      <c r="L12" s="262" t="s">
        <v>10</v>
      </c>
      <c r="Q12" s="23">
        <v>91820030.556988984</v>
      </c>
      <c r="R12" s="32">
        <f t="shared" si="0"/>
        <v>9.1820030556988979</v>
      </c>
    </row>
    <row r="13" spans="3:18" ht="30" x14ac:dyDescent="0.25">
      <c r="C13" s="262"/>
      <c r="D13" s="262"/>
      <c r="E13" s="262"/>
      <c r="F13" s="209" t="s">
        <v>11</v>
      </c>
      <c r="G13" s="209" t="s">
        <v>12</v>
      </c>
      <c r="H13" s="262"/>
      <c r="I13" s="262"/>
      <c r="J13" s="262"/>
      <c r="K13" s="262"/>
      <c r="L13" s="262"/>
      <c r="Q13" s="23">
        <v>1825883376.564029</v>
      </c>
      <c r="R13" s="32">
        <f t="shared" si="0"/>
        <v>182.5883376564029</v>
      </c>
    </row>
    <row r="14" spans="3:18" x14ac:dyDescent="0.25">
      <c r="C14" s="231" t="s">
        <v>467</v>
      </c>
      <c r="D14" s="1">
        <v>0.56000000000000005</v>
      </c>
      <c r="E14" s="1">
        <v>68.62</v>
      </c>
      <c r="F14" s="1">
        <v>36.31</v>
      </c>
      <c r="G14" s="1">
        <v>81.3</v>
      </c>
      <c r="H14" s="1">
        <v>18.5</v>
      </c>
      <c r="I14" s="1"/>
      <c r="J14" s="1"/>
      <c r="K14" s="1"/>
      <c r="L14" s="210">
        <f t="shared" ref="L14" si="1">SUM(D14:K14)</f>
        <v>205.29000000000002</v>
      </c>
      <c r="Q14" s="23">
        <v>0</v>
      </c>
      <c r="R14" s="32">
        <f t="shared" si="0"/>
        <v>0</v>
      </c>
    </row>
    <row r="15" spans="3:18" ht="30" x14ac:dyDescent="0.25">
      <c r="C15" s="231" t="s">
        <v>468</v>
      </c>
      <c r="D15" s="1">
        <f>D14</f>
        <v>0.56000000000000005</v>
      </c>
      <c r="E15" s="228">
        <f>R9</f>
        <v>31.377940721218049</v>
      </c>
      <c r="F15" s="1">
        <v>36.31</v>
      </c>
      <c r="G15" s="1">
        <v>81.3</v>
      </c>
      <c r="H15" s="1">
        <v>18.5</v>
      </c>
      <c r="I15" s="1"/>
      <c r="J15" s="1"/>
      <c r="K15" s="1"/>
      <c r="L15" s="232">
        <f>SUM(D15:K15)</f>
        <v>168.04794072121803</v>
      </c>
      <c r="Q15" s="23">
        <v>68133389.208124295</v>
      </c>
      <c r="R15" s="32">
        <f t="shared" si="0"/>
        <v>6.8133389208124298</v>
      </c>
    </row>
    <row r="16" spans="3:18" x14ac:dyDescent="0.25">
      <c r="C16" s="229"/>
      <c r="D16" s="229"/>
      <c r="E16" s="229"/>
      <c r="F16" s="229"/>
      <c r="G16" s="229"/>
      <c r="H16" s="229"/>
      <c r="I16" s="229"/>
      <c r="J16" s="229"/>
      <c r="K16" s="229"/>
      <c r="L16" s="229"/>
      <c r="Q16" s="23">
        <v>0</v>
      </c>
      <c r="R16" s="32">
        <f t="shared" si="0"/>
        <v>0</v>
      </c>
    </row>
    <row r="17" spans="3:18" x14ac:dyDescent="0.25">
      <c r="C17" s="229"/>
      <c r="D17" s="229"/>
      <c r="E17" s="229"/>
      <c r="F17" s="229"/>
      <c r="G17" s="229"/>
      <c r="H17" s="229"/>
      <c r="I17" s="229"/>
      <c r="J17" s="229"/>
      <c r="K17" s="229"/>
      <c r="L17" s="229"/>
      <c r="Q17" s="23">
        <v>15730124.756775007</v>
      </c>
      <c r="R17" s="32">
        <f t="shared" si="0"/>
        <v>1.5730124756775006</v>
      </c>
    </row>
    <row r="18" spans="3:18" x14ac:dyDescent="0.25">
      <c r="C18" s="268" t="s">
        <v>470</v>
      </c>
      <c r="D18" s="268"/>
      <c r="E18" s="268"/>
      <c r="F18" s="268"/>
      <c r="G18" s="268"/>
      <c r="H18" s="268"/>
      <c r="I18" s="268"/>
      <c r="J18" s="268"/>
      <c r="K18" s="268"/>
      <c r="L18" s="268"/>
      <c r="Q18" s="31">
        <f>'Building Constrcution Sheet'!K36</f>
        <v>8758387137.8304005</v>
      </c>
    </row>
    <row r="19" spans="3:18" x14ac:dyDescent="0.25">
      <c r="C19" s="262"/>
      <c r="D19" s="262" t="s">
        <v>3</v>
      </c>
      <c r="E19" s="262" t="s">
        <v>4</v>
      </c>
      <c r="F19" s="262" t="s">
        <v>5</v>
      </c>
      <c r="G19" s="262"/>
      <c r="H19" s="262" t="s">
        <v>6</v>
      </c>
      <c r="I19" s="262" t="s">
        <v>7</v>
      </c>
      <c r="J19" s="262" t="s">
        <v>8</v>
      </c>
      <c r="K19" s="262" t="s">
        <v>9</v>
      </c>
      <c r="L19" s="262" t="s">
        <v>10</v>
      </c>
    </row>
    <row r="20" spans="3:18" ht="30" x14ac:dyDescent="0.25">
      <c r="C20" s="262"/>
      <c r="D20" s="262"/>
      <c r="E20" s="262"/>
      <c r="F20" s="209" t="s">
        <v>11</v>
      </c>
      <c r="G20" s="209" t="s">
        <v>12</v>
      </c>
      <c r="H20" s="262"/>
      <c r="I20" s="262"/>
      <c r="J20" s="262"/>
      <c r="K20" s="262"/>
      <c r="L20" s="262"/>
    </row>
    <row r="21" spans="3:18" x14ac:dyDescent="0.25">
      <c r="C21" s="231" t="s">
        <v>467</v>
      </c>
      <c r="D21" s="1">
        <v>0.21</v>
      </c>
      <c r="E21" s="1">
        <v>7.23</v>
      </c>
      <c r="F21" s="1">
        <v>4.8899999999999997</v>
      </c>
      <c r="G21" s="1">
        <v>169.03</v>
      </c>
      <c r="H21" s="1">
        <v>21.31</v>
      </c>
      <c r="I21" s="1"/>
      <c r="J21" s="1"/>
      <c r="K21" s="1"/>
      <c r="L21" s="210">
        <f t="shared" ref="L21:L22" si="2">SUM(D21:K21)</f>
        <v>202.67000000000002</v>
      </c>
    </row>
    <row r="22" spans="3:18" ht="30" x14ac:dyDescent="0.25">
      <c r="C22" s="231" t="s">
        <v>468</v>
      </c>
      <c r="D22" s="1">
        <f>D21</f>
        <v>0.21</v>
      </c>
      <c r="E22" s="228">
        <f>R10</f>
        <v>3.3060698253338168</v>
      </c>
      <c r="F22" s="1">
        <v>4.8899999999999997</v>
      </c>
      <c r="G22" s="1">
        <v>169.03</v>
      </c>
      <c r="H22" s="1">
        <v>21.31</v>
      </c>
      <c r="I22" s="1"/>
      <c r="J22" s="1"/>
      <c r="K22" s="1"/>
      <c r="L22" s="232">
        <f t="shared" si="2"/>
        <v>198.74606982533382</v>
      </c>
    </row>
    <row r="23" spans="3:18" x14ac:dyDescent="0.25">
      <c r="C23" s="229"/>
      <c r="D23" s="229"/>
      <c r="E23" s="229"/>
      <c r="F23" s="229"/>
      <c r="G23" s="229"/>
      <c r="H23" s="229"/>
      <c r="I23" s="229"/>
      <c r="J23" s="229"/>
      <c r="K23" s="229"/>
      <c r="L23" s="229"/>
    </row>
    <row r="24" spans="3:18" x14ac:dyDescent="0.25">
      <c r="C24" s="229"/>
      <c r="D24" s="229"/>
      <c r="E24" s="229"/>
      <c r="F24" s="229"/>
      <c r="G24" s="229"/>
      <c r="H24" s="229"/>
      <c r="I24" s="229"/>
      <c r="J24" s="229"/>
      <c r="K24" s="229"/>
      <c r="L24" s="229"/>
    </row>
    <row r="25" spans="3:18" x14ac:dyDescent="0.25">
      <c r="C25" s="268" t="s">
        <v>471</v>
      </c>
      <c r="D25" s="268"/>
      <c r="E25" s="268"/>
      <c r="F25" s="268"/>
      <c r="G25" s="268"/>
      <c r="H25" s="268"/>
      <c r="I25" s="268"/>
      <c r="J25" s="268"/>
      <c r="K25" s="268"/>
      <c r="L25" s="268"/>
    </row>
    <row r="26" spans="3:18" x14ac:dyDescent="0.25">
      <c r="C26" s="262"/>
      <c r="D26" s="262" t="s">
        <v>3</v>
      </c>
      <c r="E26" s="262" t="s">
        <v>4</v>
      </c>
      <c r="F26" s="262" t="s">
        <v>5</v>
      </c>
      <c r="G26" s="262"/>
      <c r="H26" s="262" t="s">
        <v>6</v>
      </c>
      <c r="I26" s="262" t="s">
        <v>7</v>
      </c>
      <c r="J26" s="262" t="s">
        <v>8</v>
      </c>
      <c r="K26" s="262" t="s">
        <v>9</v>
      </c>
      <c r="L26" s="262" t="s">
        <v>10</v>
      </c>
    </row>
    <row r="27" spans="3:18" ht="30" x14ac:dyDescent="0.25">
      <c r="C27" s="262"/>
      <c r="D27" s="262"/>
      <c r="E27" s="262"/>
      <c r="F27" s="209" t="s">
        <v>11</v>
      </c>
      <c r="G27" s="209" t="s">
        <v>12</v>
      </c>
      <c r="H27" s="262"/>
      <c r="I27" s="262"/>
      <c r="J27" s="262"/>
      <c r="K27" s="262"/>
      <c r="L27" s="262"/>
    </row>
    <row r="28" spans="3:18" x14ac:dyDescent="0.25">
      <c r="C28" s="231" t="s">
        <v>467</v>
      </c>
      <c r="D28" s="1"/>
      <c r="E28" s="1">
        <v>1.8</v>
      </c>
      <c r="F28" s="1">
        <v>24.45</v>
      </c>
      <c r="G28" s="1">
        <v>28.19</v>
      </c>
      <c r="H28" s="1">
        <v>2.31</v>
      </c>
      <c r="I28" s="1"/>
      <c r="J28" s="1"/>
      <c r="K28" s="1"/>
      <c r="L28" s="210">
        <f t="shared" ref="L28:L29" si="3">SUM(D28:K28)</f>
        <v>56.75</v>
      </c>
    </row>
    <row r="29" spans="3:18" ht="30" x14ac:dyDescent="0.25">
      <c r="C29" s="231" t="s">
        <v>468</v>
      </c>
      <c r="D29" s="1"/>
      <c r="E29" s="230">
        <f>R11</f>
        <v>0.82308792331962244</v>
      </c>
      <c r="F29" s="1">
        <v>24.45</v>
      </c>
      <c r="G29" s="1">
        <v>28.19</v>
      </c>
      <c r="H29" s="1">
        <v>2.31</v>
      </c>
      <c r="I29" s="1"/>
      <c r="J29" s="1"/>
      <c r="K29" s="1"/>
      <c r="L29" s="232">
        <f t="shared" si="3"/>
        <v>55.773087923319622</v>
      </c>
    </row>
    <row r="30" spans="3:18" x14ac:dyDescent="0.25">
      <c r="C30" s="229"/>
      <c r="D30" s="229"/>
      <c r="E30" s="229"/>
      <c r="F30" s="229"/>
      <c r="G30" s="229"/>
      <c r="H30" s="229"/>
      <c r="I30" s="229"/>
      <c r="J30" s="229"/>
      <c r="K30" s="229"/>
      <c r="L30" s="229"/>
    </row>
    <row r="31" spans="3:18" x14ac:dyDescent="0.25">
      <c r="C31" s="229"/>
      <c r="D31" s="229"/>
      <c r="E31" s="229"/>
      <c r="F31" s="229"/>
      <c r="G31" s="229"/>
      <c r="H31" s="229"/>
      <c r="I31" s="229"/>
      <c r="J31" s="229"/>
      <c r="K31" s="229"/>
      <c r="L31" s="229"/>
    </row>
    <row r="32" spans="3:18" x14ac:dyDescent="0.25">
      <c r="C32" s="268" t="s">
        <v>472</v>
      </c>
      <c r="D32" s="268"/>
      <c r="E32" s="268"/>
      <c r="F32" s="268"/>
      <c r="G32" s="268"/>
      <c r="H32" s="268"/>
      <c r="I32" s="268"/>
      <c r="J32" s="268"/>
      <c r="K32" s="268"/>
      <c r="L32" s="268"/>
    </row>
    <row r="33" spans="3:12" x14ac:dyDescent="0.25">
      <c r="C33" s="262"/>
      <c r="D33" s="262" t="s">
        <v>3</v>
      </c>
      <c r="E33" s="262" t="s">
        <v>4</v>
      </c>
      <c r="F33" s="262" t="s">
        <v>5</v>
      </c>
      <c r="G33" s="262"/>
      <c r="H33" s="262" t="s">
        <v>6</v>
      </c>
      <c r="I33" s="262" t="s">
        <v>7</v>
      </c>
      <c r="J33" s="262" t="s">
        <v>8</v>
      </c>
      <c r="K33" s="262" t="s">
        <v>9</v>
      </c>
      <c r="L33" s="262" t="s">
        <v>10</v>
      </c>
    </row>
    <row r="34" spans="3:12" ht="30" x14ac:dyDescent="0.25">
      <c r="C34" s="262"/>
      <c r="D34" s="262"/>
      <c r="E34" s="262"/>
      <c r="F34" s="209" t="s">
        <v>11</v>
      </c>
      <c r="G34" s="209" t="s">
        <v>12</v>
      </c>
      <c r="H34" s="262"/>
      <c r="I34" s="262"/>
      <c r="J34" s="262"/>
      <c r="K34" s="262"/>
      <c r="L34" s="262"/>
    </row>
    <row r="35" spans="3:12" x14ac:dyDescent="0.25">
      <c r="C35" s="231" t="s">
        <v>467</v>
      </c>
      <c r="D35" s="1"/>
      <c r="E35" s="1">
        <v>20.079999999999998</v>
      </c>
      <c r="F35" s="1">
        <v>1.81</v>
      </c>
      <c r="G35" s="1">
        <v>76.37</v>
      </c>
      <c r="H35" s="1">
        <v>1.76</v>
      </c>
      <c r="I35" s="1"/>
      <c r="J35" s="1"/>
      <c r="K35" s="1"/>
      <c r="L35" s="210">
        <f t="shared" ref="L35:L36" si="4">SUM(D35:K35)</f>
        <v>100.02000000000001</v>
      </c>
    </row>
    <row r="36" spans="3:12" ht="30" x14ac:dyDescent="0.25">
      <c r="C36" s="231" t="s">
        <v>468</v>
      </c>
      <c r="D36" s="1"/>
      <c r="E36" s="230">
        <f>R12</f>
        <v>9.1820030556988979</v>
      </c>
      <c r="F36" s="1">
        <v>1.81</v>
      </c>
      <c r="G36" s="1">
        <v>76.37</v>
      </c>
      <c r="H36" s="1">
        <v>1.76</v>
      </c>
      <c r="I36" s="1"/>
      <c r="J36" s="1"/>
      <c r="K36" s="1"/>
      <c r="L36" s="232">
        <f t="shared" si="4"/>
        <v>89.122003055698912</v>
      </c>
    </row>
    <row r="37" spans="3:12" x14ac:dyDescent="0.25">
      <c r="C37" s="229"/>
      <c r="D37" s="229"/>
      <c r="E37" s="229"/>
      <c r="F37" s="229"/>
      <c r="G37" s="229"/>
      <c r="H37" s="229"/>
      <c r="I37" s="229"/>
      <c r="J37" s="229"/>
      <c r="K37" s="229"/>
      <c r="L37" s="229"/>
    </row>
    <row r="38" spans="3:12" x14ac:dyDescent="0.25">
      <c r="C38" s="229"/>
      <c r="D38" s="229"/>
      <c r="E38" s="229"/>
      <c r="F38" s="229"/>
      <c r="G38" s="229"/>
      <c r="H38" s="229"/>
      <c r="I38" s="229"/>
      <c r="J38" s="229"/>
      <c r="K38" s="229"/>
      <c r="L38" s="229"/>
    </row>
    <row r="39" spans="3:12" x14ac:dyDescent="0.25">
      <c r="C39" s="268" t="s">
        <v>473</v>
      </c>
      <c r="D39" s="268"/>
      <c r="E39" s="268"/>
      <c r="F39" s="268"/>
      <c r="G39" s="268"/>
      <c r="H39" s="268"/>
      <c r="I39" s="268"/>
      <c r="J39" s="268"/>
      <c r="K39" s="268"/>
      <c r="L39" s="268"/>
    </row>
    <row r="40" spans="3:12" x14ac:dyDescent="0.25">
      <c r="C40" s="262"/>
      <c r="D40" s="262" t="s">
        <v>3</v>
      </c>
      <c r="E40" s="262" t="s">
        <v>4</v>
      </c>
      <c r="F40" s="262" t="s">
        <v>5</v>
      </c>
      <c r="G40" s="262"/>
      <c r="H40" s="262" t="s">
        <v>6</v>
      </c>
      <c r="I40" s="262" t="s">
        <v>7</v>
      </c>
      <c r="J40" s="262" t="s">
        <v>8</v>
      </c>
      <c r="K40" s="262" t="s">
        <v>9</v>
      </c>
      <c r="L40" s="262" t="s">
        <v>10</v>
      </c>
    </row>
    <row r="41" spans="3:12" ht="30" x14ac:dyDescent="0.25">
      <c r="C41" s="262"/>
      <c r="D41" s="262"/>
      <c r="E41" s="262"/>
      <c r="F41" s="209" t="s">
        <v>11</v>
      </c>
      <c r="G41" s="209" t="s">
        <v>12</v>
      </c>
      <c r="H41" s="262"/>
      <c r="I41" s="262"/>
      <c r="J41" s="262"/>
      <c r="K41" s="262"/>
      <c r="L41" s="262"/>
    </row>
    <row r="42" spans="3:12" x14ac:dyDescent="0.25">
      <c r="C42" s="231" t="s">
        <v>467</v>
      </c>
      <c r="D42" s="1">
        <v>1.61</v>
      </c>
      <c r="E42" s="1">
        <v>399.3</v>
      </c>
      <c r="F42" s="1">
        <v>25.85</v>
      </c>
      <c r="G42" s="1">
        <v>23.48</v>
      </c>
      <c r="H42" s="1">
        <v>9.73</v>
      </c>
      <c r="I42" s="1"/>
      <c r="J42" s="1"/>
      <c r="K42" s="1"/>
      <c r="L42" s="210">
        <f t="shared" ref="L42:L43" si="5">SUM(D42:K42)</f>
        <v>459.97000000000008</v>
      </c>
    </row>
    <row r="43" spans="3:12" ht="30" x14ac:dyDescent="0.25">
      <c r="C43" s="231" t="s">
        <v>468</v>
      </c>
      <c r="D43" s="1">
        <f>D42</f>
        <v>1.61</v>
      </c>
      <c r="E43" s="230">
        <f>R13</f>
        <v>182.5883376564029</v>
      </c>
      <c r="F43" s="1">
        <v>25.85</v>
      </c>
      <c r="G43" s="1">
        <v>23.48</v>
      </c>
      <c r="H43" s="1">
        <v>9.73</v>
      </c>
      <c r="I43" s="1"/>
      <c r="J43" s="1"/>
      <c r="K43" s="1"/>
      <c r="L43" s="232">
        <f t="shared" si="5"/>
        <v>243.25833765640289</v>
      </c>
    </row>
    <row r="44" spans="3:12" x14ac:dyDescent="0.25">
      <c r="C44" s="229"/>
      <c r="D44" s="229"/>
      <c r="E44" s="229"/>
      <c r="F44" s="229"/>
      <c r="G44" s="229"/>
      <c r="H44" s="229"/>
      <c r="I44" s="229"/>
      <c r="J44" s="229"/>
      <c r="K44" s="229"/>
      <c r="L44" s="229"/>
    </row>
    <row r="45" spans="3:12" x14ac:dyDescent="0.25">
      <c r="C45" s="229"/>
      <c r="D45" s="229"/>
      <c r="E45" s="229"/>
      <c r="F45" s="229"/>
      <c r="G45" s="229"/>
      <c r="H45" s="229"/>
      <c r="I45" s="229"/>
      <c r="J45" s="229"/>
      <c r="K45" s="229"/>
      <c r="L45" s="229"/>
    </row>
    <row r="46" spans="3:12" x14ac:dyDescent="0.25">
      <c r="C46" s="268" t="s">
        <v>474</v>
      </c>
      <c r="D46" s="268"/>
      <c r="E46" s="268"/>
      <c r="F46" s="268"/>
      <c r="G46" s="268"/>
      <c r="H46" s="268"/>
      <c r="I46" s="268"/>
      <c r="J46" s="268"/>
      <c r="K46" s="268"/>
      <c r="L46" s="268"/>
    </row>
    <row r="47" spans="3:12" x14ac:dyDescent="0.25">
      <c r="C47" s="262"/>
      <c r="D47" s="262" t="s">
        <v>3</v>
      </c>
      <c r="E47" s="262" t="s">
        <v>4</v>
      </c>
      <c r="F47" s="262" t="s">
        <v>5</v>
      </c>
      <c r="G47" s="262"/>
      <c r="H47" s="262" t="s">
        <v>6</v>
      </c>
      <c r="I47" s="262" t="s">
        <v>7</v>
      </c>
      <c r="J47" s="262" t="s">
        <v>8</v>
      </c>
      <c r="K47" s="262" t="s">
        <v>9</v>
      </c>
      <c r="L47" s="262" t="s">
        <v>10</v>
      </c>
    </row>
    <row r="48" spans="3:12" ht="30" x14ac:dyDescent="0.25">
      <c r="C48" s="262"/>
      <c r="D48" s="262"/>
      <c r="E48" s="262"/>
      <c r="F48" s="209" t="s">
        <v>11</v>
      </c>
      <c r="G48" s="209" t="s">
        <v>12</v>
      </c>
      <c r="H48" s="262"/>
      <c r="I48" s="262"/>
      <c r="J48" s="262"/>
      <c r="K48" s="262"/>
      <c r="L48" s="262"/>
    </row>
    <row r="49" spans="3:12" x14ac:dyDescent="0.25">
      <c r="C49" s="231" t="s">
        <v>467</v>
      </c>
      <c r="D49" s="1"/>
      <c r="E49" s="1"/>
      <c r="F49" s="1">
        <v>1.88</v>
      </c>
      <c r="G49" s="1">
        <v>25.36</v>
      </c>
      <c r="H49" s="1">
        <v>0.7</v>
      </c>
      <c r="I49" s="1"/>
      <c r="J49" s="1"/>
      <c r="K49" s="1"/>
      <c r="L49" s="210">
        <f t="shared" ref="L49:L50" si="6">SUM(D49:K49)</f>
        <v>27.939999999999998</v>
      </c>
    </row>
    <row r="50" spans="3:12" ht="30" x14ac:dyDescent="0.25">
      <c r="C50" s="231" t="s">
        <v>468</v>
      </c>
      <c r="D50" s="1"/>
      <c r="E50" s="1"/>
      <c r="F50" s="1">
        <v>1.88</v>
      </c>
      <c r="G50" s="1">
        <v>25.36</v>
      </c>
      <c r="H50" s="1">
        <v>0.7</v>
      </c>
      <c r="I50" s="1"/>
      <c r="J50" s="1"/>
      <c r="K50" s="1"/>
      <c r="L50" s="210">
        <f t="shared" si="6"/>
        <v>27.939999999999998</v>
      </c>
    </row>
    <row r="51" spans="3:12" x14ac:dyDescent="0.25">
      <c r="C51" s="229"/>
      <c r="D51" s="229"/>
      <c r="E51" s="229"/>
      <c r="F51" s="229"/>
      <c r="G51" s="229"/>
      <c r="H51" s="229"/>
      <c r="I51" s="229"/>
      <c r="J51" s="229"/>
      <c r="K51" s="229"/>
      <c r="L51" s="229"/>
    </row>
    <row r="52" spans="3:12" x14ac:dyDescent="0.25">
      <c r="C52" s="229"/>
      <c r="D52" s="229"/>
      <c r="E52" s="229"/>
      <c r="F52" s="229"/>
      <c r="G52" s="229"/>
      <c r="H52" s="229"/>
      <c r="I52" s="229"/>
      <c r="J52" s="229"/>
      <c r="K52" s="229"/>
      <c r="L52" s="229"/>
    </row>
    <row r="53" spans="3:12" x14ac:dyDescent="0.25">
      <c r="C53" s="268" t="s">
        <v>475</v>
      </c>
      <c r="D53" s="268"/>
      <c r="E53" s="268"/>
      <c r="F53" s="268"/>
      <c r="G53" s="268"/>
      <c r="H53" s="268"/>
      <c r="I53" s="268"/>
      <c r="J53" s="268"/>
      <c r="K53" s="268"/>
      <c r="L53" s="268"/>
    </row>
    <row r="54" spans="3:12" x14ac:dyDescent="0.25">
      <c r="C54" s="262"/>
      <c r="D54" s="262" t="s">
        <v>3</v>
      </c>
      <c r="E54" s="262" t="s">
        <v>4</v>
      </c>
      <c r="F54" s="262" t="s">
        <v>5</v>
      </c>
      <c r="G54" s="262"/>
      <c r="H54" s="262" t="s">
        <v>6</v>
      </c>
      <c r="I54" s="262" t="s">
        <v>7</v>
      </c>
      <c r="J54" s="262" t="s">
        <v>8</v>
      </c>
      <c r="K54" s="262" t="s">
        <v>9</v>
      </c>
      <c r="L54" s="262" t="s">
        <v>10</v>
      </c>
    </row>
    <row r="55" spans="3:12" ht="30" x14ac:dyDescent="0.25">
      <c r="C55" s="262"/>
      <c r="D55" s="262"/>
      <c r="E55" s="262"/>
      <c r="F55" s="209" t="s">
        <v>11</v>
      </c>
      <c r="G55" s="209" t="s">
        <v>12</v>
      </c>
      <c r="H55" s="262"/>
      <c r="I55" s="262"/>
      <c r="J55" s="262"/>
      <c r="K55" s="262"/>
      <c r="L55" s="262"/>
    </row>
    <row r="56" spans="3:12" x14ac:dyDescent="0.25">
      <c r="C56" s="231" t="s">
        <v>467</v>
      </c>
      <c r="D56" s="1"/>
      <c r="E56" s="1">
        <v>14.9</v>
      </c>
      <c r="F56" s="1">
        <v>0.71</v>
      </c>
      <c r="G56" s="1">
        <v>16.53</v>
      </c>
      <c r="H56" s="1">
        <v>0.06</v>
      </c>
      <c r="I56" s="1"/>
      <c r="J56" s="1"/>
      <c r="K56" s="1"/>
      <c r="L56" s="210">
        <f t="shared" ref="L56:L57" si="7">SUM(D56:K56)</f>
        <v>32.200000000000003</v>
      </c>
    </row>
    <row r="57" spans="3:12" ht="30" x14ac:dyDescent="0.25">
      <c r="C57" s="231" t="s">
        <v>468</v>
      </c>
      <c r="D57" s="1"/>
      <c r="E57" s="230">
        <f>R15</f>
        <v>6.8133389208124298</v>
      </c>
      <c r="F57" s="1">
        <v>0.71</v>
      </c>
      <c r="G57" s="1">
        <v>16.53</v>
      </c>
      <c r="H57" s="1">
        <v>0.06</v>
      </c>
      <c r="I57" s="1"/>
      <c r="J57" s="1"/>
      <c r="K57" s="1"/>
      <c r="L57" s="232">
        <f t="shared" si="7"/>
        <v>24.113338920812428</v>
      </c>
    </row>
    <row r="58" spans="3:12" x14ac:dyDescent="0.25">
      <c r="C58" s="229"/>
      <c r="D58" s="229"/>
      <c r="E58" s="229"/>
      <c r="F58" s="229"/>
      <c r="G58" s="229"/>
      <c r="H58" s="229"/>
      <c r="I58" s="229"/>
      <c r="J58" s="229"/>
      <c r="K58" s="229"/>
      <c r="L58" s="229"/>
    </row>
    <row r="59" spans="3:12" x14ac:dyDescent="0.25">
      <c r="C59" s="229"/>
      <c r="D59" s="229"/>
      <c r="E59" s="229"/>
      <c r="F59" s="229"/>
      <c r="G59" s="229"/>
      <c r="H59" s="229"/>
      <c r="I59" s="229"/>
      <c r="J59" s="229"/>
      <c r="K59" s="229"/>
      <c r="L59" s="229"/>
    </row>
    <row r="60" spans="3:12" x14ac:dyDescent="0.25">
      <c r="C60" s="268" t="s">
        <v>476</v>
      </c>
      <c r="D60" s="268"/>
      <c r="E60" s="268"/>
      <c r="F60" s="268"/>
      <c r="G60" s="268"/>
      <c r="H60" s="268"/>
      <c r="I60" s="268"/>
      <c r="J60" s="268"/>
      <c r="K60" s="268"/>
      <c r="L60" s="268"/>
    </row>
    <row r="61" spans="3:12" x14ac:dyDescent="0.25">
      <c r="C61" s="262"/>
      <c r="D61" s="262" t="s">
        <v>3</v>
      </c>
      <c r="E61" s="262" t="s">
        <v>4</v>
      </c>
      <c r="F61" s="262" t="s">
        <v>5</v>
      </c>
      <c r="G61" s="262"/>
      <c r="H61" s="262" t="s">
        <v>6</v>
      </c>
      <c r="I61" s="262" t="s">
        <v>7</v>
      </c>
      <c r="J61" s="262" t="s">
        <v>8</v>
      </c>
      <c r="K61" s="262" t="s">
        <v>9</v>
      </c>
      <c r="L61" s="262" t="s">
        <v>10</v>
      </c>
    </row>
    <row r="62" spans="3:12" ht="30" x14ac:dyDescent="0.25">
      <c r="C62" s="262"/>
      <c r="D62" s="262"/>
      <c r="E62" s="262"/>
      <c r="F62" s="209" t="s">
        <v>11</v>
      </c>
      <c r="G62" s="209" t="s">
        <v>12</v>
      </c>
      <c r="H62" s="262"/>
      <c r="I62" s="262"/>
      <c r="J62" s="262"/>
      <c r="K62" s="262"/>
      <c r="L62" s="262"/>
    </row>
    <row r="63" spans="3:12" x14ac:dyDescent="0.25">
      <c r="C63" s="231" t="s">
        <v>467</v>
      </c>
      <c r="D63" s="1"/>
      <c r="E63" s="1"/>
      <c r="F63" s="1">
        <v>0.84</v>
      </c>
      <c r="G63" s="1">
        <v>24.14</v>
      </c>
      <c r="H63" s="1">
        <v>1</v>
      </c>
      <c r="I63" s="1"/>
      <c r="J63" s="1"/>
      <c r="K63" s="1"/>
      <c r="L63" s="210">
        <f t="shared" ref="L63:L64" si="8">SUM(D63:K63)</f>
        <v>25.98</v>
      </c>
    </row>
    <row r="64" spans="3:12" ht="30" x14ac:dyDescent="0.25">
      <c r="C64" s="231" t="s">
        <v>468</v>
      </c>
      <c r="D64" s="1"/>
      <c r="E64" s="1"/>
      <c r="F64" s="1">
        <v>0.84</v>
      </c>
      <c r="G64" s="1">
        <v>24.14</v>
      </c>
      <c r="H64" s="1">
        <v>1</v>
      </c>
      <c r="I64" s="1"/>
      <c r="J64" s="1"/>
      <c r="K64" s="1"/>
      <c r="L64" s="210">
        <f t="shared" si="8"/>
        <v>25.98</v>
      </c>
    </row>
    <row r="65" spans="3:12" x14ac:dyDescent="0.25">
      <c r="C65" s="229"/>
      <c r="D65" s="229"/>
      <c r="E65" s="229"/>
      <c r="F65" s="229"/>
      <c r="G65" s="229"/>
      <c r="H65" s="229"/>
      <c r="I65" s="229"/>
      <c r="J65" s="229"/>
      <c r="K65" s="229"/>
      <c r="L65" s="229"/>
    </row>
    <row r="66" spans="3:12" x14ac:dyDescent="0.25">
      <c r="C66" s="229"/>
      <c r="D66" s="229"/>
      <c r="E66" s="229"/>
      <c r="F66" s="229"/>
      <c r="G66" s="229"/>
      <c r="H66" s="229"/>
      <c r="I66" s="229"/>
      <c r="J66" s="229"/>
      <c r="K66" s="229"/>
      <c r="L66" s="229"/>
    </row>
    <row r="67" spans="3:12" x14ac:dyDescent="0.25">
      <c r="C67" s="268" t="s">
        <v>477</v>
      </c>
      <c r="D67" s="268"/>
      <c r="E67" s="268"/>
      <c r="F67" s="268"/>
      <c r="G67" s="268"/>
      <c r="H67" s="268"/>
      <c r="I67" s="268"/>
      <c r="J67" s="268"/>
      <c r="K67" s="268"/>
      <c r="L67" s="268"/>
    </row>
    <row r="68" spans="3:12" x14ac:dyDescent="0.25">
      <c r="C68" s="262"/>
      <c r="D68" s="262" t="s">
        <v>3</v>
      </c>
      <c r="E68" s="262" t="s">
        <v>4</v>
      </c>
      <c r="F68" s="262" t="s">
        <v>5</v>
      </c>
      <c r="G68" s="262"/>
      <c r="H68" s="262" t="s">
        <v>6</v>
      </c>
      <c r="I68" s="262" t="s">
        <v>7</v>
      </c>
      <c r="J68" s="262" t="s">
        <v>8</v>
      </c>
      <c r="K68" s="262" t="s">
        <v>9</v>
      </c>
      <c r="L68" s="262" t="s">
        <v>10</v>
      </c>
    </row>
    <row r="69" spans="3:12" ht="30" x14ac:dyDescent="0.25">
      <c r="C69" s="262"/>
      <c r="D69" s="262"/>
      <c r="E69" s="262"/>
      <c r="F69" s="209" t="s">
        <v>11</v>
      </c>
      <c r="G69" s="209" t="s">
        <v>12</v>
      </c>
      <c r="H69" s="262"/>
      <c r="I69" s="262"/>
      <c r="J69" s="262"/>
      <c r="K69" s="262"/>
      <c r="L69" s="262"/>
    </row>
    <row r="70" spans="3:12" x14ac:dyDescent="0.25">
      <c r="C70" s="231" t="s">
        <v>467</v>
      </c>
      <c r="D70" s="1">
        <v>0.09</v>
      </c>
      <c r="E70" s="1">
        <v>3.44</v>
      </c>
      <c r="F70" s="1">
        <v>3.66</v>
      </c>
      <c r="G70" s="1">
        <v>29.68</v>
      </c>
      <c r="H70" s="1">
        <v>0.56999999999999995</v>
      </c>
      <c r="I70" s="1"/>
      <c r="J70" s="1"/>
      <c r="K70" s="1"/>
      <c r="L70" s="210">
        <f>SUM(D70:K70)</f>
        <v>37.44</v>
      </c>
    </row>
    <row r="71" spans="3:12" ht="30" x14ac:dyDescent="0.25">
      <c r="C71" s="231" t="s">
        <v>468</v>
      </c>
      <c r="D71" s="1">
        <f>D70</f>
        <v>0.09</v>
      </c>
      <c r="E71" s="230">
        <f>R17</f>
        <v>1.5730124756775006</v>
      </c>
      <c r="F71" s="1">
        <v>3.66</v>
      </c>
      <c r="G71" s="1">
        <v>29.68</v>
      </c>
      <c r="H71" s="1">
        <v>0.56999999999999995</v>
      </c>
      <c r="I71" s="1"/>
      <c r="J71" s="1"/>
      <c r="K71" s="1"/>
      <c r="L71" s="232">
        <f t="shared" ref="L71" si="9">SUM(D71:K71)</f>
        <v>35.573012475677501</v>
      </c>
    </row>
    <row r="72" spans="3:12" x14ac:dyDescent="0.25">
      <c r="C72" s="229"/>
      <c r="D72" s="229"/>
      <c r="E72" s="229"/>
      <c r="F72" s="229"/>
      <c r="G72" s="229"/>
      <c r="H72" s="229"/>
      <c r="I72" s="229"/>
      <c r="J72" s="229"/>
      <c r="K72" s="229"/>
      <c r="L72" s="229"/>
    </row>
    <row r="73" spans="3:12" x14ac:dyDescent="0.25">
      <c r="C73" s="229"/>
      <c r="D73" s="229"/>
      <c r="E73" s="229"/>
      <c r="F73" s="229"/>
      <c r="G73" s="229"/>
      <c r="H73" s="229"/>
      <c r="I73" s="229"/>
      <c r="J73" s="229"/>
      <c r="K73" s="229"/>
      <c r="L73" s="229"/>
    </row>
    <row r="74" spans="3:12" x14ac:dyDescent="0.25">
      <c r="C74" s="268" t="s">
        <v>478</v>
      </c>
      <c r="D74" s="268"/>
      <c r="E74" s="268"/>
      <c r="F74" s="268"/>
      <c r="G74" s="268"/>
      <c r="H74" s="268"/>
      <c r="I74" s="268"/>
      <c r="J74" s="268"/>
      <c r="K74" s="268"/>
      <c r="L74" s="268"/>
    </row>
    <row r="75" spans="3:12" x14ac:dyDescent="0.25">
      <c r="C75" s="262"/>
      <c r="D75" s="262" t="s">
        <v>3</v>
      </c>
      <c r="E75" s="262" t="s">
        <v>4</v>
      </c>
      <c r="F75" s="262" t="s">
        <v>5</v>
      </c>
      <c r="G75" s="262"/>
      <c r="H75" s="262" t="s">
        <v>6</v>
      </c>
      <c r="I75" s="262" t="s">
        <v>7</v>
      </c>
      <c r="J75" s="262" t="s">
        <v>8</v>
      </c>
      <c r="K75" s="262" t="s">
        <v>9</v>
      </c>
      <c r="L75" s="262" t="s">
        <v>10</v>
      </c>
    </row>
    <row r="76" spans="3:12" ht="30" x14ac:dyDescent="0.25">
      <c r="C76" s="262"/>
      <c r="D76" s="262"/>
      <c r="E76" s="262"/>
      <c r="F76" s="209" t="s">
        <v>11</v>
      </c>
      <c r="G76" s="209" t="s">
        <v>12</v>
      </c>
      <c r="H76" s="262"/>
      <c r="I76" s="262"/>
      <c r="J76" s="262"/>
      <c r="K76" s="262"/>
      <c r="L76" s="262"/>
    </row>
    <row r="77" spans="3:12" x14ac:dyDescent="0.25">
      <c r="C77" s="231" t="s">
        <v>467</v>
      </c>
      <c r="D77" s="1"/>
      <c r="E77" s="1"/>
      <c r="F77" s="1">
        <v>8.68</v>
      </c>
      <c r="G77" s="1">
        <v>194.53</v>
      </c>
      <c r="H77" s="1">
        <v>1.91</v>
      </c>
      <c r="I77" s="1"/>
      <c r="J77" s="1"/>
      <c r="K77" s="1"/>
      <c r="L77" s="210">
        <f t="shared" ref="L77:L78" si="10">SUM(D77:K77)</f>
        <v>205.12</v>
      </c>
    </row>
    <row r="78" spans="3:12" ht="30" x14ac:dyDescent="0.25">
      <c r="C78" s="231" t="s">
        <v>468</v>
      </c>
      <c r="D78" s="1"/>
      <c r="E78" s="1"/>
      <c r="F78" s="1">
        <v>8.68</v>
      </c>
      <c r="G78" s="1">
        <v>194.53</v>
      </c>
      <c r="H78" s="1">
        <v>1.91</v>
      </c>
      <c r="I78" s="1"/>
      <c r="J78" s="1"/>
      <c r="K78" s="1"/>
      <c r="L78" s="210">
        <f t="shared" si="10"/>
        <v>205.12</v>
      </c>
    </row>
  </sheetData>
  <mergeCells count="110">
    <mergeCell ref="C4:L4"/>
    <mergeCell ref="C5:C6"/>
    <mergeCell ref="D5:D6"/>
    <mergeCell ref="E5:E6"/>
    <mergeCell ref="F5:G5"/>
    <mergeCell ref="H5:H6"/>
    <mergeCell ref="I5:I6"/>
    <mergeCell ref="J5:J6"/>
    <mergeCell ref="K5:K6"/>
    <mergeCell ref="L5:L6"/>
    <mergeCell ref="C11:L11"/>
    <mergeCell ref="C12:C13"/>
    <mergeCell ref="D12:D13"/>
    <mergeCell ref="E12:E13"/>
    <mergeCell ref="F12:G12"/>
    <mergeCell ref="H12:H13"/>
    <mergeCell ref="I12:I13"/>
    <mergeCell ref="J12:J13"/>
    <mergeCell ref="K12:K13"/>
    <mergeCell ref="L12:L13"/>
    <mergeCell ref="C18:L18"/>
    <mergeCell ref="C19:C20"/>
    <mergeCell ref="D19:D20"/>
    <mergeCell ref="E19:E20"/>
    <mergeCell ref="F19:G19"/>
    <mergeCell ref="H19:H20"/>
    <mergeCell ref="I19:I20"/>
    <mergeCell ref="J19:J20"/>
    <mergeCell ref="K19:K20"/>
    <mergeCell ref="L19:L20"/>
    <mergeCell ref="C25:L25"/>
    <mergeCell ref="C26:C27"/>
    <mergeCell ref="D26:D27"/>
    <mergeCell ref="E26:E27"/>
    <mergeCell ref="F26:G26"/>
    <mergeCell ref="H26:H27"/>
    <mergeCell ref="I26:I27"/>
    <mergeCell ref="J26:J27"/>
    <mergeCell ref="K26:K27"/>
    <mergeCell ref="L26:L27"/>
    <mergeCell ref="C32:L32"/>
    <mergeCell ref="C33:C34"/>
    <mergeCell ref="D33:D34"/>
    <mergeCell ref="E33:E34"/>
    <mergeCell ref="F33:G33"/>
    <mergeCell ref="H33:H34"/>
    <mergeCell ref="I33:I34"/>
    <mergeCell ref="J33:J34"/>
    <mergeCell ref="K33:K34"/>
    <mergeCell ref="L33:L34"/>
    <mergeCell ref="C39:L39"/>
    <mergeCell ref="C40:C41"/>
    <mergeCell ref="D40:D41"/>
    <mergeCell ref="E40:E41"/>
    <mergeCell ref="F40:G40"/>
    <mergeCell ref="H40:H41"/>
    <mergeCell ref="I40:I41"/>
    <mergeCell ref="J40:J41"/>
    <mergeCell ref="K40:K41"/>
    <mergeCell ref="L40:L41"/>
    <mergeCell ref="C46:L46"/>
    <mergeCell ref="C47:C48"/>
    <mergeCell ref="D47:D48"/>
    <mergeCell ref="E47:E48"/>
    <mergeCell ref="F47:G47"/>
    <mergeCell ref="H47:H48"/>
    <mergeCell ref="I47:I48"/>
    <mergeCell ref="J47:J48"/>
    <mergeCell ref="K47:K48"/>
    <mergeCell ref="L47:L48"/>
    <mergeCell ref="C53:L53"/>
    <mergeCell ref="C54:C55"/>
    <mergeCell ref="D54:D55"/>
    <mergeCell ref="E54:E55"/>
    <mergeCell ref="F54:G54"/>
    <mergeCell ref="H54:H55"/>
    <mergeCell ref="I54:I55"/>
    <mergeCell ref="J54:J55"/>
    <mergeCell ref="K54:K55"/>
    <mergeCell ref="L54:L55"/>
    <mergeCell ref="C60:L60"/>
    <mergeCell ref="C61:C62"/>
    <mergeCell ref="D61:D62"/>
    <mergeCell ref="E61:E62"/>
    <mergeCell ref="F61:G61"/>
    <mergeCell ref="H61:H62"/>
    <mergeCell ref="I61:I62"/>
    <mergeCell ref="J61:J62"/>
    <mergeCell ref="K61:K62"/>
    <mergeCell ref="L61:L62"/>
    <mergeCell ref="C67:L67"/>
    <mergeCell ref="C68:C69"/>
    <mergeCell ref="D68:D69"/>
    <mergeCell ref="E68:E69"/>
    <mergeCell ref="F68:G68"/>
    <mergeCell ref="H68:H69"/>
    <mergeCell ref="I68:I69"/>
    <mergeCell ref="J68:J69"/>
    <mergeCell ref="K68:K69"/>
    <mergeCell ref="L68:L69"/>
    <mergeCell ref="C74:L74"/>
    <mergeCell ref="C75:C76"/>
    <mergeCell ref="D75:D76"/>
    <mergeCell ref="E75:E76"/>
    <mergeCell ref="F75:G75"/>
    <mergeCell ref="H75:H76"/>
    <mergeCell ref="I75:I76"/>
    <mergeCell ref="J75:J76"/>
    <mergeCell ref="K75:K76"/>
    <mergeCell ref="L75:L7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18"/>
  <sheetViews>
    <sheetView workbookViewId="0">
      <selection activeCell="G17" sqref="G17"/>
    </sheetView>
  </sheetViews>
  <sheetFormatPr defaultRowHeight="15" x14ac:dyDescent="0.25"/>
  <cols>
    <col min="3" max="3" width="9.140625" style="33"/>
    <col min="4" max="4" width="33.140625" bestFit="1" customWidth="1"/>
    <col min="5" max="5" width="19.5703125" bestFit="1" customWidth="1"/>
  </cols>
  <sheetData>
    <row r="2" spans="3:5" x14ac:dyDescent="0.25">
      <c r="C2" s="269" t="s">
        <v>138</v>
      </c>
      <c r="D2" s="270"/>
      <c r="E2" s="271"/>
    </row>
    <row r="3" spans="3:5" x14ac:dyDescent="0.25">
      <c r="C3" s="34" t="s">
        <v>25</v>
      </c>
      <c r="D3" s="34" t="s">
        <v>26</v>
      </c>
      <c r="E3" s="34" t="s">
        <v>27</v>
      </c>
    </row>
    <row r="4" spans="3:5" x14ac:dyDescent="0.25">
      <c r="C4" s="1">
        <v>1</v>
      </c>
      <c r="D4" s="35" t="s">
        <v>136</v>
      </c>
      <c r="E4" s="36">
        <v>2287318769</v>
      </c>
    </row>
    <row r="5" spans="3:5" x14ac:dyDescent="0.25">
      <c r="C5" s="37">
        <v>2</v>
      </c>
      <c r="D5" s="4" t="s">
        <v>137</v>
      </c>
      <c r="E5" s="36">
        <v>11600721559.450186</v>
      </c>
    </row>
    <row r="6" spans="3:5" x14ac:dyDescent="0.25">
      <c r="C6" s="1">
        <v>3</v>
      </c>
      <c r="D6" s="4" t="s">
        <v>139</v>
      </c>
      <c r="E6" s="36">
        <v>5071481.9700000016</v>
      </c>
    </row>
    <row r="7" spans="3:5" x14ac:dyDescent="0.25">
      <c r="C7" s="37">
        <v>4</v>
      </c>
      <c r="D7" s="4" t="s">
        <v>140</v>
      </c>
      <c r="E7" s="36">
        <v>576376456.7099992</v>
      </c>
    </row>
    <row r="8" spans="3:5" x14ac:dyDescent="0.25">
      <c r="C8" s="1">
        <v>5</v>
      </c>
      <c r="D8" s="4" t="s">
        <v>141</v>
      </c>
      <c r="E8" s="36">
        <v>294317113.24000126</v>
      </c>
    </row>
    <row r="9" spans="3:5" x14ac:dyDescent="0.25">
      <c r="C9" s="37">
        <v>6</v>
      </c>
      <c r="D9" s="4" t="s">
        <v>142</v>
      </c>
      <c r="E9" s="36">
        <v>141620480.33000067</v>
      </c>
    </row>
    <row r="10" spans="3:5" x14ac:dyDescent="0.25">
      <c r="C10" s="37">
        <v>7</v>
      </c>
      <c r="D10" s="4" t="s">
        <v>143</v>
      </c>
      <c r="E10" s="36">
        <v>220785127.63000101</v>
      </c>
    </row>
    <row r="11" spans="3:5" x14ac:dyDescent="0.25">
      <c r="C11" s="1">
        <v>8</v>
      </c>
      <c r="D11" s="4" t="s">
        <v>144</v>
      </c>
      <c r="E11" s="36">
        <v>460206680.87999052</v>
      </c>
    </row>
    <row r="12" spans="3:5" x14ac:dyDescent="0.25">
      <c r="C12" s="37">
        <v>9</v>
      </c>
      <c r="D12" s="4" t="s">
        <v>145</v>
      </c>
      <c r="E12" s="38">
        <v>344454456.59000003</v>
      </c>
    </row>
    <row r="13" spans="3:5" x14ac:dyDescent="0.25">
      <c r="C13" s="37">
        <v>10</v>
      </c>
      <c r="D13" s="4" t="s">
        <v>146</v>
      </c>
      <c r="E13" s="38">
        <v>822986000.02999961</v>
      </c>
    </row>
    <row r="14" spans="3:5" x14ac:dyDescent="0.25">
      <c r="C14" s="1">
        <v>11</v>
      </c>
      <c r="D14" s="4" t="s">
        <v>147</v>
      </c>
      <c r="E14" s="38">
        <v>42521129.959999993</v>
      </c>
    </row>
    <row r="15" spans="3:5" x14ac:dyDescent="0.25">
      <c r="C15" s="37">
        <v>12</v>
      </c>
      <c r="D15" s="4" t="s">
        <v>149</v>
      </c>
      <c r="E15" s="36">
        <v>19148384097.959999</v>
      </c>
    </row>
    <row r="16" spans="3:5" x14ac:dyDescent="0.25">
      <c r="C16" s="37">
        <v>13</v>
      </c>
      <c r="D16" s="4" t="s">
        <v>150</v>
      </c>
      <c r="E16" s="36">
        <v>489276723.73000002</v>
      </c>
    </row>
    <row r="17" spans="3:5" x14ac:dyDescent="0.25">
      <c r="C17" s="37">
        <v>14</v>
      </c>
      <c r="D17" s="4" t="s">
        <v>152</v>
      </c>
      <c r="E17" s="36">
        <v>300000</v>
      </c>
    </row>
    <row r="18" spans="3:5" x14ac:dyDescent="0.25">
      <c r="C18" s="272" t="s">
        <v>21</v>
      </c>
      <c r="D18" s="272"/>
      <c r="E18" s="39">
        <f>SUM(E4:E17)</f>
        <v>36434340077.480179</v>
      </c>
    </row>
  </sheetData>
  <mergeCells count="2">
    <mergeCell ref="C2:E2"/>
    <mergeCell ref="C18:D1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70"/>
  <sheetViews>
    <sheetView workbookViewId="0">
      <selection activeCell="E19" sqref="E19"/>
    </sheetView>
  </sheetViews>
  <sheetFormatPr defaultRowHeight="15" x14ac:dyDescent="0.25"/>
  <cols>
    <col min="1" max="1" width="16.85546875" bestFit="1" customWidth="1"/>
    <col min="5" max="5" width="33.140625" bestFit="1" customWidth="1"/>
    <col min="6" max="6" width="19.7109375" bestFit="1" customWidth="1"/>
    <col min="7" max="9" width="18.5703125" bestFit="1" customWidth="1"/>
    <col min="10" max="10" width="19.5703125" bestFit="1" customWidth="1"/>
    <col min="11" max="11" width="19.5703125" style="23" bestFit="1" customWidth="1"/>
    <col min="12" max="12" width="19.5703125" bestFit="1" customWidth="1"/>
    <col min="13" max="13" width="7.5703125" style="80" bestFit="1" customWidth="1"/>
    <col min="14" max="14" width="16.85546875" bestFit="1" customWidth="1"/>
    <col min="15" max="15" width="13.28515625" bestFit="1" customWidth="1"/>
  </cols>
  <sheetData>
    <row r="4" spans="1:15" x14ac:dyDescent="0.25">
      <c r="D4" s="276" t="s">
        <v>416</v>
      </c>
      <c r="E4" s="277"/>
      <c r="F4" s="277"/>
      <c r="G4" s="277"/>
      <c r="H4" s="277"/>
      <c r="I4" s="277"/>
      <c r="J4" s="277"/>
    </row>
    <row r="5" spans="1:15" x14ac:dyDescent="0.25">
      <c r="D5" s="34" t="s">
        <v>25</v>
      </c>
      <c r="E5" s="34" t="s">
        <v>26</v>
      </c>
      <c r="F5" s="34">
        <v>2018</v>
      </c>
      <c r="G5" s="34">
        <v>2019</v>
      </c>
      <c r="H5" s="34">
        <v>2020</v>
      </c>
      <c r="I5" s="34">
        <v>2021</v>
      </c>
      <c r="J5" s="34" t="s">
        <v>151</v>
      </c>
      <c r="L5" s="281" t="s">
        <v>463</v>
      </c>
      <c r="M5" s="281"/>
      <c r="N5" s="281"/>
    </row>
    <row r="6" spans="1:15" x14ac:dyDescent="0.25">
      <c r="D6" s="1">
        <v>1</v>
      </c>
      <c r="E6" s="43" t="s">
        <v>136</v>
      </c>
      <c r="F6" s="36">
        <v>531064464.5200001</v>
      </c>
      <c r="G6" s="36">
        <v>864440895.41000009</v>
      </c>
      <c r="H6" s="36">
        <v>470419118.93000048</v>
      </c>
      <c r="I6" s="36">
        <v>421394290.11999977</v>
      </c>
      <c r="J6" s="47">
        <f>SUM(F6:I6)</f>
        <v>2287318768.9800005</v>
      </c>
      <c r="L6" s="81" t="s">
        <v>462</v>
      </c>
      <c r="M6" s="82">
        <v>242</v>
      </c>
      <c r="N6" s="36">
        <v>13938021.889999934</v>
      </c>
    </row>
    <row r="7" spans="1:15" x14ac:dyDescent="0.25">
      <c r="D7" s="37">
        <v>2</v>
      </c>
      <c r="E7" s="44" t="s">
        <v>137</v>
      </c>
      <c r="F7" s="36">
        <v>8414889167.1800957</v>
      </c>
      <c r="G7" s="36">
        <v>2083059786.3800218</v>
      </c>
      <c r="H7" s="36">
        <v>349824464.77000087</v>
      </c>
      <c r="I7" s="36">
        <v>752948141.11999691</v>
      </c>
      <c r="J7" s="47">
        <f t="shared" ref="J7:J19" si="0">SUM(F7:I7)</f>
        <v>11600721559.450115</v>
      </c>
      <c r="L7" s="81" t="s">
        <v>447</v>
      </c>
      <c r="M7" s="82">
        <v>160</v>
      </c>
      <c r="N7" s="36">
        <v>6046975</v>
      </c>
    </row>
    <row r="8" spans="1:15" x14ac:dyDescent="0.25">
      <c r="D8" s="1">
        <v>3</v>
      </c>
      <c r="E8" s="44" t="s">
        <v>139</v>
      </c>
      <c r="F8" s="36">
        <v>378830.11</v>
      </c>
      <c r="G8" s="36">
        <v>358218</v>
      </c>
      <c r="H8" s="36">
        <v>4215027.8600000003</v>
      </c>
      <c r="I8" s="36">
        <v>119406</v>
      </c>
      <c r="J8" s="47">
        <f t="shared" si="0"/>
        <v>5071481.9700000007</v>
      </c>
      <c r="L8" s="81" t="s">
        <v>448</v>
      </c>
      <c r="M8" s="82">
        <v>376</v>
      </c>
      <c r="N8" s="36">
        <v>26536083.14000003</v>
      </c>
    </row>
    <row r="9" spans="1:15" x14ac:dyDescent="0.25">
      <c r="D9" s="37">
        <v>4</v>
      </c>
      <c r="E9" s="44" t="s">
        <v>140</v>
      </c>
      <c r="F9" s="36">
        <v>413632871.359999</v>
      </c>
      <c r="G9" s="36">
        <v>51237420.620000035</v>
      </c>
      <c r="H9" s="36">
        <v>63253778.68</v>
      </c>
      <c r="I9" s="36">
        <v>48252386.049999967</v>
      </c>
      <c r="J9" s="47">
        <f t="shared" si="0"/>
        <v>576376456.70999908</v>
      </c>
      <c r="L9" s="81" t="s">
        <v>449</v>
      </c>
      <c r="M9" s="82">
        <v>865</v>
      </c>
      <c r="N9" s="36">
        <v>6115022.6500000162</v>
      </c>
    </row>
    <row r="10" spans="1:15" x14ac:dyDescent="0.25">
      <c r="A10" s="31">
        <f>SUM(J6:J16,J19)</f>
        <v>16796679255.770105</v>
      </c>
      <c r="D10" s="1">
        <v>5</v>
      </c>
      <c r="E10" s="44" t="s">
        <v>141</v>
      </c>
      <c r="F10" s="36">
        <v>145937582.44000098</v>
      </c>
      <c r="G10" s="36">
        <v>133668749.79999948</v>
      </c>
      <c r="H10" s="36">
        <v>8736615.0199999977</v>
      </c>
      <c r="I10" s="36">
        <v>5974165.9800000004</v>
      </c>
      <c r="J10" s="47">
        <f t="shared" si="0"/>
        <v>294317113.24000049</v>
      </c>
      <c r="L10" s="81" t="s">
        <v>450</v>
      </c>
      <c r="M10" s="82">
        <v>50</v>
      </c>
      <c r="N10" s="36">
        <v>387195.71000000008</v>
      </c>
      <c r="O10" s="23"/>
    </row>
    <row r="11" spans="1:15" x14ac:dyDescent="0.25">
      <c r="D11" s="37">
        <v>6</v>
      </c>
      <c r="E11" s="44" t="s">
        <v>142</v>
      </c>
      <c r="F11" s="36">
        <v>125494232.96000054</v>
      </c>
      <c r="G11" s="36">
        <v>12775057.750000019</v>
      </c>
      <c r="H11" s="36">
        <v>1428045.06</v>
      </c>
      <c r="I11" s="36">
        <v>1923144.5600000012</v>
      </c>
      <c r="J11" s="47">
        <f t="shared" si="0"/>
        <v>141620480.33000058</v>
      </c>
      <c r="L11" s="81" t="s">
        <v>451</v>
      </c>
      <c r="M11" s="82">
        <v>8</v>
      </c>
      <c r="N11" s="36">
        <v>680480</v>
      </c>
      <c r="O11" s="23"/>
    </row>
    <row r="12" spans="1:15" x14ac:dyDescent="0.25">
      <c r="D12" s="37">
        <v>7</v>
      </c>
      <c r="E12" s="44" t="s">
        <v>143</v>
      </c>
      <c r="F12" s="36">
        <v>186081760.38000041</v>
      </c>
      <c r="G12" s="36">
        <v>25609908.380000014</v>
      </c>
      <c r="H12" s="36">
        <v>5523621.1400000006</v>
      </c>
      <c r="I12" s="36">
        <v>3569837.73</v>
      </c>
      <c r="J12" s="47">
        <f t="shared" si="0"/>
        <v>220785127.63000044</v>
      </c>
      <c r="L12" s="81" t="s">
        <v>452</v>
      </c>
      <c r="M12" s="82">
        <v>97</v>
      </c>
      <c r="N12" s="36">
        <v>83447759.240000457</v>
      </c>
    </row>
    <row r="13" spans="1:15" x14ac:dyDescent="0.25">
      <c r="D13" s="1">
        <v>8</v>
      </c>
      <c r="E13" s="44" t="s">
        <v>144</v>
      </c>
      <c r="F13" s="36">
        <v>408060637.1499908</v>
      </c>
      <c r="G13" s="36">
        <v>40281084.249999903</v>
      </c>
      <c r="H13" s="36">
        <v>4485989.2199999979</v>
      </c>
      <c r="I13" s="36">
        <v>7378970.2599999998</v>
      </c>
      <c r="J13" s="47">
        <f t="shared" si="0"/>
        <v>460206680.87999064</v>
      </c>
      <c r="L13" s="4" t="s">
        <v>453</v>
      </c>
      <c r="M13" s="83">
        <v>13</v>
      </c>
      <c r="N13" s="84">
        <v>13215663.209999999</v>
      </c>
    </row>
    <row r="14" spans="1:15" x14ac:dyDescent="0.25">
      <c r="D14" s="37">
        <v>9</v>
      </c>
      <c r="E14" s="44" t="s">
        <v>145</v>
      </c>
      <c r="F14" s="36">
        <v>344399696.59000003</v>
      </c>
      <c r="G14" s="36">
        <v>54760</v>
      </c>
      <c r="H14" s="36">
        <v>0</v>
      </c>
      <c r="I14" s="36">
        <v>0</v>
      </c>
      <c r="J14" s="47">
        <f t="shared" si="0"/>
        <v>344454456.59000003</v>
      </c>
      <c r="L14" s="4" t="s">
        <v>454</v>
      </c>
      <c r="M14" s="82">
        <v>77</v>
      </c>
      <c r="N14" s="84">
        <v>5093423</v>
      </c>
    </row>
    <row r="15" spans="1:15" x14ac:dyDescent="0.25">
      <c r="D15" s="37">
        <v>10</v>
      </c>
      <c r="E15" s="44" t="s">
        <v>146</v>
      </c>
      <c r="F15" s="36">
        <v>2786600.0499999989</v>
      </c>
      <c r="G15" s="36">
        <v>5472121.4000000004</v>
      </c>
      <c r="H15" s="36">
        <v>167184429</v>
      </c>
      <c r="I15" s="36">
        <v>647542849.58000028</v>
      </c>
      <c r="J15" s="47">
        <f t="shared" si="0"/>
        <v>822986000.03000021</v>
      </c>
      <c r="L15" s="81" t="s">
        <v>455</v>
      </c>
      <c r="M15" s="82">
        <v>2</v>
      </c>
      <c r="N15" s="84">
        <v>101239</v>
      </c>
    </row>
    <row r="16" spans="1:15" x14ac:dyDescent="0.25">
      <c r="D16" s="1">
        <v>11</v>
      </c>
      <c r="E16" s="44" t="s">
        <v>147</v>
      </c>
      <c r="F16" s="36">
        <v>11223524.379999999</v>
      </c>
      <c r="G16" s="36">
        <v>29088000.419999998</v>
      </c>
      <c r="H16" s="36">
        <v>2209605.16</v>
      </c>
      <c r="I16" s="36">
        <v>0</v>
      </c>
      <c r="J16" s="47">
        <f t="shared" si="0"/>
        <v>42521129.959999993</v>
      </c>
      <c r="L16" s="81" t="s">
        <v>456</v>
      </c>
      <c r="M16" s="82">
        <v>2</v>
      </c>
      <c r="N16" s="84">
        <v>134000</v>
      </c>
    </row>
    <row r="17" spans="4:15" x14ac:dyDescent="0.25">
      <c r="D17" s="37">
        <v>12</v>
      </c>
      <c r="E17" s="44" t="s">
        <v>149</v>
      </c>
      <c r="F17" s="36">
        <v>19147784097.959999</v>
      </c>
      <c r="G17" s="36">
        <v>600000</v>
      </c>
      <c r="H17" s="36">
        <v>0</v>
      </c>
      <c r="I17" s="36">
        <v>0</v>
      </c>
      <c r="J17" s="47">
        <f t="shared" si="0"/>
        <v>19148384097.959999</v>
      </c>
      <c r="K17" s="225">
        <f>'Building Constrcution Sheet'!K36</f>
        <v>8758387137.8304005</v>
      </c>
      <c r="L17" s="81" t="s">
        <v>457</v>
      </c>
      <c r="M17" s="82">
        <v>5</v>
      </c>
      <c r="N17" s="84">
        <v>983250</v>
      </c>
    </row>
    <row r="18" spans="4:15" x14ac:dyDescent="0.25">
      <c r="D18" s="37">
        <v>13</v>
      </c>
      <c r="E18" s="44" t="s">
        <v>150</v>
      </c>
      <c r="F18" s="36">
        <v>489276723.73000002</v>
      </c>
      <c r="G18" s="36">
        <v>0</v>
      </c>
      <c r="H18" s="36">
        <v>0</v>
      </c>
      <c r="I18" s="36">
        <v>0</v>
      </c>
      <c r="J18" s="47">
        <f t="shared" si="0"/>
        <v>489276723.73000002</v>
      </c>
      <c r="L18" s="4" t="s">
        <v>458</v>
      </c>
      <c r="M18" s="82">
        <v>1</v>
      </c>
      <c r="N18" s="59">
        <v>15870708.779999999</v>
      </c>
    </row>
    <row r="19" spans="4:15" x14ac:dyDescent="0.25">
      <c r="D19" s="37">
        <v>14</v>
      </c>
      <c r="E19" s="44" t="s">
        <v>152</v>
      </c>
      <c r="F19" s="36">
        <v>0</v>
      </c>
      <c r="G19" s="36">
        <v>300000</v>
      </c>
      <c r="H19" s="36">
        <v>0</v>
      </c>
      <c r="I19" s="36">
        <v>0</v>
      </c>
      <c r="J19" s="47">
        <f t="shared" si="0"/>
        <v>300000</v>
      </c>
      <c r="L19" s="4" t="s">
        <v>459</v>
      </c>
      <c r="M19" s="82">
        <v>1</v>
      </c>
      <c r="N19" s="59">
        <v>35599085.710000001</v>
      </c>
    </row>
    <row r="20" spans="4:15" x14ac:dyDescent="0.25">
      <c r="D20" s="272" t="s">
        <v>21</v>
      </c>
      <c r="E20" s="272"/>
      <c r="F20" s="40">
        <f t="shared" ref="F20" si="1">SUM(F6:F19)</f>
        <v>30221010188.810085</v>
      </c>
      <c r="G20" s="40">
        <f>SUM(G6:G19)</f>
        <v>3246946002.4100213</v>
      </c>
      <c r="H20" s="40">
        <f t="shared" ref="H20:J20" si="2">SUM(H6:H19)</f>
        <v>1077280694.8400013</v>
      </c>
      <c r="I20" s="40">
        <f t="shared" si="2"/>
        <v>1889103191.3999968</v>
      </c>
      <c r="J20" s="48">
        <f t="shared" si="2"/>
        <v>36434340077.460106</v>
      </c>
      <c r="K20" s="233">
        <f>SUM(J18:J19,J6:J16,K17)</f>
        <v>26044343117.330505</v>
      </c>
      <c r="L20" s="4" t="s">
        <v>460</v>
      </c>
      <c r="M20" s="82">
        <v>1</v>
      </c>
      <c r="N20" s="59">
        <v>42291783.460000001</v>
      </c>
    </row>
    <row r="21" spans="4:15" x14ac:dyDescent="0.25">
      <c r="K21" s="234">
        <f>K20/10^7</f>
        <v>2604.4343117330504</v>
      </c>
      <c r="L21" s="4" t="s">
        <v>460</v>
      </c>
      <c r="M21" s="82">
        <v>1</v>
      </c>
      <c r="N21" s="59">
        <v>42291783.450000003</v>
      </c>
    </row>
    <row r="22" spans="4:15" x14ac:dyDescent="0.25">
      <c r="D22" s="278"/>
      <c r="E22" s="278"/>
      <c r="F22" s="278"/>
      <c r="G22" s="278"/>
      <c r="H22" s="278"/>
      <c r="I22" s="278"/>
      <c r="J22" s="278"/>
      <c r="L22" s="4" t="s">
        <v>461</v>
      </c>
      <c r="M22" s="82">
        <v>7</v>
      </c>
      <c r="N22" s="59">
        <v>1584639</v>
      </c>
      <c r="O22" s="5"/>
    </row>
    <row r="23" spans="4:15" x14ac:dyDescent="0.25">
      <c r="L23" s="4"/>
      <c r="M23" s="82">
        <f>SUM(M6:M22)</f>
        <v>1908</v>
      </c>
      <c r="N23" s="81">
        <f>SUM(N6:N22)</f>
        <v>294317113.24000049</v>
      </c>
    </row>
    <row r="24" spans="4:15" x14ac:dyDescent="0.25">
      <c r="D24" s="275" t="s">
        <v>169</v>
      </c>
      <c r="E24" s="275"/>
      <c r="F24" s="275"/>
      <c r="G24" s="275"/>
      <c r="H24" s="275"/>
      <c r="I24" s="275"/>
      <c r="J24" s="275"/>
    </row>
    <row r="25" spans="4:15" x14ac:dyDescent="0.25">
      <c r="D25" s="34" t="s">
        <v>25</v>
      </c>
      <c r="E25" s="34" t="s">
        <v>26</v>
      </c>
      <c r="F25" s="34">
        <v>2018</v>
      </c>
      <c r="G25" s="34">
        <v>2019</v>
      </c>
      <c r="H25" s="34">
        <v>2020</v>
      </c>
      <c r="I25" s="34">
        <v>2021</v>
      </c>
      <c r="J25" s="34" t="s">
        <v>151</v>
      </c>
      <c r="L25" s="100">
        <f>(J20-K20)/J20</f>
        <v>0.28517044464206753</v>
      </c>
      <c r="N25" s="32"/>
    </row>
    <row r="26" spans="4:15" x14ac:dyDescent="0.25">
      <c r="D26" s="37">
        <v>1</v>
      </c>
      <c r="E26" s="4" t="s">
        <v>137</v>
      </c>
      <c r="F26" s="47">
        <v>8414889167.1800957</v>
      </c>
      <c r="G26" s="47">
        <v>2083059786.3800218</v>
      </c>
      <c r="H26" s="47">
        <v>349824464.77000087</v>
      </c>
      <c r="I26" s="47">
        <v>752948141.11999691</v>
      </c>
      <c r="J26" s="47">
        <f t="shared" ref="J26:J29" si="3">SUM(F26:I26)</f>
        <v>11600721559.450115</v>
      </c>
      <c r="L26" s="235">
        <f>K17/10^7</f>
        <v>875.83871378304002</v>
      </c>
      <c r="N26" s="32"/>
    </row>
    <row r="27" spans="4:15" x14ac:dyDescent="0.25">
      <c r="D27" s="1">
        <v>2</v>
      </c>
      <c r="E27" s="4" t="s">
        <v>139</v>
      </c>
      <c r="F27" s="47">
        <v>378830.11</v>
      </c>
      <c r="G27" s="47">
        <v>358218</v>
      </c>
      <c r="H27" s="47">
        <v>4215027.8600000003</v>
      </c>
      <c r="I27" s="47">
        <v>119406</v>
      </c>
      <c r="J27" s="47">
        <f t="shared" si="3"/>
        <v>5071481.9700000007</v>
      </c>
      <c r="N27" s="80"/>
    </row>
    <row r="28" spans="4:15" x14ac:dyDescent="0.25">
      <c r="D28" s="37">
        <v>3</v>
      </c>
      <c r="E28" s="4" t="s">
        <v>140</v>
      </c>
      <c r="F28" s="47">
        <v>413632871.359999</v>
      </c>
      <c r="G28" s="47">
        <v>51237420.620000035</v>
      </c>
      <c r="H28" s="47">
        <v>63253778.68</v>
      </c>
      <c r="I28" s="47">
        <v>48252386.049999967</v>
      </c>
      <c r="J28" s="47">
        <f t="shared" si="3"/>
        <v>576376456.70999908</v>
      </c>
      <c r="L28" s="31"/>
    </row>
    <row r="29" spans="4:15" x14ac:dyDescent="0.25">
      <c r="D29" s="37">
        <v>4</v>
      </c>
      <c r="E29" s="4" t="s">
        <v>146</v>
      </c>
      <c r="F29" s="47">
        <v>2786600.0499999989</v>
      </c>
      <c r="G29" s="47">
        <v>5472121.4000000004</v>
      </c>
      <c r="H29" s="47">
        <v>167184429</v>
      </c>
      <c r="I29" s="47">
        <v>647542849.58000028</v>
      </c>
      <c r="J29" s="47">
        <f t="shared" si="3"/>
        <v>822986000.03000021</v>
      </c>
      <c r="L29" s="31"/>
    </row>
    <row r="30" spans="4:15" x14ac:dyDescent="0.25">
      <c r="D30" s="272" t="s">
        <v>21</v>
      </c>
      <c r="E30" s="272"/>
      <c r="F30" s="48">
        <f>SUM(F26:F29)</f>
        <v>8831687468.7000942</v>
      </c>
      <c r="G30" s="48">
        <f t="shared" ref="G30:J30" si="4">SUM(G26:G29)</f>
        <v>2140127546.400022</v>
      </c>
      <c r="H30" s="48">
        <f t="shared" si="4"/>
        <v>584477700.3100009</v>
      </c>
      <c r="I30" s="48">
        <f t="shared" si="4"/>
        <v>1448862782.7499971</v>
      </c>
      <c r="J30" s="48">
        <f t="shared" si="4"/>
        <v>13005155498.160114</v>
      </c>
      <c r="K30" s="23">
        <f>J30/10^7</f>
        <v>1300.5155498160113</v>
      </c>
      <c r="L30" s="31"/>
    </row>
    <row r="31" spans="4:15" x14ac:dyDescent="0.25">
      <c r="D31" s="273" t="s">
        <v>173</v>
      </c>
      <c r="E31" s="273"/>
      <c r="F31" s="273"/>
      <c r="G31" s="273"/>
      <c r="H31" s="273"/>
      <c r="I31" s="273"/>
      <c r="J31" s="273"/>
      <c r="L31" s="31"/>
    </row>
    <row r="32" spans="4:15" x14ac:dyDescent="0.25">
      <c r="D32" s="274" t="s">
        <v>174</v>
      </c>
      <c r="E32" s="274"/>
      <c r="F32" s="274"/>
      <c r="G32" s="274"/>
      <c r="H32" s="274"/>
      <c r="I32" s="274"/>
      <c r="J32" s="274"/>
    </row>
    <row r="33" spans="4:11" x14ac:dyDescent="0.25">
      <c r="D33" s="274" t="s">
        <v>175</v>
      </c>
      <c r="E33" s="274"/>
      <c r="F33" s="274"/>
      <c r="G33" s="274"/>
      <c r="H33" s="274"/>
      <c r="I33" s="274"/>
      <c r="J33" s="274"/>
    </row>
    <row r="34" spans="4:11" x14ac:dyDescent="0.25">
      <c r="D34" s="86"/>
      <c r="E34" s="86"/>
      <c r="F34" s="86"/>
      <c r="G34" s="86"/>
      <c r="H34" s="86"/>
      <c r="I34" s="86"/>
      <c r="J34" s="86"/>
    </row>
    <row r="35" spans="4:11" x14ac:dyDescent="0.25">
      <c r="D35" s="279"/>
      <c r="E35" s="279"/>
      <c r="F35" s="279"/>
      <c r="G35" s="279"/>
      <c r="H35" s="279"/>
      <c r="I35" s="279"/>
      <c r="J35" s="279"/>
    </row>
    <row r="37" spans="4:11" x14ac:dyDescent="0.25">
      <c r="D37" s="275" t="s">
        <v>170</v>
      </c>
      <c r="E37" s="275"/>
      <c r="F37" s="275"/>
      <c r="G37" s="275"/>
      <c r="H37" s="275"/>
      <c r="I37" s="275"/>
      <c r="J37" s="275"/>
    </row>
    <row r="38" spans="4:11" x14ac:dyDescent="0.25">
      <c r="D38" s="34" t="s">
        <v>25</v>
      </c>
      <c r="E38" s="34" t="s">
        <v>26</v>
      </c>
      <c r="F38" s="34">
        <v>2018</v>
      </c>
      <c r="G38" s="34">
        <v>2019</v>
      </c>
      <c r="H38" s="34">
        <v>2020</v>
      </c>
      <c r="I38" s="34">
        <v>2021</v>
      </c>
      <c r="J38" s="34" t="s">
        <v>151</v>
      </c>
      <c r="K38" s="23">
        <f>SUM(J30,J40,J56)</f>
        <v>16796679255.770105</v>
      </c>
    </row>
    <row r="39" spans="4:11" x14ac:dyDescent="0.25">
      <c r="D39" s="1">
        <v>1</v>
      </c>
      <c r="E39" s="35" t="s">
        <v>136</v>
      </c>
      <c r="F39" s="47">
        <v>531064464.5200001</v>
      </c>
      <c r="G39" s="47">
        <v>864440895.41000009</v>
      </c>
      <c r="H39" s="47">
        <v>470419118.93000048</v>
      </c>
      <c r="I39" s="47">
        <v>421394290.11999977</v>
      </c>
      <c r="J39" s="47">
        <f>SUM(F39:I39)</f>
        <v>2287318768.9800005</v>
      </c>
    </row>
    <row r="40" spans="4:11" x14ac:dyDescent="0.25">
      <c r="D40" s="272" t="s">
        <v>21</v>
      </c>
      <c r="E40" s="272"/>
      <c r="F40" s="48">
        <f>SUM(F38:F39)</f>
        <v>531066482.5200001</v>
      </c>
      <c r="G40" s="48">
        <f t="shared" ref="G40:J40" si="5">SUM(G38:G39)</f>
        <v>864442914.41000009</v>
      </c>
      <c r="H40" s="48">
        <f t="shared" si="5"/>
        <v>470421138.93000048</v>
      </c>
      <c r="I40" s="48">
        <f t="shared" si="5"/>
        <v>421396311.11999977</v>
      </c>
      <c r="J40" s="48">
        <f t="shared" si="5"/>
        <v>2287318768.9800005</v>
      </c>
      <c r="K40" s="23">
        <f>J40/10^7</f>
        <v>228.73187689800005</v>
      </c>
    </row>
    <row r="41" spans="4:11" x14ac:dyDescent="0.25">
      <c r="D41" s="273" t="s">
        <v>173</v>
      </c>
      <c r="E41" s="273"/>
      <c r="F41" s="273"/>
      <c r="G41" s="273"/>
      <c r="H41" s="273"/>
      <c r="I41" s="273"/>
      <c r="J41" s="273"/>
    </row>
    <row r="42" spans="4:11" x14ac:dyDescent="0.25">
      <c r="D42" s="274" t="s">
        <v>176</v>
      </c>
      <c r="E42" s="274"/>
      <c r="F42" s="274"/>
      <c r="G42" s="274"/>
      <c r="H42" s="274"/>
      <c r="I42" s="274"/>
      <c r="J42" s="274"/>
    </row>
    <row r="43" spans="4:11" x14ac:dyDescent="0.25">
      <c r="D43" s="274" t="s">
        <v>175</v>
      </c>
      <c r="E43" s="274"/>
      <c r="F43" s="274"/>
      <c r="G43" s="274"/>
      <c r="H43" s="274"/>
      <c r="I43" s="274"/>
      <c r="J43" s="274"/>
    </row>
    <row r="44" spans="4:11" x14ac:dyDescent="0.25">
      <c r="D44" s="45"/>
      <c r="E44" s="45"/>
      <c r="F44" s="46"/>
      <c r="G44" s="46"/>
      <c r="H44" s="46"/>
      <c r="I44" s="46"/>
      <c r="J44" s="46"/>
    </row>
    <row r="45" spans="4:11" x14ac:dyDescent="0.25">
      <c r="D45" s="280"/>
      <c r="E45" s="280"/>
      <c r="F45" s="280"/>
      <c r="G45" s="280"/>
      <c r="H45" s="280"/>
      <c r="I45" s="280"/>
      <c r="J45" s="280"/>
    </row>
    <row r="47" spans="4:11" x14ac:dyDescent="0.25">
      <c r="D47" s="276" t="s">
        <v>171</v>
      </c>
      <c r="E47" s="277"/>
      <c r="F47" s="277"/>
      <c r="G47" s="277"/>
      <c r="H47" s="277"/>
      <c r="I47" s="277"/>
      <c r="J47" s="277"/>
    </row>
    <row r="48" spans="4:11" x14ac:dyDescent="0.25">
      <c r="D48" s="34" t="s">
        <v>25</v>
      </c>
      <c r="E48" s="34" t="s">
        <v>26</v>
      </c>
      <c r="F48" s="34">
        <v>2018</v>
      </c>
      <c r="G48" s="34">
        <v>2019</v>
      </c>
      <c r="H48" s="34">
        <v>2020</v>
      </c>
      <c r="I48" s="34">
        <v>2021</v>
      </c>
      <c r="J48" s="34" t="s">
        <v>151</v>
      </c>
    </row>
    <row r="49" spans="4:12" x14ac:dyDescent="0.25">
      <c r="D49" s="1">
        <v>1</v>
      </c>
      <c r="E49" s="4" t="s">
        <v>141</v>
      </c>
      <c r="F49" s="47">
        <v>145937582.44000098</v>
      </c>
      <c r="G49" s="47">
        <v>133668749.79999948</v>
      </c>
      <c r="H49" s="47">
        <v>8736615.0199999977</v>
      </c>
      <c r="I49" s="47">
        <v>5974165.9800000004</v>
      </c>
      <c r="J49" s="47">
        <f t="shared" ref="J49:J55" si="6">SUM(F49:I49)</f>
        <v>294317113.24000049</v>
      </c>
    </row>
    <row r="50" spans="4:12" x14ac:dyDescent="0.25">
      <c r="D50" s="37">
        <v>2</v>
      </c>
      <c r="E50" s="4" t="s">
        <v>142</v>
      </c>
      <c r="F50" s="47">
        <v>125494232.96000054</v>
      </c>
      <c r="G50" s="47">
        <v>12775057.750000019</v>
      </c>
      <c r="H50" s="47">
        <v>1428045.06</v>
      </c>
      <c r="I50" s="47">
        <v>1923144.5600000012</v>
      </c>
      <c r="J50" s="47">
        <f t="shared" si="6"/>
        <v>141620480.33000058</v>
      </c>
    </row>
    <row r="51" spans="4:12" x14ac:dyDescent="0.25">
      <c r="D51" s="37">
        <v>3</v>
      </c>
      <c r="E51" s="4" t="s">
        <v>143</v>
      </c>
      <c r="F51" s="47">
        <v>186081760.38000041</v>
      </c>
      <c r="G51" s="47">
        <v>25609908.380000014</v>
      </c>
      <c r="H51" s="47">
        <v>5523621.1400000006</v>
      </c>
      <c r="I51" s="47">
        <v>3569837.73</v>
      </c>
      <c r="J51" s="47">
        <f t="shared" si="6"/>
        <v>220785127.63000044</v>
      </c>
    </row>
    <row r="52" spans="4:12" x14ac:dyDescent="0.25">
      <c r="D52" s="1">
        <v>4</v>
      </c>
      <c r="E52" s="4" t="s">
        <v>144</v>
      </c>
      <c r="F52" s="47">
        <v>408060637.1499908</v>
      </c>
      <c r="G52" s="47">
        <v>40281084.249999903</v>
      </c>
      <c r="H52" s="47">
        <v>4485989.2199999979</v>
      </c>
      <c r="I52" s="47">
        <v>7378970.2599999998</v>
      </c>
      <c r="J52" s="47">
        <f t="shared" si="6"/>
        <v>460206680.87999064</v>
      </c>
    </row>
    <row r="53" spans="4:12" x14ac:dyDescent="0.25">
      <c r="D53" s="37">
        <v>5</v>
      </c>
      <c r="E53" s="4" t="s">
        <v>145</v>
      </c>
      <c r="F53" s="47">
        <v>344399696.59000003</v>
      </c>
      <c r="G53" s="47">
        <v>54760</v>
      </c>
      <c r="H53" s="47">
        <v>0</v>
      </c>
      <c r="I53" s="47">
        <v>0</v>
      </c>
      <c r="J53" s="47">
        <f t="shared" si="6"/>
        <v>344454456.59000003</v>
      </c>
      <c r="L53" s="32"/>
    </row>
    <row r="54" spans="4:12" x14ac:dyDescent="0.25">
      <c r="D54" s="1">
        <v>6</v>
      </c>
      <c r="E54" s="4" t="s">
        <v>147</v>
      </c>
      <c r="F54" s="47">
        <v>11223524.379999999</v>
      </c>
      <c r="G54" s="47">
        <v>29088000.419999998</v>
      </c>
      <c r="H54" s="47">
        <v>2209605.16</v>
      </c>
      <c r="I54" s="47">
        <v>0</v>
      </c>
      <c r="J54" s="47">
        <f t="shared" si="6"/>
        <v>42521129.959999993</v>
      </c>
    </row>
    <row r="55" spans="4:12" x14ac:dyDescent="0.25">
      <c r="D55" s="37">
        <v>7</v>
      </c>
      <c r="E55" s="4" t="s">
        <v>152</v>
      </c>
      <c r="F55" s="47">
        <v>0</v>
      </c>
      <c r="G55" s="47">
        <v>300000</v>
      </c>
      <c r="H55" s="47">
        <v>0</v>
      </c>
      <c r="I55" s="47">
        <v>0</v>
      </c>
      <c r="J55" s="47">
        <f t="shared" si="6"/>
        <v>300000</v>
      </c>
    </row>
    <row r="56" spans="4:12" x14ac:dyDescent="0.25">
      <c r="D56" s="272" t="s">
        <v>21</v>
      </c>
      <c r="E56" s="272"/>
      <c r="F56" s="48">
        <f>SUM(F49:F55)</f>
        <v>1221197433.8999929</v>
      </c>
      <c r="G56" s="48">
        <f t="shared" ref="G56:J56" si="7">SUM(G49:G55)</f>
        <v>241777560.59999943</v>
      </c>
      <c r="H56" s="48">
        <f t="shared" si="7"/>
        <v>22383875.599999998</v>
      </c>
      <c r="I56" s="48">
        <f t="shared" si="7"/>
        <v>18846118.530000001</v>
      </c>
      <c r="J56" s="48">
        <f t="shared" si="7"/>
        <v>1504204988.629992</v>
      </c>
    </row>
    <row r="57" spans="4:12" x14ac:dyDescent="0.25">
      <c r="D57" s="273" t="s">
        <v>173</v>
      </c>
      <c r="E57" s="273"/>
      <c r="F57" s="273"/>
      <c r="G57" s="273"/>
      <c r="H57" s="273"/>
      <c r="I57" s="273"/>
      <c r="J57" s="273"/>
    </row>
    <row r="58" spans="4:12" x14ac:dyDescent="0.25">
      <c r="D58" s="274" t="s">
        <v>177</v>
      </c>
      <c r="E58" s="274"/>
      <c r="F58" s="274"/>
      <c r="G58" s="274"/>
      <c r="H58" s="274"/>
      <c r="I58" s="274"/>
      <c r="J58" s="274"/>
    </row>
    <row r="59" spans="4:12" x14ac:dyDescent="0.25">
      <c r="D59" s="274" t="s">
        <v>175</v>
      </c>
      <c r="E59" s="274"/>
      <c r="F59" s="274"/>
      <c r="G59" s="274"/>
      <c r="H59" s="274"/>
      <c r="I59" s="274"/>
      <c r="J59" s="274"/>
    </row>
    <row r="60" spans="4:12" x14ac:dyDescent="0.25">
      <c r="D60" s="45"/>
      <c r="E60" s="45"/>
      <c r="F60" s="46"/>
      <c r="G60" s="46"/>
      <c r="H60" s="46"/>
      <c r="I60" s="46"/>
      <c r="J60" s="46"/>
    </row>
    <row r="61" spans="4:12" x14ac:dyDescent="0.25">
      <c r="D61" s="280"/>
      <c r="E61" s="280"/>
      <c r="F61" s="280"/>
      <c r="G61" s="280"/>
      <c r="H61" s="280"/>
      <c r="I61" s="280"/>
      <c r="J61" s="280"/>
    </row>
    <row r="63" spans="4:12" x14ac:dyDescent="0.25">
      <c r="D63" s="275" t="s">
        <v>172</v>
      </c>
      <c r="E63" s="275"/>
      <c r="F63" s="275"/>
      <c r="G63" s="275"/>
      <c r="H63" s="275"/>
      <c r="I63" s="275"/>
      <c r="J63" s="275"/>
    </row>
    <row r="64" spans="4:12" x14ac:dyDescent="0.25">
      <c r="D64" s="34" t="s">
        <v>25</v>
      </c>
      <c r="E64" s="34" t="s">
        <v>26</v>
      </c>
      <c r="F64" s="34">
        <v>2018</v>
      </c>
      <c r="G64" s="34">
        <v>2019</v>
      </c>
      <c r="H64" s="34">
        <v>2020</v>
      </c>
      <c r="I64" s="34">
        <v>2021</v>
      </c>
      <c r="J64" s="34" t="s">
        <v>151</v>
      </c>
    </row>
    <row r="65" spans="4:11" x14ac:dyDescent="0.25">
      <c r="D65" s="37">
        <v>1</v>
      </c>
      <c r="E65" s="4" t="s">
        <v>149</v>
      </c>
      <c r="F65" s="36">
        <v>19147784097.959999</v>
      </c>
      <c r="G65" s="36">
        <v>600000</v>
      </c>
      <c r="H65" s="36">
        <v>0</v>
      </c>
      <c r="I65" s="36">
        <v>0</v>
      </c>
      <c r="J65" s="36">
        <f t="shared" ref="J65:J66" si="8">SUM(F65:I65)</f>
        <v>19148384097.959999</v>
      </c>
      <c r="K65" s="23">
        <v>7819988515.9200001</v>
      </c>
    </row>
    <row r="66" spans="4:11" x14ac:dyDescent="0.25">
      <c r="D66" s="37">
        <v>2</v>
      </c>
      <c r="E66" s="4" t="s">
        <v>150</v>
      </c>
      <c r="F66" s="36">
        <v>489276723.73000002</v>
      </c>
      <c r="G66" s="36">
        <v>0</v>
      </c>
      <c r="H66" s="36">
        <v>0</v>
      </c>
      <c r="I66" s="36">
        <v>0</v>
      </c>
      <c r="J66" s="36">
        <f t="shared" si="8"/>
        <v>489276723.73000002</v>
      </c>
    </row>
    <row r="67" spans="4:11" x14ac:dyDescent="0.25">
      <c r="D67" s="272" t="s">
        <v>21</v>
      </c>
      <c r="E67" s="272"/>
      <c r="F67" s="39">
        <f>SUM(F65:F66)</f>
        <v>19637060821.689999</v>
      </c>
      <c r="G67" s="39">
        <f t="shared" ref="G67:J67" si="9">SUM(G65:G66)</f>
        <v>600000</v>
      </c>
      <c r="H67" s="39">
        <f t="shared" si="9"/>
        <v>0</v>
      </c>
      <c r="I67" s="39">
        <f t="shared" si="9"/>
        <v>0</v>
      </c>
      <c r="J67" s="39">
        <f t="shared" si="9"/>
        <v>19637660821.689999</v>
      </c>
    </row>
    <row r="68" spans="4:11" x14ac:dyDescent="0.25">
      <c r="D68" s="273" t="s">
        <v>173</v>
      </c>
      <c r="E68" s="273"/>
      <c r="F68" s="273"/>
      <c r="G68" s="273"/>
      <c r="H68" s="273"/>
      <c r="I68" s="273"/>
      <c r="J68" s="273"/>
    </row>
    <row r="69" spans="4:11" x14ac:dyDescent="0.25">
      <c r="D69" s="274" t="s">
        <v>178</v>
      </c>
      <c r="E69" s="274"/>
      <c r="F69" s="274"/>
      <c r="G69" s="274"/>
      <c r="H69" s="274"/>
      <c r="I69" s="274"/>
      <c r="J69" s="274"/>
    </row>
    <row r="70" spans="4:11" x14ac:dyDescent="0.25">
      <c r="D70" s="274" t="s">
        <v>175</v>
      </c>
      <c r="E70" s="274"/>
      <c r="F70" s="274"/>
      <c r="G70" s="274"/>
      <c r="H70" s="274"/>
      <c r="I70" s="274"/>
      <c r="J70" s="274"/>
    </row>
  </sheetData>
  <mergeCells count="27">
    <mergeCell ref="D61:J61"/>
    <mergeCell ref="L5:N5"/>
    <mergeCell ref="D58:J58"/>
    <mergeCell ref="D59:J59"/>
    <mergeCell ref="D20:E20"/>
    <mergeCell ref="D45:J45"/>
    <mergeCell ref="D4:J4"/>
    <mergeCell ref="D24:J24"/>
    <mergeCell ref="D30:E30"/>
    <mergeCell ref="D22:J22"/>
    <mergeCell ref="D35:J35"/>
    <mergeCell ref="D68:J68"/>
    <mergeCell ref="D69:J69"/>
    <mergeCell ref="D70:J70"/>
    <mergeCell ref="D31:J31"/>
    <mergeCell ref="D32:J32"/>
    <mergeCell ref="D33:J33"/>
    <mergeCell ref="D41:J41"/>
    <mergeCell ref="D42:J42"/>
    <mergeCell ref="D43:J43"/>
    <mergeCell ref="D37:J37"/>
    <mergeCell ref="D40:E40"/>
    <mergeCell ref="D47:J47"/>
    <mergeCell ref="D56:E56"/>
    <mergeCell ref="D63:J63"/>
    <mergeCell ref="D67:E67"/>
    <mergeCell ref="D57:J5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6:I13"/>
  <sheetViews>
    <sheetView workbookViewId="0">
      <selection activeCell="I10" sqref="I10:I16"/>
    </sheetView>
  </sheetViews>
  <sheetFormatPr defaultRowHeight="15" x14ac:dyDescent="0.25"/>
  <cols>
    <col min="4" max="4" width="30.42578125" bestFit="1" customWidth="1"/>
    <col min="5" max="5" width="14.28515625" bestFit="1" customWidth="1"/>
  </cols>
  <sheetData>
    <row r="6" spans="4:9" x14ac:dyDescent="0.25">
      <c r="D6" s="282" t="s">
        <v>464</v>
      </c>
      <c r="E6" s="282"/>
    </row>
    <row r="7" spans="4:9" x14ac:dyDescent="0.25">
      <c r="D7" s="255"/>
      <c r="E7" s="256"/>
    </row>
    <row r="8" spans="4:9" x14ac:dyDescent="0.25">
      <c r="D8" s="2" t="s">
        <v>465</v>
      </c>
      <c r="E8" s="85" t="s">
        <v>23</v>
      </c>
    </row>
    <row r="9" spans="4:9" x14ac:dyDescent="0.25">
      <c r="D9" s="2" t="s">
        <v>22</v>
      </c>
      <c r="E9" s="7">
        <v>96</v>
      </c>
    </row>
    <row r="10" spans="4:9" x14ac:dyDescent="0.25">
      <c r="D10" s="2" t="s">
        <v>24</v>
      </c>
      <c r="E10" s="7">
        <v>1.8</v>
      </c>
      <c r="I10" s="5"/>
    </row>
    <row r="11" spans="4:9" x14ac:dyDescent="0.25">
      <c r="D11" s="2" t="s">
        <v>21</v>
      </c>
      <c r="E11" s="8">
        <f>SUM(E9:E10)</f>
        <v>97.8</v>
      </c>
      <c r="I11" s="5"/>
    </row>
    <row r="13" spans="4:9" x14ac:dyDescent="0.25">
      <c r="I13" s="5"/>
    </row>
  </sheetData>
  <mergeCells count="2">
    <mergeCell ref="D6:E6"/>
    <mergeCell ref="D7:E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N31"/>
  <sheetViews>
    <sheetView topLeftCell="A4" workbookViewId="0">
      <selection activeCell="K28" sqref="K28"/>
    </sheetView>
  </sheetViews>
  <sheetFormatPr defaultRowHeight="15" x14ac:dyDescent="0.25"/>
  <cols>
    <col min="4" max="4" width="32.28515625" style="41" bestFit="1" customWidth="1"/>
    <col min="5" max="5" width="15.28515625" style="41" customWidth="1"/>
    <col min="6" max="6" width="40.7109375" style="42" bestFit="1" customWidth="1"/>
    <col min="7" max="7" width="19.5703125" style="41" bestFit="1" customWidth="1"/>
    <col min="12" max="12" width="18.5703125" bestFit="1" customWidth="1"/>
    <col min="14" max="14" width="18.5703125" bestFit="1" customWidth="1"/>
  </cols>
  <sheetData>
    <row r="4" spans="4:14" ht="15.75" x14ac:dyDescent="0.25">
      <c r="D4" s="61" t="s">
        <v>153</v>
      </c>
      <c r="E4" s="61" t="s">
        <v>148</v>
      </c>
      <c r="F4" s="61" t="s">
        <v>154</v>
      </c>
      <c r="G4" s="61" t="s">
        <v>155</v>
      </c>
    </row>
    <row r="5" spans="4:14" x14ac:dyDescent="0.25">
      <c r="D5" s="263" t="s">
        <v>156</v>
      </c>
      <c r="E5" s="287" t="s">
        <v>157</v>
      </c>
      <c r="F5" s="62" t="s">
        <v>160</v>
      </c>
      <c r="G5" s="283">
        <v>15953285376</v>
      </c>
    </row>
    <row r="6" spans="4:14" ht="30" x14ac:dyDescent="0.25">
      <c r="D6" s="263"/>
      <c r="E6" s="287"/>
      <c r="F6" s="62" t="s">
        <v>159</v>
      </c>
      <c r="G6" s="284"/>
    </row>
    <row r="7" spans="4:14" ht="30" x14ac:dyDescent="0.25">
      <c r="D7" s="263"/>
      <c r="E7" s="287"/>
      <c r="F7" s="62" t="s">
        <v>158</v>
      </c>
      <c r="G7" s="284"/>
    </row>
    <row r="8" spans="4:14" ht="30" x14ac:dyDescent="0.25">
      <c r="D8" s="263"/>
      <c r="E8" s="287"/>
      <c r="F8" s="62" t="s">
        <v>161</v>
      </c>
      <c r="G8" s="284"/>
    </row>
    <row r="9" spans="4:14" ht="45" x14ac:dyDescent="0.25">
      <c r="D9" s="263"/>
      <c r="E9" s="287"/>
      <c r="F9" s="62" t="s">
        <v>162</v>
      </c>
      <c r="G9" s="284"/>
    </row>
    <row r="10" spans="4:14" x14ac:dyDescent="0.25">
      <c r="D10" s="263"/>
      <c r="E10" s="287" t="s">
        <v>163</v>
      </c>
      <c r="F10" s="62" t="s">
        <v>160</v>
      </c>
      <c r="G10" s="284"/>
    </row>
    <row r="11" spans="4:14" ht="30" x14ac:dyDescent="0.25">
      <c r="D11" s="263"/>
      <c r="E11" s="287"/>
      <c r="F11" s="62" t="s">
        <v>159</v>
      </c>
      <c r="G11" s="284"/>
    </row>
    <row r="12" spans="4:14" ht="18" customHeight="1" x14ac:dyDescent="0.25">
      <c r="D12" s="263"/>
      <c r="E12" s="287"/>
      <c r="F12" s="62" t="s">
        <v>164</v>
      </c>
      <c r="G12" s="284"/>
    </row>
    <row r="13" spans="4:14" ht="45" x14ac:dyDescent="0.25">
      <c r="D13" s="263"/>
      <c r="E13" s="287"/>
      <c r="F13" s="62" t="s">
        <v>165</v>
      </c>
      <c r="G13" s="284"/>
    </row>
    <row r="14" spans="4:14" ht="30" x14ac:dyDescent="0.25">
      <c r="D14" s="263"/>
      <c r="E14" s="287"/>
      <c r="F14" s="62" t="s">
        <v>166</v>
      </c>
      <c r="G14" s="284"/>
      <c r="N14" s="23"/>
    </row>
    <row r="15" spans="4:14" x14ac:dyDescent="0.25">
      <c r="D15" s="263"/>
      <c r="E15" s="287" t="s">
        <v>167</v>
      </c>
      <c r="F15" s="62" t="s">
        <v>160</v>
      </c>
      <c r="G15" s="284"/>
      <c r="N15" s="32"/>
    </row>
    <row r="16" spans="4:14" ht="30" x14ac:dyDescent="0.25">
      <c r="D16" s="263"/>
      <c r="E16" s="287"/>
      <c r="F16" s="62" t="s">
        <v>159</v>
      </c>
      <c r="G16" s="284"/>
    </row>
    <row r="17" spans="4:14" ht="60" x14ac:dyDescent="0.25">
      <c r="D17" s="263"/>
      <c r="E17" s="287"/>
      <c r="F17" s="62" t="s">
        <v>168</v>
      </c>
      <c r="G17" s="284"/>
      <c r="L17" s="23"/>
      <c r="N17" s="23"/>
    </row>
    <row r="18" spans="4:14" ht="15" customHeight="1" x14ac:dyDescent="0.25">
      <c r="D18" s="263"/>
      <c r="E18" s="286" t="s">
        <v>86</v>
      </c>
      <c r="F18" s="62" t="s">
        <v>160</v>
      </c>
      <c r="G18" s="284"/>
    </row>
    <row r="19" spans="4:14" ht="30" x14ac:dyDescent="0.25">
      <c r="D19" s="263"/>
      <c r="E19" s="286"/>
      <c r="F19" s="62" t="s">
        <v>159</v>
      </c>
      <c r="G19" s="284"/>
      <c r="L19" s="32"/>
      <c r="N19" s="32"/>
    </row>
    <row r="20" spans="4:14" ht="75" x14ac:dyDescent="0.25">
      <c r="D20" s="263"/>
      <c r="E20" s="286"/>
      <c r="F20" s="62" t="s">
        <v>417</v>
      </c>
      <c r="G20" s="284"/>
      <c r="L20" s="32"/>
      <c r="N20" s="32"/>
    </row>
    <row r="21" spans="4:14" ht="45" x14ac:dyDescent="0.25">
      <c r="D21" s="263"/>
      <c r="E21" s="286"/>
      <c r="F21" s="62" t="s">
        <v>418</v>
      </c>
      <c r="G21" s="285"/>
      <c r="L21" s="32"/>
    </row>
    <row r="22" spans="4:14" x14ac:dyDescent="0.25">
      <c r="D22" s="263" t="s">
        <v>426</v>
      </c>
      <c r="E22" s="286" t="s">
        <v>419</v>
      </c>
      <c r="F22" s="62" t="s">
        <v>160</v>
      </c>
      <c r="G22" s="283"/>
    </row>
    <row r="23" spans="4:14" ht="30" x14ac:dyDescent="0.25">
      <c r="D23" s="263"/>
      <c r="E23" s="286"/>
      <c r="F23" s="62" t="s">
        <v>422</v>
      </c>
      <c r="G23" s="284"/>
    </row>
    <row r="24" spans="4:14" ht="195" x14ac:dyDescent="0.25">
      <c r="D24" s="263"/>
      <c r="E24" s="286"/>
      <c r="F24" s="62" t="s">
        <v>420</v>
      </c>
      <c r="G24" s="284"/>
    </row>
    <row r="25" spans="4:14" x14ac:dyDescent="0.25">
      <c r="D25" s="263"/>
      <c r="E25" s="286" t="s">
        <v>421</v>
      </c>
      <c r="F25" s="62" t="s">
        <v>160</v>
      </c>
      <c r="G25" s="284"/>
    </row>
    <row r="26" spans="4:14" ht="135" x14ac:dyDescent="0.25">
      <c r="D26" s="263"/>
      <c r="E26" s="286"/>
      <c r="F26" s="62" t="s">
        <v>423</v>
      </c>
      <c r="G26" s="284"/>
    </row>
    <row r="27" spans="4:14" ht="195" x14ac:dyDescent="0.25">
      <c r="D27" s="263"/>
      <c r="E27" s="286"/>
      <c r="F27" s="62" t="s">
        <v>420</v>
      </c>
      <c r="G27" s="284"/>
    </row>
    <row r="28" spans="4:14" x14ac:dyDescent="0.25">
      <c r="D28" s="263"/>
      <c r="E28" s="286" t="s">
        <v>424</v>
      </c>
      <c r="F28" s="62" t="s">
        <v>160</v>
      </c>
      <c r="G28" s="284"/>
    </row>
    <row r="29" spans="4:14" ht="30" x14ac:dyDescent="0.25">
      <c r="D29" s="263"/>
      <c r="E29" s="286"/>
      <c r="F29" s="62" t="s">
        <v>159</v>
      </c>
      <c r="G29" s="284"/>
    </row>
    <row r="30" spans="4:14" ht="90" x14ac:dyDescent="0.25">
      <c r="D30" s="263"/>
      <c r="E30" s="286"/>
      <c r="F30" s="62" t="s">
        <v>425</v>
      </c>
      <c r="G30" s="285"/>
    </row>
    <row r="31" spans="4:14" s="6" customFormat="1" x14ac:dyDescent="0.25">
      <c r="D31" s="272" t="s">
        <v>21</v>
      </c>
      <c r="E31" s="272"/>
      <c r="F31" s="272"/>
      <c r="G31" s="63">
        <v>15953285376</v>
      </c>
    </row>
  </sheetData>
  <mergeCells count="12">
    <mergeCell ref="D31:F31"/>
    <mergeCell ref="G5:G21"/>
    <mergeCell ref="G22:G30"/>
    <mergeCell ref="E22:E24"/>
    <mergeCell ref="E25:E27"/>
    <mergeCell ref="E28:E30"/>
    <mergeCell ref="D22:D30"/>
    <mergeCell ref="E5:E9"/>
    <mergeCell ref="E10:E14"/>
    <mergeCell ref="E15:E17"/>
    <mergeCell ref="E18:E21"/>
    <mergeCell ref="D5:D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REQUIREMENT DETAILS MAILED BY U</vt:lpstr>
      <vt:lpstr>questionaire sent</vt:lpstr>
      <vt:lpstr>physical verificaion of machine</vt:lpstr>
      <vt:lpstr>CA certificates</vt:lpstr>
      <vt:lpstr>QUARTERWISE WORKING</vt:lpstr>
      <vt:lpstr>As per FAR</vt:lpstr>
      <vt:lpstr>YEARWISE COST INCURRED</vt:lpstr>
      <vt:lpstr>Capacity</vt:lpstr>
      <vt:lpstr>constractual work</vt:lpstr>
      <vt:lpstr>rate bifucation</vt:lpstr>
      <vt:lpstr>Sheet2</vt:lpstr>
      <vt:lpstr>Building Constrcution Sheet</vt:lpstr>
      <vt:lpstr>Sheet3</vt:lpstr>
      <vt:lpstr>Construcrion amount</vt:lpstr>
      <vt:lpstr>DPR INVESTMENT</vt:lpstr>
      <vt:lpstr>Sheet1</vt:lpstr>
      <vt:lpstr>hhp zone A</vt:lpstr>
      <vt:lpstr>hhp zone B</vt:lpstr>
      <vt:lpstr>office unit</vt:lpstr>
      <vt:lpstr>utility</vt:lpstr>
      <vt:lpstr>ro plant basement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Zaid Ebne Mairaz</dc:creator>
  <cp:lastModifiedBy>Zaid Ebne Mairaz</cp:lastModifiedBy>
  <dcterms:created xsi:type="dcterms:W3CDTF">2022-03-17T06:00:37Z</dcterms:created>
  <dcterms:modified xsi:type="dcterms:W3CDTF">2022-05-10T04:54:43Z</dcterms:modified>
</cp:coreProperties>
</file>