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hishsawe\Downloads\VIS(2021-22)-PL1072-916-1194_printing_1660121510\uploads\VIS(2021-22)-PL1072-916-1194\PreparerReport\"/>
    </mc:Choice>
  </mc:AlternateContent>
  <bookViews>
    <workbookView showVerticalScroll="0" xWindow="0" yWindow="0" windowWidth="21600" windowHeight="9735"/>
  </bookViews>
  <sheets>
    <sheet name="Building" sheetId="1" r:id="rId1"/>
    <sheet name="Sheet3" sheetId="3" r:id="rId2"/>
    <sheet name="Land" sheetId="2" r:id="rId3"/>
  </sheets>
  <externalReferences>
    <externalReference r:id="rId4"/>
  </externalReferences>
  <definedNames>
    <definedName name="_xlnm.Print_Area" localSheetId="0">Building!$B$1:$U$16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 l="1"/>
  <c r="H6" i="1"/>
  <c r="Q4" i="1"/>
  <c r="U4" i="1"/>
  <c r="F21" i="1" l="1"/>
  <c r="H24" i="1" l="1"/>
  <c r="H23" i="1"/>
  <c r="O5" i="1" l="1"/>
  <c r="O6" i="1"/>
  <c r="O7" i="1"/>
  <c r="O8" i="1"/>
  <c r="O9" i="1"/>
  <c r="O10" i="1"/>
  <c r="O11" i="1"/>
  <c r="L5" i="1"/>
  <c r="L6" i="1"/>
  <c r="L7" i="1"/>
  <c r="L8" i="1"/>
  <c r="L9" i="1"/>
  <c r="L10" i="1"/>
  <c r="L11" i="1"/>
  <c r="G11" i="1"/>
  <c r="H11" i="1" s="1"/>
  <c r="Q11" i="1" s="1"/>
  <c r="G10" i="1"/>
  <c r="H10" i="1" s="1"/>
  <c r="Q10" i="1" s="1"/>
  <c r="G9" i="1"/>
  <c r="H9" i="1" s="1"/>
  <c r="Q9" i="1" s="1"/>
  <c r="H8" i="1"/>
  <c r="Q8" i="1" s="1"/>
  <c r="R10" i="1" l="1"/>
  <c r="S10" i="1" s="1"/>
  <c r="U10" i="1" s="1"/>
  <c r="R11" i="1"/>
  <c r="S11" i="1" s="1"/>
  <c r="U11" i="1" s="1"/>
  <c r="R8" i="1"/>
  <c r="S8" i="1" s="1"/>
  <c r="U8" i="1" s="1"/>
  <c r="H5" i="1"/>
  <c r="Q5" i="1" s="1"/>
  <c r="Q6" i="1"/>
  <c r="H7" i="1"/>
  <c r="Q7" i="1" s="1"/>
  <c r="G4" i="1"/>
  <c r="H4" i="1" l="1"/>
  <c r="H12" i="1" s="1"/>
  <c r="M21" i="1" s="1"/>
  <c r="G12" i="1"/>
  <c r="R9" i="1"/>
  <c r="S9" i="1" s="1"/>
  <c r="U9" i="1" l="1"/>
  <c r="R6" i="1" l="1"/>
  <c r="S6" i="1" s="1"/>
  <c r="R5" i="1"/>
  <c r="S5" i="1" s="1"/>
  <c r="U5" i="1" s="1"/>
  <c r="U6" i="1"/>
  <c r="R7" i="1" l="1"/>
  <c r="S7" i="1" s="1"/>
  <c r="U7" i="1" s="1"/>
  <c r="Q12" i="1" l="1"/>
  <c r="O4" i="1"/>
  <c r="L4" i="1" l="1"/>
  <c r="R4" i="1" l="1"/>
  <c r="R12" i="1" s="1"/>
  <c r="S4" i="1" l="1"/>
  <c r="S12" i="1" s="1"/>
  <c r="U12" i="1" l="1"/>
  <c r="F20" i="1" s="1"/>
  <c r="H20" i="1" l="1"/>
  <c r="F23"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<sst xmlns="http://schemas.openxmlformats.org/spreadsheetml/2006/main" count="67" uniqueCount="48">
  <si>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</si>
  <si>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</si>
  <si>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</si>
  <si>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</si>
  <si>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</si>
  <si>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</si>
  <si>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</si>
  <si>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</si>
  <si>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</si>
  <si>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</si>
  <si>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</si>
  <si>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</si>
  <si>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</si>
  <si>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</si>
  <si>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</si>
  <si>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</si>
  <si>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</si>
  <si>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</si>
  <si>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</si>
  <si>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</si>
  <si>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</si>
  <si>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</si>
  <si>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</si>
  <si>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</si>
  <si>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</si>
  <si>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r>
      <t xml:space="preserve">2. </t>
    </r>
    <r>
      <rPr>
        <i/>
        <sz val="10"/>
        <color theme="1"/>
        <rFont val="Calibri"/>
        <family val="2"/>
        <scheme val="minor"/>
      </rPr>
      <t>All the structure that has been taken in the area statemnet belonging to M/s. Holostik India Ltd.</t>
    </r>
  </si>
  <si>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</si>
  <si>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BUILDING</t>
  </si>
  <si>
    <t>LAND</t>
  </si>
  <si>
    <t>ROUND OFF</t>
  </si>
  <si>
    <t>PREMIIUM</t>
  </si>
  <si>
    <t>LAND +BUILDING</t>
  </si>
  <si>
    <t>Building A</t>
  </si>
  <si>
    <t>Building D</t>
  </si>
  <si>
    <t>Building E</t>
  </si>
  <si>
    <t>GI shed roof mounted on iron pillars, trusses frame structure</t>
  </si>
  <si>
    <t>Area (in sq. mtr.)</t>
  </si>
  <si>
    <t>BUILDING VALUATION OF M/S. CARDAMOM LOGISTICS ASSETS (INDIA) PVT. LTD.|CHAKAN INDUSTRIAL AREA, PUNE, MAHARASHTRA</t>
  </si>
  <si>
    <t>Pump Room</t>
  </si>
  <si>
    <t>RCC framed pillar beam column on RCC slab</t>
  </si>
  <si>
    <t xml:space="preserve">Ground Floor + First Floor </t>
  </si>
  <si>
    <t>Building E(3 Office)</t>
  </si>
  <si>
    <t>Building B (2 Office)</t>
  </si>
  <si>
    <t>Building A (1 Office)</t>
  </si>
  <si>
    <t>FSI</t>
  </si>
  <si>
    <t>GI shed roof mounted on iron pillars, trusses frame structure with trimix flooring</t>
  </si>
  <si>
    <t>RCC framed pillars beam column on RCC slab</t>
  </si>
  <si>
    <t>Building B</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</si>
</sst>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0.00_-;\-* #,##0.00_-;_-* &quot;-&quot;??_-;_-@_-"/>
    <numFmt numFmtId="169" formatCode="_-* #,##0_-;\-* #,##0_-;_-* &quot;-&quot;??_-;_-@_-"/>
    <numFmt numFmtId="170"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4" fontId="2" fillId="0" borderId="1" xfId="3" applyNumberFormat="1" applyFont="1" applyBorder="1" applyAlignment="1">
      <alignment horizontal="center" vertical="center"/>
    </xf>
    <xf numFmtId="0" fontId="2" fillId="6" borderId="0" xfId="0" applyFont="1" applyFill="1" applyAlignment="1">
      <alignment wrapText="1"/>
    </xf>
    <xf numFmtId="167" fontId="2" fillId="5" borderId="0" xfId="1" applyNumberFormat="1" applyFont="1" applyFill="1"/>
    <xf numFmtId="166" fontId="0" fillId="5" borderId="0" xfId="0" applyNumberFormat="1" applyFill="1"/>
    <xf numFmtId="167" fontId="0" fillId="5" borderId="0" xfId="0" applyNumberFormat="1" applyFill="1"/>
    <xf numFmtId="167" fontId="2" fillId="5" borderId="0" xfId="0" applyNumberFormat="1" applyFont="1" applyFill="1"/>
    <xf numFmtId="0" fontId="0" fillId="6" borderId="0" xfId="0" applyFill="1" applyAlignment="1">
      <alignment wrapText="1"/>
    </xf>
    <xf numFmtId="168" fontId="0" fillId="0" borderId="1" xfId="3"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166" fontId="0" fillId="0" borderId="1" xfId="1" applyNumberFormat="1" applyFont="1" applyBorder="1" applyAlignment="1">
      <alignment horizontal="center" vertical="center" wrapText="1"/>
    </xf>
    <xf numFmtId="166" fontId="2" fillId="0" borderId="1" xfId="1" applyNumberFormat="1" applyFont="1" applyBorder="1" applyAlignment="1">
      <alignment horizontal="center" vertical="center" wrapText="1"/>
    </xf>
    <xf numFmtId="0" fontId="0" fillId="0" borderId="0" xfId="0" applyAlignment="1">
      <alignment horizontal="center" wrapText="1"/>
    </xf>
    <xf numFmtId="166" fontId="0" fillId="0" borderId="0" xfId="0" applyNumberFormat="1" applyFill="1"/>
    <xf numFmtId="167" fontId="0" fillId="0" borderId="0" xfId="0" applyNumberFormat="1" applyFill="1"/>
    <xf numFmtId="167" fontId="2" fillId="0" borderId="0" xfId="1" applyNumberFormat="1" applyFont="1" applyFill="1"/>
    <xf numFmtId="167" fontId="2" fillId="0" borderId="0" xfId="0" applyNumberFormat="1" applyFont="1" applyFill="1"/>
    <xf numFmtId="2" fontId="0" fillId="0" borderId="0" xfId="0" applyNumberFormat="1" applyFill="1"/>
    <xf numFmtId="169" fontId="2" fillId="0" borderId="1" xfId="0" applyNumberFormat="1"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0" fontId="0" fillId="0" borderId="1" xfId="0" applyNumberFormat="1" applyBorder="1" applyAlignment="1">
      <alignment horizontal="center" vertical="center"/>
    </xf>
  </cellXfs>
  <cellStyles count="6">
    <cellStyle name="Comma" xfId="3" builtinId="3"/>
    <cellStyle name="Comma 2" xfId="5"/>
    <cellStyle name="Currency" xfId="1" builtinId="4"/>
    <cellStyle name="Currency 2" xf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jit\Documents\Rent%20Master%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chedule&gt;"/>
      <sheetName val="Chakan"/>
      <sheetName val="Talegaon"/>
    </sheetNames>
    <sheetDataSet>
      <sheetData sheetId="0" refreshError="1"/>
      <sheetData sheetId="1" refreshError="1">
        <row r="7">
          <cell r="J7">
            <v>4291.4445507669152</v>
          </cell>
        </row>
        <row r="16">
          <cell r="J16">
            <v>337.04791014409273</v>
          </cell>
        </row>
        <row r="25">
          <cell r="J25">
            <v>4291.4445507669152</v>
          </cell>
        </row>
        <row r="34">
          <cell r="J34">
            <v>282.72745008779344</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8"/>
  <sheetViews>
    <sheetView tabSelected="1" topLeftCell="A10" zoomScale="85" zoomScaleNormal="85" zoomScaleSheetLayoutView="85" workbookViewId="0">
      <selection activeCell="V19" sqref="V19"/>
    </sheetView>
  </sheetViews>
  <sheetFormatPr defaultRowHeight="15" x14ac:dyDescent="0.25"/>
  <cols>
    <col min="2" max="2" width="6" customWidth="1"/>
    <col min="3" max="3" width="12.5703125" customWidth="1"/>
    <col min="4" max="4" width="12.42578125" style="16" customWidth="1"/>
    <col min="5" max="5" width="24" style="16" customWidth="1"/>
    <col min="6" max="6" width="22.7109375" style="16" hidden="1" customWidth="1"/>
    <col min="7" max="7" width="10.5703125" style="31" hidden="1" customWidth="1"/>
    <col min="8" max="8" width="15.5703125" customWidth="1"/>
    <col min="9" max="9" width="8.140625" customWidth="1"/>
    <col min="10" max="10" width="10.28515625" customWidth="1"/>
    <col min="11" max="11" width="8.28515625" customWidth="1"/>
    <col min="12" max="12" width="12.5703125" hidden="1" customWidth="1"/>
    <col min="13" max="13" width="10.28515625" customWidth="1"/>
    <col min="14" max="14" width="7.7109375" hidden="1" customWidth="1"/>
    <col min="15" max="15" width="12.42578125" hidden="1" customWidth="1"/>
    <col min="16" max="16" width="9.7109375" customWidth="1"/>
    <col min="17" max="17" width="15.42578125" customWidth="1"/>
    <col min="18" max="18" width="14.42578125" style="44" hidden="1" customWidth="1"/>
    <col min="19" max="19" width="17.42578125" hidden="1" customWidth="1"/>
    <col min="20" max="20" width="13.28515625" hidden="1" customWidth="1"/>
    <col min="21" max="21" width="15.85546875" style="20" customWidth="1"/>
    <col min="22" max="23" width="14.28515625" bestFit="1" customWidth="1"/>
  </cols>
  <sheetData>
    <row r="2" spans="2:23" ht="12.75" customHeight="1" x14ac:dyDescent="0.25">
      <c r="B2" s="52" t="s">
        <v>37</v>
      </c>
      <c r="C2" s="53"/>
      <c r="D2" s="53"/>
      <c r="E2" s="53"/>
      <c r="F2" s="53"/>
      <c r="G2" s="53"/>
      <c r="H2" s="53"/>
      <c r="I2" s="53"/>
      <c r="J2" s="53"/>
      <c r="K2" s="53"/>
      <c r="L2" s="53"/>
      <c r="M2" s="53"/>
      <c r="N2" s="53"/>
      <c r="O2" s="53"/>
      <c r="P2" s="53"/>
      <c r="Q2" s="53"/>
      <c r="R2" s="53"/>
      <c r="S2" s="53"/>
      <c r="T2" s="53"/>
      <c r="U2" s="54"/>
    </row>
    <row r="3" spans="2:23" s="14" customFormat="1" ht="63.75" customHeight="1" x14ac:dyDescent="0.25">
      <c r="B3" s="12" t="s">
        <v>0</v>
      </c>
      <c r="C3" s="12" t="s">
        <v>1</v>
      </c>
      <c r="D3" s="13" t="s">
        <v>24</v>
      </c>
      <c r="E3" s="40" t="s">
        <v>4</v>
      </c>
      <c r="F3" s="13" t="s">
        <v>4</v>
      </c>
      <c r="G3" s="40" t="s">
        <v>36</v>
      </c>
      <c r="H3" s="13" t="s">
        <v>17</v>
      </c>
      <c r="I3" s="13" t="s">
        <v>13</v>
      </c>
      <c r="J3" s="13" t="s">
        <v>2</v>
      </c>
      <c r="K3" s="13" t="s">
        <v>3</v>
      </c>
      <c r="L3" s="13" t="s">
        <v>14</v>
      </c>
      <c r="M3" s="13" t="s">
        <v>15</v>
      </c>
      <c r="N3" s="13" t="s">
        <v>5</v>
      </c>
      <c r="O3" s="13" t="s">
        <v>7</v>
      </c>
      <c r="P3" s="13" t="s">
        <v>16</v>
      </c>
      <c r="Q3" s="13" t="s">
        <v>11</v>
      </c>
      <c r="R3" s="40" t="s">
        <v>8</v>
      </c>
      <c r="S3" s="13" t="s">
        <v>9</v>
      </c>
      <c r="T3" s="13" t="s">
        <v>12</v>
      </c>
      <c r="U3" s="13" t="s">
        <v>10</v>
      </c>
    </row>
    <row r="4" spans="2:23" ht="60" x14ac:dyDescent="0.25">
      <c r="B4" s="11">
        <v>1</v>
      </c>
      <c r="C4" s="2" t="s">
        <v>19</v>
      </c>
      <c r="D4" s="15" t="s">
        <v>32</v>
      </c>
      <c r="E4" s="41" t="s">
        <v>45</v>
      </c>
      <c r="F4" s="15" t="s">
        <v>35</v>
      </c>
      <c r="G4" s="29">
        <f>[1]Chakan!$J$7+[1]Chakan!$J$16+[1]Chakan!$J$25+[1]Chakan!$J$34</f>
        <v>9202.6644617657166</v>
      </c>
      <c r="H4" s="61">
        <f>10.764*G4</f>
        <v>99057.480266446175</v>
      </c>
      <c r="I4" s="2">
        <v>37</v>
      </c>
      <c r="J4" s="2">
        <v>2017</v>
      </c>
      <c r="K4" s="2">
        <v>2022</v>
      </c>
      <c r="L4" s="2">
        <f>K4-J4</f>
        <v>5</v>
      </c>
      <c r="M4" s="2">
        <v>40</v>
      </c>
      <c r="N4" s="3">
        <v>0.1</v>
      </c>
      <c r="O4" s="5">
        <f>(1-N4)/M4</f>
        <v>2.2499999999999999E-2</v>
      </c>
      <c r="P4" s="6">
        <v>1400</v>
      </c>
      <c r="Q4" s="6">
        <f>P4*H4</f>
        <v>138680472.37302464</v>
      </c>
      <c r="R4" s="42">
        <f t="shared" ref="R4:R11" si="0">Q4*O4*L4</f>
        <v>15601553.141965272</v>
      </c>
      <c r="S4" s="6">
        <f t="shared" ref="S4:S11" si="1">MAX(Q4-R4,0)</f>
        <v>123078919.23105937</v>
      </c>
      <c r="T4" s="10">
        <v>0</v>
      </c>
      <c r="U4" s="6">
        <f t="shared" ref="U4:U11" si="2">IF(S4&gt;N4*Q4,S4*(1-T4),Q4*N4)</f>
        <v>123078919.23105937</v>
      </c>
      <c r="V4" s="1"/>
      <c r="W4" s="1"/>
    </row>
    <row r="5" spans="2:23" ht="60.75" customHeight="1" x14ac:dyDescent="0.25">
      <c r="B5" s="39">
        <v>2</v>
      </c>
      <c r="C5" s="2" t="s">
        <v>19</v>
      </c>
      <c r="D5" s="15" t="s">
        <v>47</v>
      </c>
      <c r="E5" s="41" t="s">
        <v>45</v>
      </c>
      <c r="F5" s="15" t="s">
        <v>35</v>
      </c>
      <c r="G5" s="30">
        <v>23065</v>
      </c>
      <c r="H5" s="61">
        <f t="shared" ref="H5:H11" si="3">10.764*G5</f>
        <v>248271.65999999997</v>
      </c>
      <c r="I5" s="2">
        <v>37</v>
      </c>
      <c r="J5" s="2">
        <v>2017</v>
      </c>
      <c r="K5" s="2">
        <v>2022</v>
      </c>
      <c r="L5" s="34">
        <f t="shared" ref="L5:L11" si="4">K5-J5</f>
        <v>5</v>
      </c>
      <c r="M5" s="2">
        <v>40</v>
      </c>
      <c r="N5" s="3">
        <v>0.1</v>
      </c>
      <c r="O5" s="36">
        <f t="shared" ref="O5:O11" si="5">(1-N5)/M5</f>
        <v>2.2499999999999999E-2</v>
      </c>
      <c r="P5" s="6">
        <v>1400</v>
      </c>
      <c r="Q5" s="6">
        <f t="shared" ref="Q5:Q11" si="6">P5*H5</f>
        <v>347580323.99999994</v>
      </c>
      <c r="R5" s="42">
        <f t="shared" si="0"/>
        <v>39102786.449999988</v>
      </c>
      <c r="S5" s="6">
        <f t="shared" si="1"/>
        <v>308477537.54999995</v>
      </c>
      <c r="T5" s="38">
        <v>0</v>
      </c>
      <c r="U5" s="6">
        <f t="shared" si="2"/>
        <v>308477537.54999995</v>
      </c>
      <c r="V5" s="1"/>
      <c r="W5" s="1"/>
    </row>
    <row r="6" spans="2:23" ht="60" x14ac:dyDescent="0.25">
      <c r="B6" s="39">
        <v>3</v>
      </c>
      <c r="C6" s="2" t="s">
        <v>19</v>
      </c>
      <c r="D6" s="15" t="s">
        <v>33</v>
      </c>
      <c r="E6" s="41" t="s">
        <v>45</v>
      </c>
      <c r="F6" s="15" t="s">
        <v>35</v>
      </c>
      <c r="G6" s="30">
        <v>14284.87</v>
      </c>
      <c r="H6" s="61">
        <f>10.764*G6</f>
        <v>153762.34067999999</v>
      </c>
      <c r="I6" s="2">
        <v>37</v>
      </c>
      <c r="J6" s="2">
        <v>2016</v>
      </c>
      <c r="K6" s="2">
        <v>2022</v>
      </c>
      <c r="L6" s="34">
        <f t="shared" si="4"/>
        <v>6</v>
      </c>
      <c r="M6" s="2">
        <v>40</v>
      </c>
      <c r="N6" s="3">
        <v>0.1</v>
      </c>
      <c r="O6" s="36">
        <f t="shared" si="5"/>
        <v>2.2499999999999999E-2</v>
      </c>
      <c r="P6" s="6">
        <v>1400</v>
      </c>
      <c r="Q6" s="6">
        <f t="shared" si="6"/>
        <v>215267276.95199999</v>
      </c>
      <c r="R6" s="42">
        <f t="shared" si="0"/>
        <v>29061082.388520002</v>
      </c>
      <c r="S6" s="6">
        <f t="shared" si="1"/>
        <v>186206194.56347999</v>
      </c>
      <c r="T6" s="38">
        <v>0</v>
      </c>
      <c r="U6" s="6">
        <f t="shared" ref="U6" si="7">IF(S6&gt;N6*Q6,S6*(1-T6),Q6*N6)</f>
        <v>186206194.56347999</v>
      </c>
      <c r="V6" s="1"/>
      <c r="W6" s="1"/>
    </row>
    <row r="7" spans="2:23" ht="90" x14ac:dyDescent="0.25">
      <c r="B7" s="39">
        <v>4</v>
      </c>
      <c r="C7" s="2" t="s">
        <v>19</v>
      </c>
      <c r="D7" s="15" t="s">
        <v>34</v>
      </c>
      <c r="E7" s="41" t="s">
        <v>45</v>
      </c>
      <c r="F7" s="15" t="s">
        <v>35</v>
      </c>
      <c r="G7" s="30">
        <v>28517.51</v>
      </c>
      <c r="H7" s="61">
        <f t="shared" si="3"/>
        <v>306962.47763999994</v>
      </c>
      <c r="I7" s="2">
        <v>37</v>
      </c>
      <c r="J7" s="2">
        <v>2018</v>
      </c>
      <c r="K7" s="2">
        <v>2022</v>
      </c>
      <c r="L7" s="34">
        <f t="shared" si="4"/>
        <v>4</v>
      </c>
      <c r="M7" s="2">
        <v>40</v>
      </c>
      <c r="N7" s="3">
        <v>0.1</v>
      </c>
      <c r="O7" s="36">
        <f t="shared" si="5"/>
        <v>2.2499999999999999E-2</v>
      </c>
      <c r="P7" s="6">
        <v>1400</v>
      </c>
      <c r="Q7" s="6">
        <f t="shared" si="6"/>
        <v>429747468.69599992</v>
      </c>
      <c r="R7" s="42">
        <f t="shared" si="0"/>
        <v>38677272.182639994</v>
      </c>
      <c r="S7" s="6">
        <f t="shared" si="1"/>
        <v>391070196.5133599</v>
      </c>
      <c r="T7" s="38">
        <v>0</v>
      </c>
      <c r="U7" s="6">
        <f t="shared" si="2"/>
        <v>391070196.5133599</v>
      </c>
      <c r="V7" s="1"/>
      <c r="W7" s="1"/>
    </row>
    <row r="8" spans="2:23" ht="60" x14ac:dyDescent="0.25">
      <c r="B8" s="39">
        <v>5</v>
      </c>
      <c r="C8" s="2" t="s">
        <v>19</v>
      </c>
      <c r="D8" s="15" t="s">
        <v>38</v>
      </c>
      <c r="E8" s="41" t="s">
        <v>46</v>
      </c>
      <c r="F8" s="41" t="s">
        <v>39</v>
      </c>
      <c r="G8" s="30">
        <v>388</v>
      </c>
      <c r="H8" s="61">
        <f t="shared" si="3"/>
        <v>4176.4319999999998</v>
      </c>
      <c r="I8" s="2">
        <v>12</v>
      </c>
      <c r="J8" s="2">
        <v>2017</v>
      </c>
      <c r="K8" s="2">
        <v>2022</v>
      </c>
      <c r="L8" s="34">
        <f t="shared" si="4"/>
        <v>5</v>
      </c>
      <c r="M8" s="2">
        <v>60</v>
      </c>
      <c r="N8" s="35">
        <v>0.1</v>
      </c>
      <c r="O8" s="36">
        <f t="shared" si="5"/>
        <v>1.5000000000000001E-2</v>
      </c>
      <c r="P8" s="6">
        <v>900</v>
      </c>
      <c r="Q8" s="6">
        <f t="shared" si="6"/>
        <v>3758788.8</v>
      </c>
      <c r="R8" s="42">
        <f t="shared" si="0"/>
        <v>281909.16000000003</v>
      </c>
      <c r="S8" s="6">
        <f t="shared" si="1"/>
        <v>3476879.6399999997</v>
      </c>
      <c r="T8" s="38">
        <v>0</v>
      </c>
      <c r="U8" s="6">
        <f t="shared" si="2"/>
        <v>3476879.6399999997</v>
      </c>
      <c r="V8" s="1"/>
      <c r="W8" s="1"/>
    </row>
    <row r="9" spans="2:23" ht="47.25" customHeight="1" x14ac:dyDescent="0.25">
      <c r="B9" s="39">
        <v>6</v>
      </c>
      <c r="C9" s="41" t="s">
        <v>40</v>
      </c>
      <c r="D9" s="15" t="s">
        <v>41</v>
      </c>
      <c r="E9" s="41" t="s">
        <v>46</v>
      </c>
      <c r="F9" s="41" t="s">
        <v>39</v>
      </c>
      <c r="G9" s="41">
        <f>3*2*285</f>
        <v>1710</v>
      </c>
      <c r="H9" s="61">
        <f t="shared" si="3"/>
        <v>18406.439999999999</v>
      </c>
      <c r="I9" s="9">
        <v>12</v>
      </c>
      <c r="J9" s="2">
        <v>2018</v>
      </c>
      <c r="K9" s="34">
        <v>2022</v>
      </c>
      <c r="L9" s="34">
        <f t="shared" si="4"/>
        <v>4</v>
      </c>
      <c r="M9" s="2">
        <v>60</v>
      </c>
      <c r="N9" s="35">
        <v>0.1</v>
      </c>
      <c r="O9" s="36">
        <f t="shared" si="5"/>
        <v>1.5000000000000001E-2</v>
      </c>
      <c r="P9" s="6">
        <v>1200</v>
      </c>
      <c r="Q9" s="6">
        <f t="shared" si="6"/>
        <v>22087728</v>
      </c>
      <c r="R9" s="42">
        <f t="shared" si="0"/>
        <v>1325263.6800000002</v>
      </c>
      <c r="S9" s="6">
        <f t="shared" si="1"/>
        <v>20762464.32</v>
      </c>
      <c r="T9" s="38">
        <v>0</v>
      </c>
      <c r="U9" s="6">
        <f t="shared" si="2"/>
        <v>20762464.32</v>
      </c>
      <c r="V9" s="1"/>
      <c r="W9" s="1"/>
    </row>
    <row r="10" spans="2:23" s="32" customFormat="1" ht="47.25" customHeight="1" x14ac:dyDescent="0.25">
      <c r="B10" s="39">
        <v>7</v>
      </c>
      <c r="C10" s="41" t="s">
        <v>40</v>
      </c>
      <c r="D10" s="41" t="s">
        <v>42</v>
      </c>
      <c r="E10" s="41" t="s">
        <v>46</v>
      </c>
      <c r="F10" s="41" t="s">
        <v>39</v>
      </c>
      <c r="G10" s="41">
        <f>2*2*285</f>
        <v>1140</v>
      </c>
      <c r="H10" s="61">
        <f t="shared" si="3"/>
        <v>12270.96</v>
      </c>
      <c r="I10" s="37">
        <v>12</v>
      </c>
      <c r="J10" s="34">
        <v>2017</v>
      </c>
      <c r="K10" s="34">
        <v>2022</v>
      </c>
      <c r="L10" s="34">
        <f t="shared" si="4"/>
        <v>5</v>
      </c>
      <c r="M10" s="34">
        <v>60</v>
      </c>
      <c r="N10" s="35">
        <v>0.1</v>
      </c>
      <c r="O10" s="36">
        <f t="shared" si="5"/>
        <v>1.5000000000000001E-2</v>
      </c>
      <c r="P10" s="6">
        <v>1200</v>
      </c>
      <c r="Q10" s="6">
        <f t="shared" si="6"/>
        <v>14725151.999999998</v>
      </c>
      <c r="R10" s="42">
        <f t="shared" si="0"/>
        <v>1104386.3999999999</v>
      </c>
      <c r="S10" s="6">
        <f t="shared" si="1"/>
        <v>13620765.599999998</v>
      </c>
      <c r="T10" s="38">
        <v>0</v>
      </c>
      <c r="U10" s="6">
        <f t="shared" si="2"/>
        <v>13620765.599999998</v>
      </c>
      <c r="V10" s="33"/>
      <c r="W10" s="33"/>
    </row>
    <row r="11" spans="2:23" s="32" customFormat="1" ht="47.25" customHeight="1" x14ac:dyDescent="0.25">
      <c r="B11" s="39">
        <v>8</v>
      </c>
      <c r="C11" s="41" t="s">
        <v>40</v>
      </c>
      <c r="D11" s="41" t="s">
        <v>43</v>
      </c>
      <c r="E11" s="41" t="s">
        <v>46</v>
      </c>
      <c r="F11" s="41" t="s">
        <v>39</v>
      </c>
      <c r="G11" s="41">
        <f>2*285</f>
        <v>570</v>
      </c>
      <c r="H11" s="61">
        <f t="shared" si="3"/>
        <v>6135.48</v>
      </c>
      <c r="I11" s="37">
        <v>12</v>
      </c>
      <c r="J11" s="34">
        <v>2017</v>
      </c>
      <c r="K11" s="34">
        <v>2022</v>
      </c>
      <c r="L11" s="34">
        <f t="shared" si="4"/>
        <v>5</v>
      </c>
      <c r="M11" s="34">
        <v>60</v>
      </c>
      <c r="N11" s="35">
        <v>0.1</v>
      </c>
      <c r="O11" s="36">
        <f t="shared" si="5"/>
        <v>1.5000000000000001E-2</v>
      </c>
      <c r="P11" s="6">
        <v>1200</v>
      </c>
      <c r="Q11" s="6">
        <f t="shared" si="6"/>
        <v>7362575.9999999991</v>
      </c>
      <c r="R11" s="42">
        <f t="shared" si="0"/>
        <v>552193.19999999995</v>
      </c>
      <c r="S11" s="6">
        <f t="shared" si="1"/>
        <v>6810382.7999999989</v>
      </c>
      <c r="T11" s="38">
        <v>0</v>
      </c>
      <c r="U11" s="6">
        <f t="shared" si="2"/>
        <v>6810382.7999999989</v>
      </c>
      <c r="V11" s="33"/>
      <c r="W11" s="33"/>
    </row>
    <row r="12" spans="2:23" x14ac:dyDescent="0.25">
      <c r="B12" s="55" t="s">
        <v>6</v>
      </c>
      <c r="C12" s="55"/>
      <c r="D12" s="55"/>
      <c r="E12" s="55"/>
      <c r="F12" s="55"/>
      <c r="G12" s="50">
        <f>SUM(G4:G11)</f>
        <v>78878.044461765719</v>
      </c>
      <c r="H12" s="22">
        <f>SUM(H4:H11)</f>
        <v>849043.27058644604</v>
      </c>
      <c r="I12" s="8"/>
      <c r="J12" s="55"/>
      <c r="K12" s="55"/>
      <c r="L12" s="55"/>
      <c r="M12" s="55"/>
      <c r="N12" s="55"/>
      <c r="O12" s="55"/>
      <c r="P12" s="55"/>
      <c r="Q12" s="7">
        <f>SUM(Q4:Q11)</f>
        <v>1179209786.8210244</v>
      </c>
      <c r="R12" s="43">
        <f>SUM(R4:R11)</f>
        <v>125706446.60312526</v>
      </c>
      <c r="S12" s="7">
        <f>SUM(S4:S11)</f>
        <v>1053503340.2178992</v>
      </c>
      <c r="T12" s="7"/>
      <c r="U12" s="7">
        <f>SUM(U4:U11)</f>
        <v>1053503340.2178992</v>
      </c>
    </row>
    <row r="13" spans="2:23" x14ac:dyDescent="0.25">
      <c r="B13" s="57" t="s">
        <v>18</v>
      </c>
      <c r="C13" s="57"/>
      <c r="D13" s="57"/>
      <c r="E13" s="57"/>
      <c r="F13" s="57"/>
      <c r="G13" s="57"/>
      <c r="H13" s="57"/>
      <c r="I13" s="57"/>
      <c r="J13" s="57"/>
      <c r="K13" s="57"/>
      <c r="L13" s="57"/>
      <c r="M13" s="57"/>
      <c r="N13" s="57"/>
      <c r="O13" s="57"/>
      <c r="P13" s="57"/>
      <c r="Q13" s="57"/>
      <c r="R13" s="57"/>
      <c r="S13" s="57"/>
      <c r="T13" s="57"/>
      <c r="U13" s="57"/>
    </row>
    <row r="14" spans="2:23" x14ac:dyDescent="0.25">
      <c r="B14" s="51" t="s">
        <v>26</v>
      </c>
      <c r="C14" s="51"/>
      <c r="D14" s="51"/>
      <c r="E14" s="51"/>
      <c r="F14" s="51"/>
      <c r="G14" s="51"/>
      <c r="H14" s="51"/>
      <c r="I14" s="51"/>
      <c r="J14" s="51"/>
      <c r="K14" s="51"/>
      <c r="L14" s="51"/>
      <c r="M14" s="51"/>
      <c r="N14" s="51"/>
      <c r="O14" s="51"/>
      <c r="P14" s="51"/>
      <c r="Q14" s="51"/>
      <c r="R14" s="51"/>
      <c r="S14" s="51"/>
      <c r="T14" s="51"/>
      <c r="U14" s="51"/>
    </row>
    <row r="15" spans="2:23" x14ac:dyDescent="0.25">
      <c r="B15" s="56" t="s">
        <v>25</v>
      </c>
      <c r="C15" s="51"/>
      <c r="D15" s="51"/>
      <c r="E15" s="51"/>
      <c r="F15" s="51"/>
      <c r="G15" s="51"/>
      <c r="H15" s="51"/>
      <c r="I15" s="51"/>
      <c r="J15" s="51"/>
      <c r="K15" s="51"/>
      <c r="L15" s="51"/>
      <c r="M15" s="51"/>
      <c r="N15" s="51"/>
      <c r="O15" s="51"/>
      <c r="P15" s="51"/>
      <c r="Q15" s="51"/>
      <c r="R15" s="51"/>
      <c r="S15" s="51"/>
      <c r="T15" s="51"/>
      <c r="U15" s="51"/>
    </row>
    <row r="16" spans="2:23" x14ac:dyDescent="0.25">
      <c r="B16" s="51" t="s">
        <v>20</v>
      </c>
      <c r="C16" s="51"/>
      <c r="D16" s="51"/>
      <c r="E16" s="51"/>
      <c r="F16" s="51"/>
      <c r="G16" s="51"/>
      <c r="H16" s="51"/>
      <c r="I16" s="51"/>
      <c r="J16" s="51"/>
      <c r="K16" s="51"/>
      <c r="L16" s="51"/>
      <c r="M16" s="51"/>
      <c r="N16" s="51"/>
      <c r="O16" s="51"/>
      <c r="P16" s="51"/>
      <c r="Q16" s="51"/>
      <c r="R16" s="51"/>
      <c r="S16" s="51"/>
      <c r="T16" s="51"/>
      <c r="U16" s="51"/>
    </row>
    <row r="19" spans="4:23" x14ac:dyDescent="0.25">
      <c r="V19">
        <f>0.75*2020000000</f>
        <v>1515000000</v>
      </c>
    </row>
    <row r="20" spans="4:23" ht="30" x14ac:dyDescent="0.25">
      <c r="D20" s="21" t="s">
        <v>27</v>
      </c>
      <c r="E20" s="21"/>
      <c r="F20" s="25">
        <f>U12</f>
        <v>1053503340.2178992</v>
      </c>
      <c r="G20" s="28" t="s">
        <v>31</v>
      </c>
      <c r="H20" s="25">
        <f>F20+F21</f>
        <v>1965503340.2178993</v>
      </c>
      <c r="L20" s="21"/>
      <c r="M20" s="45"/>
    </row>
    <row r="21" spans="4:23" x14ac:dyDescent="0.25">
      <c r="D21" s="21" t="s">
        <v>28</v>
      </c>
      <c r="E21" s="21"/>
      <c r="F21" s="26">
        <f>152000*6000</f>
        <v>912000000</v>
      </c>
      <c r="G21"/>
      <c r="K21" t="s">
        <v>44</v>
      </c>
      <c r="L21" s="21"/>
      <c r="M21" s="49">
        <f>(H12/(10.764*136800))</f>
        <v>0.57659389226436919</v>
      </c>
    </row>
    <row r="22" spans="4:23" x14ac:dyDescent="0.25">
      <c r="D22" s="21" t="s">
        <v>30</v>
      </c>
      <c r="E22" s="21"/>
      <c r="F22" s="26">
        <v>0</v>
      </c>
      <c r="L22" s="21"/>
      <c r="M22" s="46"/>
    </row>
    <row r="23" spans="4:23" x14ac:dyDescent="0.25">
      <c r="D23" s="23" t="s">
        <v>23</v>
      </c>
      <c r="E23" s="23"/>
      <c r="F23" s="24">
        <f>SUM((F20:F22))</f>
        <v>1965503340.2178993</v>
      </c>
      <c r="G23" s="21" t="s">
        <v>21</v>
      </c>
      <c r="H23" s="27">
        <f>0.85*F24</f>
        <v>1674500000</v>
      </c>
      <c r="L23" s="23"/>
      <c r="M23" s="47"/>
    </row>
    <row r="24" spans="4:23" x14ac:dyDescent="0.25">
      <c r="D24" s="23" t="s">
        <v>29</v>
      </c>
      <c r="E24" s="23"/>
      <c r="F24" s="27">
        <v>1970000000</v>
      </c>
      <c r="G24" s="21" t="s">
        <v>22</v>
      </c>
      <c r="H24" s="27">
        <f>0.75*F24</f>
        <v>1477500000</v>
      </c>
      <c r="L24" s="23"/>
      <c r="M24" s="48"/>
    </row>
    <row r="29" spans="4:23" x14ac:dyDescent="0.25">
      <c r="V29" s="4"/>
      <c r="W29" s="4"/>
    </row>
    <row r="38" ht="15" customHeight="1" x14ac:dyDescent="0.25"/>
  </sheetData>
  <mergeCells count="7">
    <mergeCell ref="B16:U16"/>
    <mergeCell ref="B2:U2"/>
    <mergeCell ref="B12:F12"/>
    <mergeCell ref="J12:P12"/>
    <mergeCell ref="B14:U14"/>
    <mergeCell ref="B15:U15"/>
    <mergeCell ref="B13:U13"/>
  </mergeCells>
  <dataValidations count="1">
    <dataValidation type="list" allowBlank="1" showInputMessage="1" showErrorMessage="1" sqref="F4:F11">
      <formula1>$M$2:$M$7</formula1>
    </dataValidation>
  </dataValidation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8"/>
      <c r="C5" s="18"/>
      <c r="D5" s="18"/>
      <c r="E5" s="19"/>
    </row>
    <row r="6" spans="2:5" x14ac:dyDescent="0.25">
      <c r="B6" s="2"/>
      <c r="C6" s="2"/>
      <c r="D6" s="2"/>
      <c r="E6" s="2"/>
    </row>
    <row r="7" spans="2:5" x14ac:dyDescent="0.25">
      <c r="B7" s="2"/>
      <c r="C7" s="2"/>
      <c r="D7" s="2"/>
      <c r="E7" s="2"/>
    </row>
    <row r="8" spans="2:5" x14ac:dyDescent="0.25">
      <c r="B8" s="2"/>
      <c r="C8" s="2"/>
      <c r="D8" s="2"/>
      <c r="E8" s="2"/>
    </row>
    <row r="9" spans="2:5" x14ac:dyDescent="0.25">
      <c r="B9" s="58"/>
      <c r="C9" s="59"/>
      <c r="D9" s="60"/>
      <c r="E9" s="17"/>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Ashish Sawe</cp:lastModifiedBy>
  <cp:lastPrinted>2022-01-07T08:12:53Z</cp:lastPrinted>
  <dcterms:created xsi:type="dcterms:W3CDTF">2021-09-16T11:33:35Z</dcterms:created>
  <dcterms:modified xsi:type="dcterms:W3CDTF">2022-08-10T14:09:00Z</dcterms:modified>
</cp:coreProperties>
</file>