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2" windowWidth="15480" windowHeight="7776" tabRatio="827"/>
  </bookViews>
  <sheets>
    <sheet name="Land" sheetId="1" r:id="rId1"/>
    <sheet name="Land details" sheetId="17" r:id="rId2"/>
    <sheet name="Freehold Land" sheetId="10" r:id="rId3"/>
    <sheet name="Missing Khasara" sheetId="6" r:id="rId4"/>
    <sheet name="Pipe Line" sheetId="14" r:id="rId5"/>
    <sheet name="railway" sheetId="15" r:id="rId6"/>
    <sheet name="Forest" sheetId="13" r:id="rId7"/>
    <sheet name="Transmission" sheetId="16" r:id="rId8"/>
    <sheet name="Land Cost (Raigad-Maharashtra)" sheetId="7" r:id="rId9"/>
  </sheets>
  <definedNames>
    <definedName name="AS2DocOpenMode" hidden="1">"AS2DocumentEdit"</definedName>
    <definedName name="_xlnm.Print_Area" localSheetId="3">'Missing Khasara'!#REF!</definedName>
  </definedNames>
  <calcPr calcId="144525"/>
</workbook>
</file>

<file path=xl/calcChain.xml><?xml version="1.0" encoding="utf-8"?>
<calcChain xmlns="http://schemas.openxmlformats.org/spreadsheetml/2006/main">
  <c r="H75" i="1" l="1"/>
  <c r="H67" i="1"/>
  <c r="H60" i="1"/>
  <c r="H52" i="1"/>
  <c r="H43" i="1"/>
  <c r="H42" i="1"/>
  <c r="H37" i="1"/>
  <c r="H36" i="1"/>
  <c r="H27" i="1"/>
  <c r="H11" i="1"/>
  <c r="H10" i="1"/>
  <c r="P23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6" i="16"/>
  <c r="N7" i="15"/>
  <c r="N8" i="15"/>
  <c r="N9" i="15"/>
  <c r="N10" i="15"/>
  <c r="N11" i="15"/>
  <c r="N12" i="15"/>
  <c r="N13" i="15"/>
  <c r="N14" i="15"/>
  <c r="N6" i="15"/>
  <c r="L9" i="14"/>
  <c r="L10" i="14"/>
  <c r="L11" i="14"/>
  <c r="L12" i="14"/>
  <c r="L13" i="14"/>
  <c r="L14" i="14"/>
  <c r="L15" i="14"/>
  <c r="L16" i="14"/>
  <c r="L17" i="14"/>
  <c r="L18" i="14"/>
  <c r="L19" i="14"/>
  <c r="L20" i="14"/>
  <c r="L8" i="14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7" i="6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4" i="10"/>
  <c r="C52" i="1" l="1"/>
  <c r="D52" i="1"/>
  <c r="G10" i="17"/>
  <c r="G9" i="17"/>
  <c r="G8" i="17"/>
  <c r="G7" i="17"/>
  <c r="F6" i="17"/>
  <c r="G6" i="17" s="1"/>
  <c r="F5" i="17"/>
  <c r="G5" i="17" s="1"/>
  <c r="K11" i="17"/>
  <c r="J11" i="17"/>
  <c r="I11" i="17"/>
  <c r="H11" i="17"/>
  <c r="E11" i="17"/>
  <c r="D11" i="17"/>
  <c r="C11" i="17"/>
  <c r="B11" i="17"/>
  <c r="F11" i="17" l="1"/>
  <c r="M7" i="17"/>
  <c r="M6" i="17"/>
  <c r="M5" i="17"/>
  <c r="L29" i="6"/>
  <c r="G45" i="1" s="1"/>
  <c r="G48" i="1"/>
  <c r="G46" i="1"/>
  <c r="G43" i="1"/>
  <c r="G42" i="1"/>
  <c r="C42" i="1"/>
  <c r="L19" i="6"/>
  <c r="J25" i="6"/>
  <c r="I25" i="6"/>
  <c r="L24" i="6"/>
  <c r="H24" i="6"/>
  <c r="H23" i="6"/>
  <c r="L22" i="6"/>
  <c r="H22" i="6"/>
  <c r="L21" i="6"/>
  <c r="H21" i="6"/>
  <c r="L20" i="6"/>
  <c r="H20" i="6"/>
  <c r="L18" i="6"/>
  <c r="H18" i="6"/>
  <c r="L17" i="6"/>
  <c r="H17" i="6"/>
  <c r="L16" i="6"/>
  <c r="G16" i="6"/>
  <c r="H16" i="6" s="1"/>
  <c r="L15" i="6"/>
  <c r="H15" i="6"/>
  <c r="L14" i="6"/>
  <c r="H14" i="6"/>
  <c r="L13" i="6"/>
  <c r="H13" i="6"/>
  <c r="L12" i="6"/>
  <c r="H12" i="6"/>
  <c r="K11" i="6"/>
  <c r="L11" i="6" s="1"/>
  <c r="H11" i="6"/>
  <c r="L10" i="6"/>
  <c r="H10" i="6"/>
  <c r="L9" i="6"/>
  <c r="H9" i="6"/>
  <c r="L8" i="6"/>
  <c r="H8" i="6"/>
  <c r="L7" i="6"/>
  <c r="K7" i="6"/>
  <c r="H7" i="6"/>
  <c r="C43" i="1" l="1"/>
  <c r="K25" i="6"/>
  <c r="G44" i="1" s="1"/>
  <c r="L25" i="6"/>
  <c r="L31" i="6" s="1"/>
  <c r="F12" i="17"/>
  <c r="G11" i="17"/>
  <c r="G25" i="6"/>
  <c r="H25" i="6" s="1"/>
  <c r="G12" i="17" l="1"/>
  <c r="L10" i="17"/>
  <c r="M10" i="17" s="1"/>
  <c r="L9" i="17"/>
  <c r="M9" i="17" s="1"/>
  <c r="L8" i="17"/>
  <c r="L7" i="17"/>
  <c r="K12" i="17"/>
  <c r="F18" i="13"/>
  <c r="F16" i="13"/>
  <c r="F14" i="13"/>
  <c r="J12" i="17"/>
  <c r="I12" i="17"/>
  <c r="H12" i="17"/>
  <c r="E12" i="17"/>
  <c r="D12" i="17"/>
  <c r="C12" i="17"/>
  <c r="B12" i="17"/>
  <c r="L11" i="17" l="1"/>
  <c r="M11" i="17" s="1"/>
  <c r="M8" i="17"/>
  <c r="L12" i="17"/>
  <c r="M12" i="17" s="1"/>
  <c r="L7" i="13"/>
  <c r="L6" i="13"/>
  <c r="K13" i="13"/>
  <c r="M14" i="15"/>
  <c r="L14" i="15"/>
  <c r="K14" i="15"/>
  <c r="J14" i="15"/>
  <c r="I14" i="15"/>
  <c r="H14" i="15"/>
  <c r="M13" i="15"/>
  <c r="I13" i="15"/>
  <c r="G14" i="15"/>
  <c r="F14" i="15"/>
  <c r="G38" i="1" l="1"/>
  <c r="G37" i="1"/>
  <c r="G36" i="1"/>
  <c r="G20" i="1"/>
  <c r="C36" i="1" l="1"/>
  <c r="C37" i="1"/>
  <c r="L8" i="15" l="1"/>
  <c r="M8" i="15" s="1"/>
  <c r="M12" i="15"/>
  <c r="M11" i="15"/>
  <c r="M10" i="15"/>
  <c r="M9" i="15"/>
  <c r="M7" i="15"/>
  <c r="I12" i="15"/>
  <c r="K23" i="14" l="1"/>
  <c r="G55" i="1" l="1"/>
  <c r="G54" i="1"/>
  <c r="G53" i="1"/>
  <c r="G52" i="1"/>
  <c r="G59" i="1"/>
  <c r="D60" i="1"/>
  <c r="D64" i="1" s="1"/>
  <c r="G62" i="1"/>
  <c r="G61" i="1"/>
  <c r="L11" i="15"/>
  <c r="I11" i="15"/>
  <c r="L10" i="15"/>
  <c r="I10" i="15"/>
  <c r="L9" i="15"/>
  <c r="I9" i="15"/>
  <c r="I8" i="15"/>
  <c r="L7" i="15"/>
  <c r="I7" i="15"/>
  <c r="L6" i="15"/>
  <c r="G63" i="1" s="1"/>
  <c r="I6" i="15"/>
  <c r="M6" i="15" s="1"/>
  <c r="M17" i="15" l="1"/>
  <c r="G60" i="1"/>
  <c r="G64" i="1" s="1"/>
  <c r="G66" i="1" l="1"/>
  <c r="G70" i="1"/>
  <c r="D75" i="1"/>
  <c r="D79" i="1" s="1"/>
  <c r="G78" i="1"/>
  <c r="G77" i="1"/>
  <c r="G76" i="1"/>
  <c r="G75" i="1"/>
  <c r="M23" i="16"/>
  <c r="L23" i="16"/>
  <c r="K23" i="16"/>
  <c r="I23" i="16"/>
  <c r="H23" i="16"/>
  <c r="G23" i="16"/>
  <c r="F23" i="16"/>
  <c r="N21" i="16"/>
  <c r="J21" i="16"/>
  <c r="O21" i="16" s="1"/>
  <c r="N20" i="16"/>
  <c r="J20" i="16"/>
  <c r="O20" i="16" s="1"/>
  <c r="O19" i="16"/>
  <c r="N19" i="16"/>
  <c r="J19" i="16"/>
  <c r="N18" i="16"/>
  <c r="J18" i="16"/>
  <c r="O18" i="16" s="1"/>
  <c r="N17" i="16"/>
  <c r="J17" i="16"/>
  <c r="O17" i="16" s="1"/>
  <c r="O16" i="16"/>
  <c r="N16" i="16"/>
  <c r="J16" i="16"/>
  <c r="O15" i="16"/>
  <c r="N15" i="16"/>
  <c r="J15" i="16"/>
  <c r="N14" i="16"/>
  <c r="J14" i="16"/>
  <c r="O14" i="16" s="1"/>
  <c r="N13" i="16"/>
  <c r="J13" i="16"/>
  <c r="O13" i="16" s="1"/>
  <c r="O12" i="16"/>
  <c r="N12" i="16"/>
  <c r="J12" i="16"/>
  <c r="O11" i="16"/>
  <c r="N11" i="16"/>
  <c r="J11" i="16"/>
  <c r="N10" i="16"/>
  <c r="J10" i="16"/>
  <c r="O10" i="16" s="1"/>
  <c r="N9" i="16"/>
  <c r="J9" i="16"/>
  <c r="O9" i="16" s="1"/>
  <c r="O8" i="16"/>
  <c r="N8" i="16"/>
  <c r="J8" i="16"/>
  <c r="O7" i="16"/>
  <c r="N7" i="16"/>
  <c r="J7" i="16"/>
  <c r="N6" i="16"/>
  <c r="N23" i="16" s="1"/>
  <c r="J6" i="16"/>
  <c r="J23" i="16" s="1"/>
  <c r="O6" i="16" l="1"/>
  <c r="O23" i="16" s="1"/>
  <c r="H10" i="13" l="1"/>
  <c r="K10" i="13" s="1"/>
  <c r="H9" i="13"/>
  <c r="K9" i="13" s="1"/>
  <c r="C60" i="1" l="1"/>
  <c r="C64" i="1" s="1"/>
  <c r="C75" i="1"/>
  <c r="C79" i="1" s="1"/>
  <c r="G79" i="1"/>
  <c r="K27" i="14" l="1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G56" i="1" l="1"/>
  <c r="C56" i="1"/>
  <c r="J20" i="14"/>
  <c r="I20" i="14"/>
  <c r="H20" i="14"/>
  <c r="G20" i="14"/>
  <c r="F18" i="14"/>
  <c r="F20" i="14" s="1"/>
  <c r="J12" i="13"/>
  <c r="G69" i="1" s="1"/>
  <c r="I12" i="13"/>
  <c r="G68" i="1" s="1"/>
  <c r="F12" i="13"/>
  <c r="D67" i="1" s="1"/>
  <c r="H8" i="13"/>
  <c r="K8" i="13" s="1"/>
  <c r="H7" i="13"/>
  <c r="K7" i="13" s="1"/>
  <c r="H6" i="13"/>
  <c r="H12" i="13" l="1"/>
  <c r="G67" i="1" s="1"/>
  <c r="G72" i="1" s="1"/>
  <c r="D72" i="1"/>
  <c r="C67" i="1"/>
  <c r="C72" i="1" s="1"/>
  <c r="K6" i="13"/>
  <c r="K12" i="13" s="1"/>
  <c r="K15" i="13" s="1"/>
  <c r="C82" i="1" l="1"/>
  <c r="D56" i="1"/>
  <c r="D43" i="1"/>
  <c r="D42" i="1"/>
  <c r="C50" i="1"/>
  <c r="K33" i="10"/>
  <c r="K37" i="10" s="1"/>
  <c r="J33" i="10"/>
  <c r="I33" i="10"/>
  <c r="G33" i="10"/>
  <c r="E33" i="10"/>
  <c r="G28" i="1" l="1"/>
  <c r="G16" i="1"/>
  <c r="F12" i="1"/>
  <c r="D12" i="1"/>
  <c r="D24" i="1" s="1"/>
  <c r="C12" i="1"/>
  <c r="D36" i="1"/>
  <c r="D27" i="1"/>
  <c r="D33" i="1" s="1"/>
  <c r="C33" i="1"/>
  <c r="E11" i="1"/>
  <c r="E10" i="1"/>
  <c r="E12" i="1" l="1"/>
  <c r="G14" i="1" s="1"/>
  <c r="G13" i="1" l="1"/>
  <c r="G33" i="1" l="1"/>
  <c r="C10" i="7"/>
  <c r="C11" i="7" s="1"/>
  <c r="G81" i="1" s="1"/>
  <c r="G40" i="1" l="1"/>
  <c r="G50" i="1"/>
  <c r="D37" i="1" l="1"/>
  <c r="D50" i="1" s="1"/>
  <c r="D84" i="1" s="1"/>
  <c r="D82" i="1"/>
  <c r="C24" i="1" l="1"/>
  <c r="G11" i="1"/>
  <c r="G10" i="1"/>
  <c r="G12" i="1" l="1"/>
  <c r="G24" i="1" s="1"/>
  <c r="G84" i="1" s="1"/>
  <c r="G86" i="1" s="1"/>
  <c r="G88" i="1" s="1"/>
</calcChain>
</file>

<file path=xl/comments1.xml><?xml version="1.0" encoding="utf-8"?>
<comments xmlns="http://schemas.openxmlformats.org/spreadsheetml/2006/main">
  <authors>
    <author>Suresh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Suresh:</t>
        </r>
        <r>
          <rPr>
            <sz val="9"/>
            <color indexed="81"/>
            <rFont val="Tahoma"/>
            <family val="2"/>
          </rPr>
          <t xml:space="preserve">
Handedover to forest department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Suresh:</t>
        </r>
        <r>
          <rPr>
            <sz val="9"/>
            <color indexed="81"/>
            <rFont val="Tahoma"/>
            <family val="2"/>
          </rPr>
          <t xml:space="preserve">
Handedover to Forest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Suresh:</t>
        </r>
        <r>
          <rPr>
            <sz val="9"/>
            <color indexed="81"/>
            <rFont val="Tahoma"/>
            <family val="2"/>
          </rPr>
          <t xml:space="preserve">
Handedover to Forest Depart</t>
        </r>
      </text>
    </comment>
  </commentList>
</comments>
</file>

<file path=xl/sharedStrings.xml><?xml version="1.0" encoding="utf-8"?>
<sst xmlns="http://schemas.openxmlformats.org/spreadsheetml/2006/main" count="582" uniqueCount="329">
  <si>
    <t>SKS Power Generation (Chattisgarh) Limited</t>
  </si>
  <si>
    <t>Certificate for development cost</t>
  </si>
  <si>
    <t>Land Cost</t>
  </si>
  <si>
    <t>Sr. No.</t>
  </si>
  <si>
    <t>Particulars</t>
  </si>
  <si>
    <t>Area (Hct.)</t>
  </si>
  <si>
    <t>Area (Acre)</t>
  </si>
  <si>
    <t xml:space="preserve">Amount as per lease deed </t>
  </si>
  <si>
    <t>Amount further added as per Rehabilitation policy</t>
  </si>
  <si>
    <t>Total (Rs.)</t>
  </si>
  <si>
    <t>Leasehold land (199.669 hectares)</t>
  </si>
  <si>
    <t>Date</t>
  </si>
  <si>
    <t>Amount</t>
  </si>
  <si>
    <t>Land under lease deed with CSIDC</t>
  </si>
  <si>
    <t>Darramura Village</t>
  </si>
  <si>
    <t>Binjikot Village</t>
  </si>
  <si>
    <t>Total</t>
  </si>
  <si>
    <t>Add: 20 % service charges on old value</t>
  </si>
  <si>
    <t>Add: 5 % service charges on old value</t>
  </si>
  <si>
    <t xml:space="preserve">Tree Compensation </t>
  </si>
  <si>
    <t>Differential amount paid to some of the owners</t>
  </si>
  <si>
    <t>Land Advertisment</t>
  </si>
  <si>
    <t>Misc other charges</t>
  </si>
  <si>
    <t>(A)</t>
  </si>
  <si>
    <t>(B)</t>
  </si>
  <si>
    <t>Freehold land</t>
  </si>
  <si>
    <t>Govt Land</t>
  </si>
  <si>
    <t>(D)</t>
  </si>
  <si>
    <t xml:space="preserve">Leasehold land (7.798 hectares) </t>
  </si>
  <si>
    <t>Freehold land Raigad- Maharashtra</t>
  </si>
  <si>
    <t>Land for Pipe line</t>
  </si>
  <si>
    <t>House Compensation</t>
  </si>
  <si>
    <t>Tree,well &amp; Borewell compensation</t>
  </si>
  <si>
    <t>Documentation &amp; registration Charges</t>
  </si>
  <si>
    <t>SKS POWER GENERATION (CHHATTISGARH) LIMITED</t>
  </si>
  <si>
    <t xml:space="preserve">Missing Khasara </t>
  </si>
  <si>
    <t>Sr.no.</t>
  </si>
  <si>
    <t>Saller Name</t>
  </si>
  <si>
    <t>Village</t>
  </si>
  <si>
    <t>Khasra No</t>
  </si>
  <si>
    <t>Stamp Duty</t>
  </si>
  <si>
    <t>Registration Fees</t>
  </si>
  <si>
    <t>19.05.2011</t>
  </si>
  <si>
    <t>Ajitram, Hiralal</t>
  </si>
  <si>
    <t>Binjkot</t>
  </si>
  <si>
    <t>Mohan</t>
  </si>
  <si>
    <t>Darramuda</t>
  </si>
  <si>
    <t>139/3</t>
  </si>
  <si>
    <t>Mohan &amp; Sohan</t>
  </si>
  <si>
    <t>139/4</t>
  </si>
  <si>
    <t>23.05.2011</t>
  </si>
  <si>
    <t>Mutkai &amp; others</t>
  </si>
  <si>
    <t>346/1</t>
  </si>
  <si>
    <t>24.05.2011</t>
  </si>
  <si>
    <t>Brijlal &amp; others</t>
  </si>
  <si>
    <t>21.10.2011</t>
  </si>
  <si>
    <t>Vedram Patel</t>
  </si>
  <si>
    <t>393/1</t>
  </si>
  <si>
    <t>Madhuri Bai</t>
  </si>
  <si>
    <t>393/2</t>
  </si>
  <si>
    <t>25.10.2011</t>
  </si>
  <si>
    <t>Gourishanker</t>
  </si>
  <si>
    <t>393/3</t>
  </si>
  <si>
    <t>22.11.2011</t>
  </si>
  <si>
    <t>Babulal patel &amp; other</t>
  </si>
  <si>
    <t>347/2</t>
  </si>
  <si>
    <t>13.12.2011</t>
  </si>
  <si>
    <t>Samay lal patel &amp; other</t>
  </si>
  <si>
    <t>261/5</t>
  </si>
  <si>
    <t>Sl No.</t>
  </si>
  <si>
    <t>Registration Fees &amp; misc Exp</t>
  </si>
  <si>
    <t>Misc Exp.</t>
  </si>
  <si>
    <t>20.10.2011</t>
  </si>
  <si>
    <t>Mileshwar maitri</t>
  </si>
  <si>
    <t>saradih</t>
  </si>
  <si>
    <t>561/2 (K)</t>
  </si>
  <si>
    <t>Komal prasad</t>
  </si>
  <si>
    <t>561/2(kh)</t>
  </si>
  <si>
    <t xml:space="preserve">Kanak Ram </t>
  </si>
  <si>
    <t>560/2</t>
  </si>
  <si>
    <t>Resham Lal tiwari</t>
  </si>
  <si>
    <t>560/3 &amp; 561/1</t>
  </si>
  <si>
    <t xml:space="preserve">Details of Land Purchase at Raigad-Maharashtra </t>
  </si>
  <si>
    <t>Sr.No.</t>
  </si>
  <si>
    <t xml:space="preserve">Date </t>
  </si>
  <si>
    <t xml:space="preserve">Amount </t>
  </si>
  <si>
    <t xml:space="preserve">Moksh Enterprises </t>
  </si>
  <si>
    <t xml:space="preserve">Priya Rajesh Bhandari </t>
  </si>
  <si>
    <t xml:space="preserve">Land Development </t>
  </si>
  <si>
    <t xml:space="preserve">Singhi &amp; company </t>
  </si>
  <si>
    <t xml:space="preserve">Land Registation </t>
  </si>
  <si>
    <t xml:space="preserve">for </t>
  </si>
  <si>
    <t xml:space="preserve">Paid to </t>
  </si>
  <si>
    <t>23.01.2012</t>
  </si>
  <si>
    <t>Krishna Lal</t>
  </si>
  <si>
    <t>589/3</t>
  </si>
  <si>
    <t>Madhav</t>
  </si>
  <si>
    <t>590/2</t>
  </si>
  <si>
    <t>03.02.2012</t>
  </si>
  <si>
    <t xml:space="preserve">Bhim </t>
  </si>
  <si>
    <t>587/1</t>
  </si>
  <si>
    <t>589/2</t>
  </si>
  <si>
    <t>04.02.2012</t>
  </si>
  <si>
    <t>589/4</t>
  </si>
  <si>
    <t>Mileshwar</t>
  </si>
  <si>
    <t>589/5</t>
  </si>
  <si>
    <t>06.02.2012</t>
  </si>
  <si>
    <t>Laxmi Prasad</t>
  </si>
  <si>
    <t>560/1,561/1,589/1</t>
  </si>
  <si>
    <t>Registration Charges</t>
  </si>
  <si>
    <t xml:space="preserve">Stamp Duty </t>
  </si>
  <si>
    <t>(C)</t>
  </si>
  <si>
    <t xml:space="preserve">Freehold land </t>
  </si>
  <si>
    <t>Area Acre</t>
  </si>
  <si>
    <t xml:space="preserve">Land aquired </t>
  </si>
  <si>
    <t>Land &amp; Site Development &amp; Electric Installation trf to Land</t>
  </si>
  <si>
    <t>FOR CONSTRUCTON OF INTAKE WELL</t>
  </si>
  <si>
    <t>Seller Name</t>
  </si>
  <si>
    <t>Stamp Duty for Pipe Line</t>
  </si>
  <si>
    <t>Land Documentation charges for Pipe line Land</t>
  </si>
  <si>
    <t>Compensation for Pipe Line</t>
  </si>
  <si>
    <t>Relocation of Settlers</t>
  </si>
  <si>
    <t>Land Compensation out side boundry wall</t>
  </si>
  <si>
    <t>First phase Pvt Land acquired in the name of SKS Power generation</t>
  </si>
  <si>
    <t>year</t>
  </si>
  <si>
    <t>Farmer's Name</t>
  </si>
  <si>
    <t>Khasra No.</t>
  </si>
  <si>
    <t>Rakba</t>
  </si>
  <si>
    <t>Stamp</t>
  </si>
  <si>
    <t>Reg. Fees</t>
  </si>
  <si>
    <t>2007-08</t>
  </si>
  <si>
    <t>BINJKOT</t>
  </si>
  <si>
    <t>MEHTAR</t>
  </si>
  <si>
    <t>592/3</t>
  </si>
  <si>
    <t>DARAMUDA</t>
  </si>
  <si>
    <t>SIYARAM</t>
  </si>
  <si>
    <t>413/3</t>
  </si>
  <si>
    <t>NEELAM PRASAD</t>
  </si>
  <si>
    <t>2010-11</t>
  </si>
  <si>
    <t>Bhakulal</t>
  </si>
  <si>
    <t>437/1</t>
  </si>
  <si>
    <t>435/1</t>
  </si>
  <si>
    <t>Rooplal</t>
  </si>
  <si>
    <t>Puniram</t>
  </si>
  <si>
    <t>140/1</t>
  </si>
  <si>
    <t>Nankidau</t>
  </si>
  <si>
    <t>229/3</t>
  </si>
  <si>
    <t>444/5</t>
  </si>
  <si>
    <t>444/3</t>
  </si>
  <si>
    <t>Janmjay</t>
  </si>
  <si>
    <t>454/2</t>
  </si>
  <si>
    <t>Ramadhin</t>
  </si>
  <si>
    <t>437/2</t>
  </si>
  <si>
    <t>435/2</t>
  </si>
  <si>
    <t>Dujram</t>
  </si>
  <si>
    <t>433/2</t>
  </si>
  <si>
    <t>Govind</t>
  </si>
  <si>
    <t>388/5</t>
  </si>
  <si>
    <t>370/2</t>
  </si>
  <si>
    <t>Rathlal</t>
  </si>
  <si>
    <t>475/2</t>
  </si>
  <si>
    <t>Kamal Kumar</t>
  </si>
  <si>
    <t>Mohanlal</t>
  </si>
  <si>
    <t>Shayambai</t>
  </si>
  <si>
    <t>487/1 Ka</t>
  </si>
  <si>
    <t>Ananadram</t>
  </si>
  <si>
    <t>363/4</t>
  </si>
  <si>
    <t>Ramprasad</t>
  </si>
  <si>
    <t>346/2</t>
  </si>
  <si>
    <t>Bihari</t>
  </si>
  <si>
    <t>442/2</t>
  </si>
  <si>
    <t>Laxmiprasad</t>
  </si>
  <si>
    <t>413/2</t>
  </si>
  <si>
    <t>Karthikram</t>
  </si>
  <si>
    <t>444/2</t>
  </si>
  <si>
    <t>Ghanshyam/Badrinath</t>
  </si>
  <si>
    <t>444/4</t>
  </si>
  <si>
    <t>444/1</t>
  </si>
  <si>
    <t xml:space="preserve">Other Misc. Expenses </t>
  </si>
  <si>
    <t xml:space="preserve">Total </t>
  </si>
  <si>
    <t>Freehold land (4.220 hectares)</t>
  </si>
  <si>
    <t>09.04.2012</t>
  </si>
  <si>
    <t>Deendayal Patel</t>
  </si>
  <si>
    <t>Sukhilal Guharam</t>
  </si>
  <si>
    <t>261/3</t>
  </si>
  <si>
    <t>24.11.2012</t>
  </si>
  <si>
    <t>Kamal Narayan Dani</t>
  </si>
  <si>
    <t>562 &amp; 563</t>
  </si>
  <si>
    <t>Pipe Line</t>
  </si>
  <si>
    <t>Forest Land</t>
  </si>
  <si>
    <t>Rakba (In Acre)</t>
  </si>
  <si>
    <t>Rate</t>
  </si>
  <si>
    <t>25.06.2013</t>
  </si>
  <si>
    <t>Ajeet Kumar Singh</t>
  </si>
  <si>
    <t>Khairat</t>
  </si>
  <si>
    <t>27.06.2013</t>
  </si>
  <si>
    <t>Anil Kumar Singh</t>
  </si>
  <si>
    <t>Kuwarguda</t>
  </si>
  <si>
    <t>25/4</t>
  </si>
  <si>
    <t>Land MAP Processing charges FMIS</t>
  </si>
  <si>
    <t>Forest application fees</t>
  </si>
  <si>
    <t>Total Land cost</t>
  </si>
  <si>
    <t>10.09.2013</t>
  </si>
  <si>
    <t>Vedmati Patel</t>
  </si>
  <si>
    <t>Bade Jampali</t>
  </si>
  <si>
    <t>6/3</t>
  </si>
  <si>
    <t>Mahatma Das</t>
  </si>
  <si>
    <t>6/1 &amp; 6/2</t>
  </si>
  <si>
    <t>Navratan Nayak</t>
  </si>
  <si>
    <t>8/19</t>
  </si>
  <si>
    <t>Railway Land</t>
  </si>
  <si>
    <t>Land For Railway Sliding</t>
  </si>
  <si>
    <t>(E)</t>
  </si>
  <si>
    <t>Land for Forest</t>
  </si>
  <si>
    <t>(F)</t>
  </si>
  <si>
    <t>(G)</t>
  </si>
  <si>
    <t xml:space="preserve">Compensation for pipe line crossing </t>
  </si>
  <si>
    <t>Compensation paid to Sub Divisional Officer against Khasra No 4, Rakba No 13</t>
  </si>
  <si>
    <t>Compensation paid to Sub Divisional Officer against Khasra No 4, Rakba No 22</t>
  </si>
  <si>
    <t>Compensation paid to Mr. Kamal Narayan Dani Pipe Laying at saradih</t>
  </si>
  <si>
    <t>Compensation paid to govertment for pipe line crossing between Saradih &amp; Jawali village by Cash</t>
  </si>
  <si>
    <t>Compensation paid to govertment for pipe line crossing between Saradih &amp; Jawali village by DD</t>
  </si>
  <si>
    <t>Documentation Charges</t>
  </si>
  <si>
    <t>Transmission Line Land</t>
  </si>
  <si>
    <t>27.11.2013</t>
  </si>
  <si>
    <t>Romesh Kumar Sinha</t>
  </si>
  <si>
    <t>137/7 &amp; 137/10</t>
  </si>
  <si>
    <t>Anshuman Shrivastav</t>
  </si>
  <si>
    <t>135/7, 137/12, 137/16</t>
  </si>
  <si>
    <t>T - Line</t>
  </si>
  <si>
    <t>Development Amount</t>
  </si>
  <si>
    <t>Additional Development Cost</t>
  </si>
  <si>
    <t>Total Land Cost</t>
  </si>
  <si>
    <t>Mutation charges</t>
  </si>
  <si>
    <t>Borkerage</t>
  </si>
  <si>
    <t>04.10.2013</t>
  </si>
  <si>
    <t>Kaushal Prasad S/o Kripa sindhu</t>
  </si>
  <si>
    <t>Bansia</t>
  </si>
  <si>
    <t>10/4 Ga</t>
  </si>
  <si>
    <t>Safiram S/O Darasram</t>
  </si>
  <si>
    <t>10/1,10/2,10/3 &amp; 10/8</t>
  </si>
  <si>
    <t>Manohar S/O Nand Ram</t>
  </si>
  <si>
    <t>14/1,14/2,14/3,14/4 &amp; 15</t>
  </si>
  <si>
    <t>08.10.2013</t>
  </si>
  <si>
    <t>Arti das</t>
  </si>
  <si>
    <t>26.10.2013</t>
  </si>
  <si>
    <t>Premshanker S/O Thandaram Choudhary</t>
  </si>
  <si>
    <t>29.10.2013</t>
  </si>
  <si>
    <t>Narayan S/O Usatram</t>
  </si>
  <si>
    <t>14/4 Gha</t>
  </si>
  <si>
    <t>12.11.2013</t>
  </si>
  <si>
    <t>Sriram S/O Maheshram</t>
  </si>
  <si>
    <t>9/2</t>
  </si>
  <si>
    <t>19.12.2013</t>
  </si>
  <si>
    <t>Roopram &amp; Bindumati</t>
  </si>
  <si>
    <t>20.01.2014</t>
  </si>
  <si>
    <t>Chabilal / Kaniram</t>
  </si>
  <si>
    <t>13/2 Ga</t>
  </si>
  <si>
    <t>Daniram / Kaniram</t>
  </si>
  <si>
    <t>13/2 Ka, 13/1 Kha</t>
  </si>
  <si>
    <t>Sitaram / Tekram</t>
  </si>
  <si>
    <t>13/1</t>
  </si>
  <si>
    <t xml:space="preserve">Ramprasad </t>
  </si>
  <si>
    <t>12/1</t>
  </si>
  <si>
    <t>Chandan Singh</t>
  </si>
  <si>
    <t>12/2</t>
  </si>
  <si>
    <t>28.02.2014</t>
  </si>
  <si>
    <t>Chandrabhoj</t>
  </si>
  <si>
    <t>10/6</t>
  </si>
  <si>
    <t>14/5</t>
  </si>
  <si>
    <t>Tekram</t>
  </si>
  <si>
    <t>14/6</t>
  </si>
  <si>
    <t>Land MAP Processing charges &amp; other charges</t>
  </si>
  <si>
    <t>Railway Siding</t>
  </si>
  <si>
    <t>Brokerage/ Commission</t>
  </si>
  <si>
    <t>14.03.2014</t>
  </si>
  <si>
    <t>Teklal Nayak</t>
  </si>
  <si>
    <t>8/20 KA</t>
  </si>
  <si>
    <t>21.03.2014</t>
  </si>
  <si>
    <t>Abhay Charan Nayak</t>
  </si>
  <si>
    <t>8/20 kha</t>
  </si>
  <si>
    <t>28.03.2014</t>
  </si>
  <si>
    <t>Nutan Prasad Nayak &amp; Ishwari Prasad Nayak</t>
  </si>
  <si>
    <t>8/21</t>
  </si>
  <si>
    <t>Application Land Documentation charges</t>
  </si>
  <si>
    <t>17.04.2014</t>
  </si>
  <si>
    <t>Manohar Lal Patel</t>
  </si>
  <si>
    <t>53/2</t>
  </si>
  <si>
    <t>Land Purchase of missing Binjkot on Phase I</t>
  </si>
  <si>
    <t>Land Purchase of missing Daramurradaon Phase I</t>
  </si>
  <si>
    <t>10 Years Forest Land Planation Plan</t>
  </si>
  <si>
    <t>577/7</t>
  </si>
  <si>
    <t>Freehold land (2.353 hectares)</t>
  </si>
  <si>
    <t>01.05.2012</t>
  </si>
  <si>
    <t>18.03.2016</t>
  </si>
  <si>
    <t>Pilababu Nagwanshi</t>
  </si>
  <si>
    <t>5/2</t>
  </si>
  <si>
    <t>Land Detail's  SPGCL</t>
  </si>
  <si>
    <t xml:space="preserve">1st Phase </t>
  </si>
  <si>
    <t>Other land</t>
  </si>
  <si>
    <t>Grand Total</t>
  </si>
  <si>
    <t>Name of Village</t>
  </si>
  <si>
    <t>Land   Acqui- sition</t>
  </si>
  <si>
    <t xml:space="preserve"> Govt. alloted land</t>
  </si>
  <si>
    <t>Missing Khata Direct Purcheses</t>
  </si>
  <si>
    <t>Revenue forest Land</t>
  </si>
  <si>
    <t xml:space="preserve">Railway line </t>
  </si>
  <si>
    <t>Tower line (gentry)</t>
  </si>
  <si>
    <t>Intekwell</t>
  </si>
  <si>
    <t>(Hactares)</t>
  </si>
  <si>
    <t>Binjkote</t>
  </si>
  <si>
    <t>Badejampali</t>
  </si>
  <si>
    <t>Bansiya</t>
  </si>
  <si>
    <t>Saradih</t>
  </si>
  <si>
    <t>Total (Hactares)</t>
  </si>
  <si>
    <t>Total ( Acre)</t>
  </si>
  <si>
    <t>Khairat Land</t>
  </si>
  <si>
    <t>Hand over to Forest Department</t>
  </si>
  <si>
    <t xml:space="preserve">Balance Land </t>
  </si>
  <si>
    <t>Hect</t>
  </si>
  <si>
    <t>Missing Khasara</t>
  </si>
  <si>
    <t>Rakba (In hec.)</t>
  </si>
  <si>
    <t>24.01.2011</t>
  </si>
  <si>
    <t>351/1 &amp; 358</t>
  </si>
  <si>
    <t>Bisiram, Daras Ram, Janki Bai</t>
  </si>
  <si>
    <t>557 &amp; 347</t>
  </si>
  <si>
    <t>Land Compensation</t>
  </si>
  <si>
    <t>Tree Compensation</t>
  </si>
  <si>
    <t>In Acres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</si>
</sst>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 * #,##0_ ;_ * \-#,##0_ ;_ * &quot;-&quot;??_ ;_ @_ "/>
    <numFmt numFmtId="168" formatCode="[$-409]d\-mmm\-yy;@"/>
    <numFmt numFmtId="169" formatCode="0.000"/>
    <numFmt numFmtId="170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indexed="18"/>
      <name val="Arial"/>
      <family val="2"/>
    </font>
    <font>
      <sz val="10"/>
      <name val="Calibri"/>
      <family val="2"/>
      <scheme val="minor"/>
    </font>
    <font>
      <sz val="11"/>
      <color theme="1"/>
      <name val="Cambria"/>
      <family val="2"/>
    </font>
    <font>
      <sz val="11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2" fontId="1" fillId="0" borderId="0"/>
    <xf numFmtId="16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/>
    <xf numFmtId="0" fontId="1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2" applyFont="1" applyFill="1" applyBorder="1" applyAlignment="1">
      <alignment horizontal="left" vertical="top"/>
    </xf>
    <xf numFmtId="0" fontId="1" fillId="0" borderId="0" xfId="2" applyFill="1" applyAlignment="1">
      <alignment vertical="top"/>
    </xf>
    <xf numFmtId="0" fontId="2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1" xfId="2" applyFont="1" applyFill="1" applyBorder="1" applyAlignment="1">
      <alignment vertical="top"/>
    </xf>
    <xf numFmtId="0" fontId="1" fillId="0" borderId="1" xfId="2" applyFill="1" applyBorder="1" applyAlignment="1">
      <alignment vertical="top"/>
    </xf>
    <xf numFmtId="0" fontId="1" fillId="0" borderId="1" xfId="2" applyFill="1" applyBorder="1" applyAlignment="1">
      <alignment horizontal="center" vertical="top"/>
    </xf>
    <xf numFmtId="0" fontId="1" fillId="0" borderId="1" xfId="2" applyFill="1" applyBorder="1" applyAlignment="1">
      <alignment horizontal="justify" vertical="top" wrapText="1"/>
    </xf>
    <xf numFmtId="164" fontId="1" fillId="0" borderId="1" xfId="1" applyNumberFormat="1" applyFont="1" applyFill="1" applyBorder="1" applyAlignment="1">
      <alignment vertical="top"/>
    </xf>
    <xf numFmtId="165" fontId="1" fillId="0" borderId="1" xfId="1" applyNumberFormat="1" applyFont="1" applyFill="1" applyBorder="1" applyAlignment="1">
      <alignment vertical="top"/>
    </xf>
    <xf numFmtId="165" fontId="1" fillId="0" borderId="0" xfId="1" applyNumberFormat="1" applyFont="1" applyFill="1" applyAlignment="1">
      <alignment vertical="top"/>
    </xf>
    <xf numFmtId="165" fontId="1" fillId="0" borderId="2" xfId="1" applyNumberFormat="1" applyFont="1" applyFill="1" applyBorder="1" applyAlignment="1">
      <alignment vertical="top"/>
    </xf>
    <xf numFmtId="0" fontId="2" fillId="0" borderId="1" xfId="2" applyFont="1" applyFill="1" applyBorder="1" applyAlignment="1">
      <alignment horizontal="justify" vertical="top" wrapText="1"/>
    </xf>
    <xf numFmtId="166" fontId="2" fillId="0" borderId="3" xfId="1" applyNumberFormat="1" applyFont="1" applyFill="1" applyBorder="1" applyAlignment="1">
      <alignment vertical="top"/>
    </xf>
    <xf numFmtId="164" fontId="2" fillId="0" borderId="3" xfId="1" applyNumberFormat="1" applyFont="1" applyFill="1" applyBorder="1" applyAlignment="1">
      <alignment vertical="top"/>
    </xf>
    <xf numFmtId="165" fontId="2" fillId="0" borderId="3" xfId="1" applyNumberFormat="1" applyFont="1" applyFill="1" applyBorder="1" applyAlignment="1">
      <alignment vertical="top"/>
    </xf>
    <xf numFmtId="165" fontId="2" fillId="0" borderId="1" xfId="1" applyNumberFormat="1" applyFont="1" applyFill="1" applyBorder="1" applyAlignment="1">
      <alignment horizontal="right" vertical="top"/>
    </xf>
    <xf numFmtId="166" fontId="2" fillId="0" borderId="1" xfId="1" applyNumberFormat="1" applyFont="1" applyFill="1" applyBorder="1" applyAlignment="1">
      <alignment vertical="top"/>
    </xf>
    <xf numFmtId="165" fontId="2" fillId="0" borderId="1" xfId="1" applyNumberFormat="1" applyFont="1" applyFill="1" applyBorder="1" applyAlignment="1">
      <alignment vertical="top"/>
    </xf>
    <xf numFmtId="0" fontId="1" fillId="0" borderId="0" xfId="2" applyFill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right" vertical="top"/>
    </xf>
    <xf numFmtId="166" fontId="2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vertical="top"/>
    </xf>
    <xf numFmtId="0" fontId="1" fillId="0" borderId="0" xfId="2" applyFill="1" applyBorder="1" applyAlignment="1">
      <alignment vertical="top"/>
    </xf>
    <xf numFmtId="0" fontId="1" fillId="0" borderId="0" xfId="2" applyFill="1" applyBorder="1" applyAlignment="1">
      <alignment horizontal="justify" vertical="top" wrapText="1"/>
    </xf>
    <xf numFmtId="166" fontId="1" fillId="0" borderId="1" xfId="1" applyNumberFormat="1" applyFont="1" applyFill="1" applyBorder="1" applyAlignment="1">
      <alignment vertical="top"/>
    </xf>
    <xf numFmtId="0" fontId="2" fillId="0" borderId="1" xfId="2" applyFont="1" applyFill="1" applyBorder="1" applyAlignment="1">
      <alignment horizontal="left" vertical="top"/>
    </xf>
    <xf numFmtId="0" fontId="1" fillId="0" borderId="0" xfId="2" applyFill="1" applyAlignment="1">
      <alignment horizontal="justify" vertical="top" wrapText="1"/>
    </xf>
    <xf numFmtId="165" fontId="0" fillId="0" borderId="0" xfId="1" applyNumberFormat="1" applyFont="1"/>
    <xf numFmtId="0" fontId="4" fillId="0" borderId="0" xfId="0" applyFont="1"/>
    <xf numFmtId="165" fontId="4" fillId="0" borderId="0" xfId="1" applyNumberFormat="1" applyFont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horizontal="left"/>
    </xf>
    <xf numFmtId="2" fontId="0" fillId="0" borderId="4" xfId="0" applyNumberFormat="1" applyFill="1" applyBorder="1"/>
    <xf numFmtId="0" fontId="0" fillId="0" borderId="5" xfId="0" applyFill="1" applyBorder="1"/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/>
    <xf numFmtId="2" fontId="4" fillId="0" borderId="0" xfId="0" applyNumberFormat="1" applyFont="1" applyFill="1" applyBorder="1" applyAlignment="1">
      <alignment horizontal="center"/>
    </xf>
    <xf numFmtId="168" fontId="0" fillId="0" borderId="0" xfId="0" applyNumberFormat="1"/>
    <xf numFmtId="0" fontId="0" fillId="0" borderId="4" xfId="0" applyBorder="1"/>
    <xf numFmtId="168" fontId="0" fillId="0" borderId="4" xfId="0" applyNumberFormat="1" applyBorder="1"/>
    <xf numFmtId="165" fontId="0" fillId="0" borderId="4" xfId="1" applyNumberFormat="1" applyFont="1" applyBorder="1"/>
    <xf numFmtId="0" fontId="0" fillId="0" borderId="6" xfId="0" applyBorder="1"/>
    <xf numFmtId="168" fontId="0" fillId="0" borderId="6" xfId="0" applyNumberFormat="1" applyBorder="1"/>
    <xf numFmtId="165" fontId="4" fillId="0" borderId="6" xfId="1" applyNumberFormat="1" applyFont="1" applyBorder="1"/>
    <xf numFmtId="0" fontId="4" fillId="0" borderId="4" xfId="0" applyFont="1" applyBorder="1" applyAlignment="1"/>
    <xf numFmtId="165" fontId="4" fillId="0" borderId="4" xfId="1" applyNumberFormat="1" applyFont="1" applyBorder="1" applyAlignment="1"/>
    <xf numFmtId="165" fontId="0" fillId="0" borderId="0" xfId="4" applyNumberFormat="1" applyFont="1" applyFill="1"/>
    <xf numFmtId="165" fontId="4" fillId="0" borderId="4" xfId="4" applyNumberFormat="1" applyFont="1" applyFill="1" applyBorder="1" applyAlignment="1">
      <alignment wrapText="1"/>
    </xf>
    <xf numFmtId="165" fontId="0" fillId="0" borderId="4" xfId="4" applyNumberFormat="1" applyFont="1" applyFill="1" applyBorder="1"/>
    <xf numFmtId="165" fontId="4" fillId="0" borderId="0" xfId="4" applyNumberFormat="1" applyFont="1" applyFill="1" applyBorder="1"/>
    <xf numFmtId="165" fontId="4" fillId="0" borderId="0" xfId="4" applyNumberFormat="1" applyFont="1" applyFill="1" applyBorder="1" applyAlignment="1">
      <alignment horizontal="center"/>
    </xf>
    <xf numFmtId="165" fontId="4" fillId="0" borderId="4" xfId="4" applyNumberFormat="1" applyFont="1" applyFill="1" applyBorder="1"/>
    <xf numFmtId="165" fontId="5" fillId="0" borderId="4" xfId="4" applyNumberFormat="1" applyFont="1" applyFill="1" applyBorder="1"/>
    <xf numFmtId="0" fontId="9" fillId="0" borderId="0" xfId="2" applyFont="1" applyFill="1" applyAlignment="1">
      <alignment vertical="top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top"/>
    </xf>
    <xf numFmtId="165" fontId="9" fillId="0" borderId="1" xfId="1" applyNumberFormat="1" applyFont="1" applyFill="1" applyBorder="1" applyAlignment="1">
      <alignment vertical="top"/>
    </xf>
    <xf numFmtId="165" fontId="9" fillId="0" borderId="2" xfId="1" applyNumberFormat="1" applyFont="1" applyFill="1" applyBorder="1" applyAlignment="1">
      <alignment vertical="top"/>
    </xf>
    <xf numFmtId="165" fontId="10" fillId="0" borderId="1" xfId="1" applyNumberFormat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Alignment="1">
      <alignment vertical="top"/>
    </xf>
    <xf numFmtId="165" fontId="10" fillId="0" borderId="3" xfId="1" applyNumberFormat="1" applyFont="1" applyFill="1" applyBorder="1" applyAlignment="1">
      <alignment vertical="top"/>
    </xf>
    <xf numFmtId="0" fontId="11" fillId="0" borderId="0" xfId="0" applyFont="1" applyFill="1"/>
    <xf numFmtId="0" fontId="0" fillId="0" borderId="4" xfId="0" applyFill="1" applyBorder="1" applyAlignment="1">
      <alignment horizontal="center"/>
    </xf>
    <xf numFmtId="2" fontId="12" fillId="0" borderId="0" xfId="6" applyFont="1" applyBorder="1"/>
    <xf numFmtId="2" fontId="1" fillId="0" borderId="0" xfId="6"/>
    <xf numFmtId="167" fontId="1" fillId="0" borderId="0" xfId="1" applyNumberFormat="1" applyFont="1"/>
    <xf numFmtId="2" fontId="1" fillId="0" borderId="0" xfId="6" applyBorder="1"/>
    <xf numFmtId="2" fontId="1" fillId="0" borderId="0" xfId="6" applyBorder="1" applyAlignment="1">
      <alignment horizontal="left"/>
    </xf>
    <xf numFmtId="167" fontId="1" fillId="0" borderId="0" xfId="1" applyNumberFormat="1" applyFont="1" applyBorder="1"/>
    <xf numFmtId="2" fontId="13" fillId="0" borderId="4" xfId="6" applyFont="1" applyFill="1" applyBorder="1" applyAlignment="1">
      <alignment horizontal="center"/>
    </xf>
    <xf numFmtId="2" fontId="13" fillId="0" borderId="4" xfId="6" applyFont="1" applyFill="1" applyBorder="1" applyAlignment="1">
      <alignment horizontal="left"/>
    </xf>
    <xf numFmtId="167" fontId="13" fillId="0" borderId="4" xfId="1" applyNumberFormat="1" applyFont="1" applyFill="1" applyBorder="1" applyAlignment="1">
      <alignment horizontal="center"/>
    </xf>
    <xf numFmtId="0" fontId="14" fillId="0" borderId="4" xfId="2" applyFont="1" applyFill="1" applyBorder="1" applyAlignment="1"/>
    <xf numFmtId="0" fontId="14" fillId="0" borderId="4" xfId="2" applyFont="1" applyFill="1" applyBorder="1" applyAlignment="1">
      <alignment horizontal="left"/>
    </xf>
    <xf numFmtId="167" fontId="14" fillId="0" borderId="4" xfId="1" applyNumberFormat="1" applyFont="1" applyFill="1" applyBorder="1" applyAlignment="1">
      <alignment horizontal="right"/>
    </xf>
    <xf numFmtId="2" fontId="1" fillId="0" borderId="4" xfId="6" applyFill="1" applyBorder="1" applyAlignment="1"/>
    <xf numFmtId="2" fontId="1" fillId="0" borderId="4" xfId="6" applyFill="1" applyBorder="1" applyAlignment="1">
      <alignment horizontal="left"/>
    </xf>
    <xf numFmtId="167" fontId="1" fillId="0" borderId="4" xfId="1" applyNumberFormat="1" applyFont="1" applyFill="1" applyBorder="1" applyAlignment="1"/>
    <xf numFmtId="2" fontId="1" fillId="0" borderId="4" xfId="6" applyBorder="1"/>
    <xf numFmtId="2" fontId="1" fillId="0" borderId="4" xfId="6" applyBorder="1" applyAlignment="1">
      <alignment horizontal="left"/>
    </xf>
    <xf numFmtId="167" fontId="2" fillId="0" borderId="4" xfId="1" applyNumberFormat="1" applyFont="1" applyBorder="1"/>
    <xf numFmtId="167" fontId="1" fillId="0" borderId="0" xfId="1" applyNumberFormat="1" applyFont="1" applyFill="1" applyBorder="1" applyAlignment="1"/>
    <xf numFmtId="167" fontId="0" fillId="0" borderId="0" xfId="1" applyNumberFormat="1" applyFont="1"/>
    <xf numFmtId="167" fontId="4" fillId="0" borderId="0" xfId="1" applyNumberFormat="1" applyFont="1"/>
    <xf numFmtId="167" fontId="4" fillId="0" borderId="5" xfId="1" applyNumberFormat="1" applyFont="1" applyBorder="1"/>
    <xf numFmtId="0" fontId="0" fillId="0" borderId="11" xfId="0" applyFill="1" applyBorder="1"/>
    <xf numFmtId="0" fontId="0" fillId="0" borderId="9" xfId="0" applyFill="1" applyBorder="1"/>
    <xf numFmtId="0" fontId="0" fillId="0" borderId="9" xfId="0" applyFill="1" applyBorder="1" applyAlignment="1">
      <alignment horizontal="left"/>
    </xf>
    <xf numFmtId="2" fontId="0" fillId="0" borderId="9" xfId="0" applyNumberFormat="1" applyFill="1" applyBorder="1"/>
    <xf numFmtId="2" fontId="4" fillId="0" borderId="4" xfId="0" applyNumberFormat="1" applyFont="1" applyFill="1" applyBorder="1" applyAlignment="1"/>
    <xf numFmtId="165" fontId="0" fillId="0" borderId="0" xfId="3" applyNumberFormat="1" applyFont="1" applyFill="1"/>
    <xf numFmtId="165" fontId="4" fillId="0" borderId="4" xfId="3" applyNumberFormat="1" applyFont="1" applyFill="1" applyBorder="1" applyAlignment="1">
      <alignment wrapText="1"/>
    </xf>
    <xf numFmtId="165" fontId="4" fillId="0" borderId="4" xfId="3" applyNumberFormat="1" applyFont="1" applyFill="1" applyBorder="1" applyAlignment="1">
      <alignment horizontal="center" wrapText="1"/>
    </xf>
    <xf numFmtId="165" fontId="0" fillId="0" borderId="4" xfId="3" applyNumberFormat="1" applyFont="1" applyFill="1" applyBorder="1"/>
    <xf numFmtId="165" fontId="6" fillId="0" borderId="4" xfId="3" applyNumberFormat="1" applyFont="1" applyFill="1" applyBorder="1"/>
    <xf numFmtId="165" fontId="0" fillId="0" borderId="9" xfId="3" applyNumberFormat="1" applyFont="1" applyFill="1" applyBorder="1"/>
    <xf numFmtId="169" fontId="4" fillId="0" borderId="6" xfId="0" applyNumberFormat="1" applyFont="1" applyFill="1" applyBorder="1"/>
    <xf numFmtId="165" fontId="4" fillId="0" borderId="6" xfId="3" applyNumberFormat="1" applyFont="1" applyFill="1" applyBorder="1"/>
    <xf numFmtId="165" fontId="0" fillId="0" borderId="12" xfId="3" applyNumberFormat="1" applyFont="1" applyFill="1" applyBorder="1"/>
    <xf numFmtId="165" fontId="0" fillId="0" borderId="4" xfId="0" applyNumberFormat="1" applyFill="1" applyBorder="1"/>
    <xf numFmtId="16" fontId="0" fillId="0" borderId="4" xfId="0" quotePrefix="1" applyNumberFormat="1" applyFill="1" applyBorder="1" applyAlignment="1">
      <alignment horizontal="left"/>
    </xf>
    <xf numFmtId="0" fontId="2" fillId="0" borderId="1" xfId="2" applyFont="1" applyFill="1" applyBorder="1" applyAlignment="1">
      <alignment horizontal="center" vertical="top"/>
    </xf>
    <xf numFmtId="165" fontId="1" fillId="0" borderId="1" xfId="1" applyNumberFormat="1" applyFont="1" applyFill="1" applyBorder="1" applyAlignment="1">
      <alignment horizontal="left" vertical="top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0" fontId="0" fillId="0" borderId="9" xfId="0" applyFont="1" applyFill="1" applyBorder="1"/>
    <xf numFmtId="0" fontId="0" fillId="0" borderId="4" xfId="0" applyFont="1" applyFill="1" applyBorder="1"/>
    <xf numFmtId="0" fontId="0" fillId="0" borderId="9" xfId="0" applyFont="1" applyFill="1" applyBorder="1" applyAlignment="1">
      <alignment horizontal="left"/>
    </xf>
    <xf numFmtId="2" fontId="0" fillId="0" borderId="9" xfId="0" applyNumberFormat="1" applyFont="1" applyFill="1" applyBorder="1"/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left" vertical="top" wrapText="1"/>
    </xf>
    <xf numFmtId="165" fontId="7" fillId="0" borderId="4" xfId="3" applyNumberFormat="1" applyFont="1" applyFill="1" applyBorder="1" applyAlignment="1">
      <alignment vertical="top" wrapText="1"/>
    </xf>
    <xf numFmtId="165" fontId="7" fillId="0" borderId="4" xfId="3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1" fontId="0" fillId="0" borderId="4" xfId="0" applyNumberFormat="1" applyFill="1" applyBorder="1" applyAlignment="1">
      <alignment horizontal="left"/>
    </xf>
    <xf numFmtId="16" fontId="0" fillId="0" borderId="9" xfId="0" quotePrefix="1" applyNumberFormat="1" applyFill="1" applyBorder="1" applyAlignment="1">
      <alignment horizontal="left"/>
    </xf>
    <xf numFmtId="49" fontId="16" fillId="0" borderId="4" xfId="0" applyNumberFormat="1" applyFont="1" applyBorder="1" applyAlignment="1">
      <alignment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165" fontId="6" fillId="0" borderId="9" xfId="3" applyNumberFormat="1" applyFont="1" applyFill="1" applyBorder="1"/>
    <xf numFmtId="165" fontId="0" fillId="0" borderId="9" xfId="0" applyNumberFormat="1" applyFill="1" applyBorder="1"/>
    <xf numFmtId="165" fontId="7" fillId="0" borderId="4" xfId="3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2" fontId="0" fillId="0" borderId="4" xfId="0" applyNumberFormat="1" applyFill="1" applyBorder="1" applyAlignment="1">
      <alignment horizontal="center"/>
    </xf>
    <xf numFmtId="165" fontId="0" fillId="0" borderId="4" xfId="3" applyNumberFormat="1" applyFont="1" applyFill="1" applyBorder="1" applyAlignment="1">
      <alignment vertical="top"/>
    </xf>
    <xf numFmtId="2" fontId="0" fillId="0" borderId="9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top"/>
    </xf>
    <xf numFmtId="0" fontId="0" fillId="0" borderId="9" xfId="0" applyFill="1" applyBorder="1" applyAlignment="1">
      <alignment vertical="top"/>
    </xf>
    <xf numFmtId="0" fontId="0" fillId="0" borderId="9" xfId="0" applyFill="1" applyBorder="1" applyAlignment="1">
      <alignment horizontal="left" vertical="top" wrapText="1"/>
    </xf>
    <xf numFmtId="0" fontId="0" fillId="0" borderId="4" xfId="0" applyFill="1" applyBorder="1" applyAlignment="1">
      <alignment vertical="top"/>
    </xf>
    <xf numFmtId="16" fontId="0" fillId="0" borderId="9" xfId="0" quotePrefix="1" applyNumberFormat="1" applyFill="1" applyBorder="1" applyAlignment="1">
      <alignment horizontal="left" vertical="top"/>
    </xf>
    <xf numFmtId="2" fontId="0" fillId="0" borderId="9" xfId="0" applyNumberFormat="1" applyFill="1" applyBorder="1" applyAlignment="1">
      <alignment horizontal="center" vertical="top"/>
    </xf>
    <xf numFmtId="165" fontId="0" fillId="0" borderId="9" xfId="3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165" fontId="4" fillId="0" borderId="12" xfId="3" applyNumberFormat="1" applyFont="1" applyFill="1" applyBorder="1"/>
    <xf numFmtId="164" fontId="0" fillId="0" borderId="0" xfId="3" applyNumberFormat="1" applyFont="1" applyFill="1"/>
    <xf numFmtId="165" fontId="9" fillId="0" borderId="7" xfId="1" applyNumberFormat="1" applyFont="1" applyFill="1" applyBorder="1" applyAlignment="1">
      <alignment vertical="top"/>
    </xf>
    <xf numFmtId="165" fontId="9" fillId="0" borderId="3" xfId="1" applyNumberFormat="1" applyFont="1" applyFill="1" applyBorder="1" applyAlignment="1">
      <alignment vertical="top"/>
    </xf>
    <xf numFmtId="165" fontId="9" fillId="0" borderId="7" xfId="4" applyNumberFormat="1" applyFont="1" applyFill="1" applyBorder="1" applyAlignment="1">
      <alignment vertical="top"/>
    </xf>
    <xf numFmtId="165" fontId="10" fillId="0" borderId="13" xfId="1" applyNumberFormat="1" applyFont="1" applyFill="1" applyBorder="1" applyAlignment="1">
      <alignment vertical="top"/>
    </xf>
    <xf numFmtId="165" fontId="10" fillId="0" borderId="12" xfId="1" applyNumberFormat="1" applyFont="1" applyFill="1" applyBorder="1" applyAlignment="1">
      <alignment vertical="top"/>
    </xf>
    <xf numFmtId="166" fontId="2" fillId="0" borderId="7" xfId="1" applyNumberFormat="1" applyFont="1" applyFill="1" applyBorder="1" applyAlignment="1">
      <alignment vertical="top"/>
    </xf>
    <xf numFmtId="166" fontId="2" fillId="0" borderId="13" xfId="1" applyNumberFormat="1" applyFont="1" applyFill="1" applyBorder="1" applyAlignment="1">
      <alignment vertical="top"/>
    </xf>
    <xf numFmtId="166" fontId="1" fillId="0" borderId="7" xfId="1" applyNumberFormat="1" applyFont="1" applyFill="1" applyBorder="1" applyAlignment="1">
      <alignment vertical="top"/>
    </xf>
    <xf numFmtId="165" fontId="1" fillId="0" borderId="7" xfId="1" applyNumberFormat="1" applyFont="1" applyFill="1" applyBorder="1" applyAlignment="1">
      <alignment vertical="top"/>
    </xf>
    <xf numFmtId="165" fontId="1" fillId="0" borderId="3" xfId="1" applyNumberFormat="1" applyFont="1" applyFill="1" applyBorder="1" applyAlignment="1">
      <alignment vertical="top"/>
    </xf>
    <xf numFmtId="166" fontId="1" fillId="0" borderId="0" xfId="1" applyNumberFormat="1" applyFont="1" applyFill="1" applyAlignment="1">
      <alignment vertical="top"/>
    </xf>
    <xf numFmtId="166" fontId="2" fillId="0" borderId="0" xfId="1" applyNumberFormat="1" applyFont="1" applyFill="1" applyAlignment="1">
      <alignment horizontal="center" vertical="center" wrapText="1"/>
    </xf>
    <xf numFmtId="166" fontId="1" fillId="0" borderId="0" xfId="1" applyNumberFormat="1" applyFont="1" applyFill="1" applyBorder="1" applyAlignment="1">
      <alignment vertical="top"/>
    </xf>
    <xf numFmtId="0" fontId="0" fillId="0" borderId="9" xfId="0" applyFill="1" applyBorder="1" applyAlignment="1">
      <alignment horizontal="left" wrapText="1"/>
    </xf>
    <xf numFmtId="169" fontId="4" fillId="0" borderId="6" xfId="0" applyNumberFormat="1" applyFont="1" applyFill="1" applyBorder="1" applyAlignment="1">
      <alignment horizontal="center"/>
    </xf>
    <xf numFmtId="164" fontId="1" fillId="0" borderId="0" xfId="2" applyNumberFormat="1" applyFill="1" applyAlignment="1">
      <alignment vertical="top"/>
    </xf>
    <xf numFmtId="166" fontId="1" fillId="0" borderId="0" xfId="2" applyNumberFormat="1" applyFill="1" applyAlignment="1">
      <alignment vertical="top"/>
    </xf>
    <xf numFmtId="169" fontId="0" fillId="0" borderId="0" xfId="0" applyNumberFormat="1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Fill="1"/>
    <xf numFmtId="165" fontId="4" fillId="0" borderId="0" xfId="1" applyNumberFormat="1" applyFont="1" applyFill="1" applyBorder="1"/>
    <xf numFmtId="14" fontId="0" fillId="0" borderId="9" xfId="0" applyNumberFormat="1" applyFill="1" applyBorder="1"/>
    <xf numFmtId="165" fontId="0" fillId="0" borderId="0" xfId="0" applyNumberFormat="1" applyFill="1"/>
    <xf numFmtId="0" fontId="18" fillId="0" borderId="4" xfId="0" applyFont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2" fontId="18" fillId="0" borderId="4" xfId="0" applyNumberFormat="1" applyFont="1" applyBorder="1" applyAlignment="1">
      <alignment horizontal="center" vertical="center"/>
    </xf>
    <xf numFmtId="2" fontId="18" fillId="3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/>
    <xf numFmtId="0" fontId="19" fillId="0" borderId="4" xfId="0" applyFont="1" applyBorder="1" applyAlignment="1">
      <alignment vertical="center"/>
    </xf>
    <xf numFmtId="2" fontId="19" fillId="3" borderId="4" xfId="0" applyNumberFormat="1" applyFont="1" applyFill="1" applyBorder="1" applyAlignment="1">
      <alignment horizontal="center" vertical="center"/>
    </xf>
    <xf numFmtId="2" fontId="0" fillId="3" borderId="4" xfId="0" applyNumberFormat="1" applyFill="1" applyBorder="1"/>
    <xf numFmtId="2" fontId="0" fillId="3" borderId="9" xfId="0" applyNumberFormat="1" applyFont="1" applyFill="1" applyBorder="1"/>
    <xf numFmtId="170" fontId="0" fillId="0" borderId="0" xfId="0" applyNumberFormat="1" applyFill="1"/>
    <xf numFmtId="0" fontId="0" fillId="0" borderId="0" xfId="0" applyFill="1" applyAlignment="1">
      <alignment horizontal="center"/>
    </xf>
    <xf numFmtId="0" fontId="22" fillId="0" borderId="4" xfId="0" applyFont="1" applyFill="1" applyBorder="1" applyAlignment="1">
      <alignment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 wrapText="1"/>
    </xf>
    <xf numFmtId="165" fontId="22" fillId="0" borderId="4" xfId="3" applyNumberFormat="1" applyFont="1" applyFill="1" applyBorder="1" applyAlignment="1">
      <alignment horizontal="center" vertical="top" wrapText="1"/>
    </xf>
    <xf numFmtId="165" fontId="22" fillId="0" borderId="4" xfId="3" applyNumberFormat="1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left"/>
    </xf>
    <xf numFmtId="2" fontId="8" fillId="0" borderId="4" xfId="0" applyNumberFormat="1" applyFont="1" applyFill="1" applyBorder="1" applyAlignment="1">
      <alignment horizontal="center"/>
    </xf>
    <xf numFmtId="169" fontId="8" fillId="0" borderId="4" xfId="0" applyNumberFormat="1" applyFont="1" applyFill="1" applyBorder="1" applyAlignment="1">
      <alignment horizontal="center"/>
    </xf>
    <xf numFmtId="165" fontId="8" fillId="0" borderId="4" xfId="3" applyNumberFormat="1" applyFont="1" applyFill="1" applyBorder="1"/>
    <xf numFmtId="165" fontId="8" fillId="0" borderId="4" xfId="0" applyNumberFormat="1" applyFont="1" applyFill="1" applyBorder="1"/>
    <xf numFmtId="0" fontId="8" fillId="0" borderId="9" xfId="0" applyFont="1" applyFill="1" applyBorder="1"/>
    <xf numFmtId="0" fontId="8" fillId="0" borderId="9" xfId="0" applyFont="1" applyFill="1" applyBorder="1" applyAlignment="1">
      <alignment horizontal="left"/>
    </xf>
    <xf numFmtId="2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/>
    <xf numFmtId="0" fontId="8" fillId="0" borderId="8" xfId="0" applyFont="1" applyFill="1" applyBorder="1" applyAlignment="1"/>
    <xf numFmtId="0" fontId="8" fillId="0" borderId="14" xfId="0" applyFont="1" applyFill="1" applyBorder="1" applyAlignment="1"/>
    <xf numFmtId="0" fontId="0" fillId="0" borderId="6" xfId="0" applyFill="1" applyBorder="1"/>
    <xf numFmtId="166" fontId="4" fillId="0" borderId="6" xfId="3" applyNumberFormat="1" applyFont="1" applyFill="1" applyBorder="1"/>
    <xf numFmtId="169" fontId="7" fillId="0" borderId="4" xfId="0" applyNumberFormat="1" applyFont="1" applyFill="1" applyBorder="1" applyAlignment="1">
      <alignment horizontal="center"/>
    </xf>
    <xf numFmtId="165" fontId="4" fillId="0" borderId="19" xfId="3" applyNumberFormat="1" applyFont="1" applyFill="1" applyBorder="1"/>
    <xf numFmtId="165" fontId="4" fillId="0" borderId="0" xfId="0" applyNumberFormat="1" applyFont="1" applyFill="1"/>
    <xf numFmtId="165" fontId="2" fillId="0" borderId="13" xfId="1" applyNumberFormat="1" applyFont="1" applyFill="1" applyBorder="1" applyAlignment="1">
      <alignment vertical="top"/>
    </xf>
    <xf numFmtId="0" fontId="18" fillId="0" borderId="17" xfId="0" applyFont="1" applyBorder="1" applyAlignment="1">
      <alignment horizontal="center" vertical="center" wrapText="1"/>
    </xf>
    <xf numFmtId="164" fontId="10" fillId="0" borderId="12" xfId="1" applyNumberFormat="1" applyFont="1" applyFill="1" applyBorder="1" applyAlignment="1">
      <alignment vertical="top"/>
    </xf>
    <xf numFmtId="165" fontId="9" fillId="0" borderId="0" xfId="2" applyNumberFormat="1" applyFont="1" applyFill="1" applyAlignment="1">
      <alignment vertical="top"/>
    </xf>
    <xf numFmtId="2" fontId="1" fillId="0" borderId="0" xfId="6" applyAlignment="1">
      <alignment horizontal="center"/>
    </xf>
    <xf numFmtId="2" fontId="1" fillId="0" borderId="0" xfId="6" applyBorder="1" applyAlignment="1">
      <alignment horizontal="center"/>
    </xf>
    <xf numFmtId="0" fontId="14" fillId="0" borderId="4" xfId="2" applyFont="1" applyFill="1" applyBorder="1" applyAlignment="1">
      <alignment horizontal="center"/>
    </xf>
    <xf numFmtId="2" fontId="1" fillId="0" borderId="4" xfId="6" applyFill="1" applyBorder="1" applyAlignment="1">
      <alignment horizontal="center"/>
    </xf>
    <xf numFmtId="164" fontId="2" fillId="0" borderId="4" xfId="1" applyFont="1" applyBorder="1" applyAlignment="1">
      <alignment horizontal="center"/>
    </xf>
    <xf numFmtId="2" fontId="1" fillId="0" borderId="0" xfId="6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14" fillId="0" borderId="4" xfId="1" applyNumberFormat="1" applyFont="1" applyFill="1" applyBorder="1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 vertical="center"/>
    </xf>
    <xf numFmtId="165" fontId="4" fillId="0" borderId="17" xfId="4" applyNumberFormat="1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</cellXfs>
  <cellStyles count="16">
    <cellStyle name="Comma" xfId="1" builtinId="3"/>
    <cellStyle name="Comma 2" xfId="3"/>
    <cellStyle name="Comma 2 2" xfId="4"/>
    <cellStyle name="Comma 3" xfId="7"/>
    <cellStyle name="Comma 3 2" xfId="14"/>
    <cellStyle name="Comma 4" xfId="8"/>
    <cellStyle name="Comma 6" xfId="15"/>
    <cellStyle name="Comma 8" xfId="9"/>
    <cellStyle name="Normal" xfId="0" builtinId="0"/>
    <cellStyle name="Normal 10" xfId="10"/>
    <cellStyle name="Normal 2" xfId="2"/>
    <cellStyle name="Normal 2 2" xfId="5"/>
    <cellStyle name="Normal 3" xfId="6"/>
    <cellStyle name="Normal 4" xfId="11"/>
    <cellStyle name="Normal 5" xfId="12"/>
    <cellStyle name="Normal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8"/>
  <sheetViews>
    <sheetView tabSelected="1" workbookViewId="0">
      <pane ySplit="7" topLeftCell="A8" activePane="bottomLeft" state="frozen"/>
      <selection pane="bottomLeft" activeCell="B27" sqref="B27"/>
    </sheetView>
  </sheetViews>
  <sheetFormatPr defaultColWidth="9.109375" defaultRowHeight="13.2" x14ac:dyDescent="0.3"/>
  <cols>
    <col min="1" max="1" width="9.109375" style="2"/>
    <col min="2" max="2" width="61.44140625" style="2" customWidth="1"/>
    <col min="3" max="4" width="8.6640625" style="2" bestFit="1" customWidth="1"/>
    <col min="5" max="5" width="12.88671875" style="2" bestFit="1" customWidth="1"/>
    <col min="6" max="6" width="14.6640625" style="2" bestFit="1" customWidth="1"/>
    <col min="7" max="7" width="14" style="66" bestFit="1" customWidth="1"/>
    <col min="8" max="8" width="13.109375" style="2" bestFit="1" customWidth="1"/>
    <col min="9" max="9" width="16.5546875" style="161" bestFit="1" customWidth="1"/>
    <col min="10" max="10" width="12.88671875" style="161" bestFit="1" customWidth="1"/>
    <col min="11" max="12" width="9.109375" style="2"/>
    <col min="13" max="13" width="10.33203125" style="2" bestFit="1" customWidth="1"/>
    <col min="14" max="16384" width="9.109375" style="2"/>
  </cols>
  <sheetData>
    <row r="2" spans="1:10" ht="12.75" x14ac:dyDescent="0.25">
      <c r="A2" s="1" t="s">
        <v>0</v>
      </c>
    </row>
    <row r="3" spans="1:10" ht="12.75" x14ac:dyDescent="0.25">
      <c r="A3" s="1"/>
    </row>
    <row r="4" spans="1:10" ht="12.75" x14ac:dyDescent="0.25">
      <c r="A4" s="1" t="s">
        <v>1</v>
      </c>
    </row>
    <row r="5" spans="1:10" ht="12.75" x14ac:dyDescent="0.25">
      <c r="A5" s="1" t="s">
        <v>2</v>
      </c>
    </row>
    <row r="7" spans="1:10" s="4" customFormat="1" ht="50.25" customHeight="1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67" t="s">
        <v>9</v>
      </c>
      <c r="H7" s="4" t="s">
        <v>191</v>
      </c>
      <c r="I7" s="162"/>
      <c r="J7" s="162"/>
    </row>
    <row r="8" spans="1:10" ht="12.75" x14ac:dyDescent="0.25">
      <c r="A8" s="5" t="s">
        <v>10</v>
      </c>
      <c r="B8" s="6"/>
      <c r="C8" s="6"/>
      <c r="D8" s="6"/>
      <c r="E8" s="6"/>
      <c r="F8" s="6"/>
      <c r="G8" s="68"/>
    </row>
    <row r="9" spans="1:10" ht="12.75" x14ac:dyDescent="0.25">
      <c r="A9" s="7">
        <v>1</v>
      </c>
      <c r="B9" s="8" t="s">
        <v>13</v>
      </c>
      <c r="C9" s="6"/>
      <c r="D9" s="6"/>
      <c r="G9" s="68"/>
    </row>
    <row r="10" spans="1:10" ht="12.75" x14ac:dyDescent="0.25">
      <c r="A10" s="7"/>
      <c r="B10" s="8" t="s">
        <v>14</v>
      </c>
      <c r="C10" s="9">
        <v>102.943</v>
      </c>
      <c r="D10" s="9">
        <v>254.26920999999999</v>
      </c>
      <c r="E10" s="10">
        <f>57982934</f>
        <v>57982934</v>
      </c>
      <c r="F10" s="10">
        <v>147720790</v>
      </c>
      <c r="G10" s="69">
        <f>SUM(E10:F10)</f>
        <v>205703724</v>
      </c>
      <c r="H10" s="11">
        <f>G10/D10</f>
        <v>808999.73693236394</v>
      </c>
    </row>
    <row r="11" spans="1:10" ht="12.75" x14ac:dyDescent="0.25">
      <c r="A11" s="7"/>
      <c r="B11" s="8" t="s">
        <v>15</v>
      </c>
      <c r="C11" s="9">
        <v>96.725999999999999</v>
      </c>
      <c r="D11" s="9">
        <v>238.91322</v>
      </c>
      <c r="E11" s="12">
        <f>86546977</f>
        <v>86546977</v>
      </c>
      <c r="F11" s="12">
        <v>105723773</v>
      </c>
      <c r="G11" s="70">
        <f>SUM(E11:F11)</f>
        <v>192270750</v>
      </c>
      <c r="H11" s="11">
        <f>G11/D11</f>
        <v>804772.33532744658</v>
      </c>
    </row>
    <row r="12" spans="1:10" ht="12.75" x14ac:dyDescent="0.25">
      <c r="A12" s="7"/>
      <c r="B12" s="13" t="s">
        <v>16</v>
      </c>
      <c r="C12" s="14">
        <f>SUM(C10:C11)</f>
        <v>199.66899999999998</v>
      </c>
      <c r="D12" s="15">
        <f>SUM(D10:D11)</f>
        <v>493.18242999999995</v>
      </c>
      <c r="E12" s="16">
        <f>SUM(E10:E11)</f>
        <v>144529911</v>
      </c>
      <c r="F12" s="16">
        <f>SUM(F10:F11)</f>
        <v>253444563</v>
      </c>
      <c r="G12" s="75">
        <f>SUM(G10:G11)</f>
        <v>397974474</v>
      </c>
      <c r="H12" s="11"/>
    </row>
    <row r="13" spans="1:10" ht="12.75" x14ac:dyDescent="0.25">
      <c r="A13" s="7"/>
      <c r="B13" s="8" t="s">
        <v>17</v>
      </c>
      <c r="C13" s="9"/>
      <c r="D13" s="9"/>
      <c r="E13" s="10"/>
      <c r="F13" s="10"/>
      <c r="G13" s="69">
        <f>E12*20%</f>
        <v>28905982.200000003</v>
      </c>
      <c r="H13" s="11"/>
    </row>
    <row r="14" spans="1:10" ht="12.75" x14ac:dyDescent="0.25">
      <c r="A14" s="7"/>
      <c r="B14" s="8" t="s">
        <v>18</v>
      </c>
      <c r="C14" s="9"/>
      <c r="D14" s="9"/>
      <c r="E14" s="10"/>
      <c r="F14" s="10"/>
      <c r="G14" s="69">
        <f>E12*5%</f>
        <v>7226495.5500000007</v>
      </c>
      <c r="H14" s="11"/>
    </row>
    <row r="15" spans="1:10" ht="12.75" x14ac:dyDescent="0.25">
      <c r="A15" s="7">
        <v>2</v>
      </c>
      <c r="B15" s="8" t="s">
        <v>19</v>
      </c>
      <c r="C15" s="10"/>
      <c r="D15" s="10"/>
      <c r="E15" s="10"/>
      <c r="F15" s="10"/>
      <c r="G15" s="69"/>
      <c r="H15" s="11"/>
    </row>
    <row r="16" spans="1:10" ht="12.75" x14ac:dyDescent="0.25">
      <c r="A16" s="7"/>
      <c r="B16" s="8" t="s">
        <v>14</v>
      </c>
      <c r="C16" s="10"/>
      <c r="D16" s="10"/>
      <c r="E16" s="10"/>
      <c r="F16" s="10"/>
      <c r="G16" s="69">
        <f>2310451-2989-1356</f>
        <v>2306106</v>
      </c>
      <c r="H16" s="11"/>
    </row>
    <row r="17" spans="1:11" ht="12.75" x14ac:dyDescent="0.25">
      <c r="A17" s="7"/>
      <c r="B17" s="8" t="s">
        <v>15</v>
      </c>
      <c r="C17" s="10"/>
      <c r="D17" s="10"/>
      <c r="E17" s="10"/>
      <c r="F17" s="10"/>
      <c r="G17" s="69">
        <v>1628969</v>
      </c>
      <c r="H17" s="11"/>
    </row>
    <row r="18" spans="1:11" ht="12.75" x14ac:dyDescent="0.25">
      <c r="A18" s="7">
        <v>3</v>
      </c>
      <c r="B18" s="8" t="s">
        <v>20</v>
      </c>
      <c r="C18" s="10"/>
      <c r="D18" s="10"/>
      <c r="E18" s="10"/>
      <c r="F18" s="10"/>
      <c r="G18" s="69">
        <v>1379457</v>
      </c>
      <c r="H18" s="11"/>
    </row>
    <row r="19" spans="1:11" ht="12.75" x14ac:dyDescent="0.25">
      <c r="A19" s="7">
        <v>4</v>
      </c>
      <c r="B19" s="8" t="s">
        <v>21</v>
      </c>
      <c r="C19" s="10"/>
      <c r="D19" s="10"/>
      <c r="E19" s="10"/>
      <c r="F19" s="10"/>
      <c r="G19" s="69">
        <v>224956</v>
      </c>
      <c r="H19" s="11"/>
    </row>
    <row r="20" spans="1:11" ht="12.75" x14ac:dyDescent="0.25">
      <c r="A20" s="7">
        <v>5</v>
      </c>
      <c r="B20" s="8" t="s">
        <v>22</v>
      </c>
      <c r="C20" s="10"/>
      <c r="D20" s="10"/>
      <c r="E20" s="10"/>
      <c r="F20" s="10"/>
      <c r="G20" s="69">
        <f>4000+4000</f>
        <v>8000</v>
      </c>
      <c r="H20" s="11"/>
    </row>
    <row r="21" spans="1:11" ht="12.75" x14ac:dyDescent="0.25">
      <c r="A21" s="7">
        <v>6</v>
      </c>
      <c r="B21" s="8" t="s">
        <v>109</v>
      </c>
      <c r="C21" s="10"/>
      <c r="D21" s="10"/>
      <c r="E21" s="10"/>
      <c r="F21" s="10"/>
      <c r="G21" s="69">
        <v>9698314</v>
      </c>
      <c r="H21" s="11"/>
    </row>
    <row r="22" spans="1:11" ht="12.75" x14ac:dyDescent="0.25">
      <c r="A22" s="7">
        <v>7</v>
      </c>
      <c r="B22" s="8" t="s">
        <v>110</v>
      </c>
      <c r="C22" s="10"/>
      <c r="D22" s="10"/>
      <c r="E22" s="10"/>
      <c r="F22" s="10"/>
      <c r="G22" s="69">
        <v>12930951</v>
      </c>
      <c r="H22" s="11"/>
    </row>
    <row r="23" spans="1:11" ht="12.75" x14ac:dyDescent="0.25">
      <c r="A23" s="7">
        <v>8</v>
      </c>
      <c r="B23" s="8" t="s">
        <v>115</v>
      </c>
      <c r="C23" s="159"/>
      <c r="D23" s="159"/>
      <c r="E23" s="10"/>
      <c r="F23" s="10"/>
      <c r="G23" s="151">
        <v>22231121.897823114</v>
      </c>
      <c r="H23" s="11"/>
    </row>
    <row r="24" spans="1:11" ht="13.5" thickBot="1" x14ac:dyDescent="0.3">
      <c r="A24" s="7"/>
      <c r="B24" s="17" t="s">
        <v>23</v>
      </c>
      <c r="C24" s="157">
        <f>SUM(C12:C22)</f>
        <v>199.66899999999998</v>
      </c>
      <c r="D24" s="157">
        <f>SUM(D12:D22)</f>
        <v>493.18242999999995</v>
      </c>
      <c r="E24" s="10"/>
      <c r="F24" s="19"/>
      <c r="G24" s="154">
        <f>SUM(G12:G23)</f>
        <v>484514826.6478231</v>
      </c>
      <c r="H24" s="11"/>
      <c r="K24" s="166"/>
    </row>
    <row r="25" spans="1:11" ht="13.5" thickTop="1" x14ac:dyDescent="0.25">
      <c r="A25" s="20"/>
      <c r="B25" s="21"/>
      <c r="C25" s="22"/>
      <c r="D25" s="22"/>
      <c r="E25" s="23"/>
      <c r="F25" s="24"/>
      <c r="G25" s="72"/>
      <c r="H25" s="11"/>
      <c r="K25" s="166"/>
    </row>
    <row r="26" spans="1:11" ht="12.75" x14ac:dyDescent="0.25">
      <c r="A26" s="5" t="s">
        <v>28</v>
      </c>
      <c r="B26" s="8"/>
      <c r="C26" s="10"/>
      <c r="D26" s="10"/>
      <c r="E26" s="10"/>
      <c r="F26" s="10"/>
      <c r="G26" s="69"/>
      <c r="H26" s="11"/>
      <c r="K26" s="166"/>
    </row>
    <row r="27" spans="1:11" ht="12.75" x14ac:dyDescent="0.25">
      <c r="A27" s="7">
        <v>1</v>
      </c>
      <c r="B27" s="8" t="s">
        <v>26</v>
      </c>
      <c r="C27" s="27">
        <v>7.798</v>
      </c>
      <c r="D27" s="27">
        <f>C27*2.47</f>
        <v>19.261060000000001</v>
      </c>
      <c r="E27" s="10"/>
      <c r="F27" s="10"/>
      <c r="G27" s="69">
        <v>7367964</v>
      </c>
      <c r="H27" s="11">
        <f>G27/D27</f>
        <v>382531.59483434452</v>
      </c>
      <c r="K27" s="166"/>
    </row>
    <row r="28" spans="1:11" ht="12.75" x14ac:dyDescent="0.25">
      <c r="A28" s="7">
        <v>2</v>
      </c>
      <c r="B28" s="8" t="s">
        <v>17</v>
      </c>
      <c r="C28" s="9"/>
      <c r="D28" s="9"/>
      <c r="E28" s="10"/>
      <c r="F28" s="10"/>
      <c r="G28" s="69">
        <f>+G27*20%</f>
        <v>1473592.8</v>
      </c>
      <c r="H28" s="11"/>
    </row>
    <row r="29" spans="1:11" ht="12.75" x14ac:dyDescent="0.25">
      <c r="A29" s="7">
        <v>3</v>
      </c>
      <c r="B29" s="8" t="s">
        <v>22</v>
      </c>
      <c r="C29" s="27"/>
      <c r="D29" s="27"/>
      <c r="E29" s="10"/>
      <c r="F29" s="10"/>
      <c r="G29" s="69">
        <v>46796</v>
      </c>
      <c r="H29" s="11"/>
    </row>
    <row r="30" spans="1:11" ht="12.75" x14ac:dyDescent="0.25">
      <c r="A30" s="7">
        <v>4</v>
      </c>
      <c r="B30" s="8" t="s">
        <v>109</v>
      </c>
      <c r="C30" s="9"/>
      <c r="D30" s="9"/>
      <c r="E30" s="10"/>
      <c r="F30" s="10"/>
      <c r="G30" s="69">
        <v>514163</v>
      </c>
      <c r="H30" s="11"/>
    </row>
    <row r="31" spans="1:11" ht="12.75" x14ac:dyDescent="0.25">
      <c r="A31" s="7">
        <v>5</v>
      </c>
      <c r="B31" s="8" t="s">
        <v>110</v>
      </c>
      <c r="C31" s="9"/>
      <c r="D31" s="9"/>
      <c r="E31" s="10"/>
      <c r="F31" s="10"/>
      <c r="G31" s="69">
        <v>685422</v>
      </c>
      <c r="H31" s="11"/>
    </row>
    <row r="32" spans="1:11" ht="12.75" x14ac:dyDescent="0.25">
      <c r="A32" s="7">
        <v>6</v>
      </c>
      <c r="B32" s="8" t="s">
        <v>115</v>
      </c>
      <c r="C32" s="158"/>
      <c r="D32" s="158"/>
      <c r="E32" s="10"/>
      <c r="F32" s="10"/>
      <c r="G32" s="151">
        <v>868228.36073313653</v>
      </c>
      <c r="H32" s="11"/>
    </row>
    <row r="33" spans="1:13" ht="13.5" thickBot="1" x14ac:dyDescent="0.3">
      <c r="A33" s="6"/>
      <c r="B33" s="17" t="s">
        <v>24</v>
      </c>
      <c r="C33" s="157">
        <f>SUM(C27:C27)</f>
        <v>7.798</v>
      </c>
      <c r="D33" s="157">
        <f>SUM(D27:D27)</f>
        <v>19.261060000000001</v>
      </c>
      <c r="E33" s="10"/>
      <c r="F33" s="19"/>
      <c r="G33" s="154">
        <f>SUM(G27:G32)</f>
        <v>10956166.160733137</v>
      </c>
      <c r="H33" s="11"/>
    </row>
    <row r="34" spans="1:13" s="25" customFormat="1" ht="13.5" thickTop="1" x14ac:dyDescent="0.25">
      <c r="A34" s="20"/>
      <c r="B34" s="21"/>
      <c r="C34" s="22"/>
      <c r="D34" s="22"/>
      <c r="E34" s="23"/>
      <c r="F34" s="24"/>
      <c r="G34" s="72"/>
      <c r="H34" s="23"/>
      <c r="I34" s="163"/>
      <c r="J34" s="163"/>
    </row>
    <row r="35" spans="1:13" x14ac:dyDescent="0.3">
      <c r="A35" s="1" t="s">
        <v>180</v>
      </c>
      <c r="B35" s="26"/>
      <c r="C35" s="23"/>
      <c r="D35" s="23"/>
      <c r="E35" s="23"/>
      <c r="F35" s="23"/>
      <c r="G35" s="73"/>
      <c r="H35" s="11"/>
    </row>
    <row r="36" spans="1:13" x14ac:dyDescent="0.3">
      <c r="A36" s="7">
        <v>1</v>
      </c>
      <c r="B36" s="8" t="s">
        <v>114</v>
      </c>
      <c r="C36" s="27">
        <f>SUM('Freehold Land'!E7:E32)</f>
        <v>3.9089999999999998</v>
      </c>
      <c r="D36" s="27">
        <f>C36*2.47</f>
        <v>9.6552299999999995</v>
      </c>
      <c r="E36" s="10"/>
      <c r="F36" s="10"/>
      <c r="G36" s="69">
        <f>SUM('Freehold Land'!G7:G32)</f>
        <v>7728992</v>
      </c>
      <c r="H36" s="161">
        <f>G36/D36</f>
        <v>800497.96845854528</v>
      </c>
      <c r="M36" s="167"/>
    </row>
    <row r="37" spans="1:13" x14ac:dyDescent="0.3">
      <c r="A37" s="7">
        <v>2</v>
      </c>
      <c r="B37" s="8" t="s">
        <v>112</v>
      </c>
      <c r="C37" s="27">
        <f>+'Freehold Land'!E4+'Freehold Land'!E5+'Freehold Land'!E6</f>
        <v>0.311</v>
      </c>
      <c r="D37" s="27">
        <f>C37*2.47</f>
        <v>0.76817000000000002</v>
      </c>
      <c r="E37" s="10"/>
      <c r="F37" s="10"/>
      <c r="G37" s="69">
        <f>SUM('Freehold Land'!G4:G6)</f>
        <v>88493</v>
      </c>
      <c r="H37" s="161">
        <f>G37/D37</f>
        <v>115199.7604696877</v>
      </c>
    </row>
    <row r="38" spans="1:13" x14ac:dyDescent="0.3">
      <c r="A38" s="7">
        <v>3</v>
      </c>
      <c r="B38" s="8" t="s">
        <v>22</v>
      </c>
      <c r="C38" s="27"/>
      <c r="D38" s="27"/>
      <c r="E38" s="10"/>
      <c r="F38" s="10"/>
      <c r="G38" s="69">
        <f>+'Freehold Land'!I33+'Freehold Land'!J33+'Freehold Land'!K35</f>
        <v>112864</v>
      </c>
      <c r="H38" s="11"/>
    </row>
    <row r="39" spans="1:13" x14ac:dyDescent="0.3">
      <c r="A39" s="7">
        <v>4</v>
      </c>
      <c r="B39" s="8" t="s">
        <v>115</v>
      </c>
      <c r="C39" s="27"/>
      <c r="D39" s="27"/>
      <c r="E39" s="10"/>
      <c r="F39" s="10"/>
      <c r="G39" s="153">
        <v>574402.42536833184</v>
      </c>
      <c r="H39" s="11"/>
    </row>
    <row r="40" spans="1:13" ht="13.8" thickBot="1" x14ac:dyDescent="0.35">
      <c r="A40" s="7"/>
      <c r="B40" s="8"/>
      <c r="C40" s="27"/>
      <c r="D40" s="27"/>
      <c r="E40" s="10"/>
      <c r="F40" s="10"/>
      <c r="G40" s="154">
        <f>SUM(G36:G39)</f>
        <v>8504751.4253683314</v>
      </c>
      <c r="H40" s="11"/>
    </row>
    <row r="41" spans="1:13" ht="13.8" thickTop="1" x14ac:dyDescent="0.3">
      <c r="A41" s="1" t="s">
        <v>292</v>
      </c>
      <c r="B41" s="8"/>
      <c r="C41" s="27"/>
      <c r="D41" s="27"/>
      <c r="E41" s="10"/>
      <c r="F41" s="10"/>
      <c r="G41" s="152"/>
      <c r="H41" s="11"/>
    </row>
    <row r="42" spans="1:13" x14ac:dyDescent="0.3">
      <c r="A42" s="7"/>
      <c r="B42" s="8" t="s">
        <v>288</v>
      </c>
      <c r="C42" s="27">
        <f>+'Missing Khasara'!G7+'Missing Khasara'!G8</f>
        <v>1.53</v>
      </c>
      <c r="D42" s="27">
        <f t="shared" ref="D42:D43" si="0">C42*2.47</f>
        <v>3.7791000000000006</v>
      </c>
      <c r="E42" s="10"/>
      <c r="F42" s="10"/>
      <c r="G42" s="10">
        <f>+'Missing Khasara'!I7+'Missing Khasara'!I8</f>
        <v>700000</v>
      </c>
      <c r="H42" s="11">
        <f>G42/D42</f>
        <v>185229.28739647003</v>
      </c>
    </row>
    <row r="43" spans="1:13" x14ac:dyDescent="0.3">
      <c r="A43" s="7"/>
      <c r="B43" s="8" t="s">
        <v>289</v>
      </c>
      <c r="C43" s="27">
        <f>SUM('Missing Khasara'!G9:G22)</f>
        <v>5.0939999999999994</v>
      </c>
      <c r="D43" s="27">
        <f t="shared" si="0"/>
        <v>12.582179999999999</v>
      </c>
      <c r="E43" s="10"/>
      <c r="F43" s="10"/>
      <c r="G43" s="10">
        <f>SUM('Missing Khasara'!I9:I22)</f>
        <v>6680000</v>
      </c>
      <c r="H43" s="11">
        <f>G43/D43</f>
        <v>530909.58800462249</v>
      </c>
    </row>
    <row r="44" spans="1:13" x14ac:dyDescent="0.3">
      <c r="A44" s="7"/>
      <c r="B44" s="8" t="s">
        <v>33</v>
      </c>
      <c r="C44" s="27"/>
      <c r="D44" s="27"/>
      <c r="E44" s="10"/>
      <c r="F44" s="10"/>
      <c r="G44" s="10">
        <f>+'Missing Khasara'!K25+'Missing Khasara'!J25</f>
        <v>232713</v>
      </c>
      <c r="H44" s="11"/>
    </row>
    <row r="45" spans="1:13" x14ac:dyDescent="0.3">
      <c r="A45" s="7"/>
      <c r="B45" s="8" t="s">
        <v>31</v>
      </c>
      <c r="C45" s="27"/>
      <c r="D45" s="27"/>
      <c r="E45" s="10"/>
      <c r="F45" s="10"/>
      <c r="G45" s="10">
        <f>+'Missing Khasara'!L29</f>
        <v>800844</v>
      </c>
      <c r="H45" s="11"/>
    </row>
    <row r="46" spans="1:13" x14ac:dyDescent="0.3">
      <c r="A46" s="7"/>
      <c r="B46" s="8" t="s">
        <v>32</v>
      </c>
      <c r="C46" s="27"/>
      <c r="D46" s="27"/>
      <c r="E46" s="10"/>
      <c r="F46" s="10"/>
      <c r="G46" s="69">
        <f>+'Missing Khasara'!L27</f>
        <v>112087</v>
      </c>
      <c r="H46" s="11"/>
    </row>
    <row r="47" spans="1:13" x14ac:dyDescent="0.3">
      <c r="A47" s="7"/>
      <c r="B47" s="8" t="s">
        <v>121</v>
      </c>
      <c r="C47" s="27"/>
      <c r="D47" s="27"/>
      <c r="E47" s="10"/>
      <c r="F47" s="10"/>
      <c r="G47" s="69">
        <v>25099682</v>
      </c>
      <c r="H47" s="11"/>
    </row>
    <row r="48" spans="1:13" x14ac:dyDescent="0.3">
      <c r="A48" s="7"/>
      <c r="B48" s="8" t="s">
        <v>122</v>
      </c>
      <c r="C48" s="27"/>
      <c r="D48" s="27"/>
      <c r="E48" s="10"/>
      <c r="F48" s="10"/>
      <c r="G48" s="69">
        <f>+'Missing Khasara'!L28</f>
        <v>652887</v>
      </c>
      <c r="H48" s="11"/>
    </row>
    <row r="49" spans="1:8" x14ac:dyDescent="0.3">
      <c r="A49" s="7"/>
      <c r="B49" s="8" t="s">
        <v>115</v>
      </c>
      <c r="C49" s="158"/>
      <c r="D49" s="158"/>
      <c r="E49" s="10"/>
      <c r="F49" s="10"/>
      <c r="G49" s="151">
        <v>317318.64940875088</v>
      </c>
    </row>
    <row r="50" spans="1:8" ht="13.8" thickBot="1" x14ac:dyDescent="0.35">
      <c r="A50" s="7"/>
      <c r="B50" s="17" t="s">
        <v>111</v>
      </c>
      <c r="C50" s="157">
        <f>SUM(C36:C49)</f>
        <v>10.843999999999999</v>
      </c>
      <c r="D50" s="157">
        <f>SUM(D36:D49)</f>
        <v>26.784680000000002</v>
      </c>
      <c r="E50" s="10"/>
      <c r="F50" s="19"/>
      <c r="G50" s="154">
        <f>SUM(G42:G49)</f>
        <v>34595531.64940875</v>
      </c>
      <c r="H50" s="11"/>
    </row>
    <row r="51" spans="1:8" ht="13.8" thickTop="1" x14ac:dyDescent="0.3">
      <c r="A51" s="116" t="s">
        <v>188</v>
      </c>
      <c r="B51" s="17"/>
      <c r="C51" s="14"/>
      <c r="D51" s="14"/>
      <c r="E51" s="10"/>
      <c r="F51" s="19"/>
      <c r="G51" s="75"/>
      <c r="H51" s="11"/>
    </row>
    <row r="52" spans="1:8" x14ac:dyDescent="0.3">
      <c r="A52" s="7"/>
      <c r="B52" s="8" t="s">
        <v>30</v>
      </c>
      <c r="C52" s="27">
        <f>+D52/2.471</f>
        <v>1.2845002023472281</v>
      </c>
      <c r="D52" s="27">
        <f>+'Pipe Line'!F20:F20</f>
        <v>3.1740000000000004</v>
      </c>
      <c r="E52" s="10"/>
      <c r="F52" s="10"/>
      <c r="G52" s="69">
        <f>+'Pipe Line'!G20</f>
        <v>4176000</v>
      </c>
      <c r="H52" s="11">
        <f>G52/D52</f>
        <v>1315689.9810964081</v>
      </c>
    </row>
    <row r="53" spans="1:8" x14ac:dyDescent="0.3">
      <c r="A53" s="7"/>
      <c r="B53" s="8" t="s">
        <v>118</v>
      </c>
      <c r="C53" s="27"/>
      <c r="D53" s="27"/>
      <c r="E53" s="10"/>
      <c r="F53" s="10"/>
      <c r="G53" s="69">
        <f>+'Pipe Line'!H20</f>
        <v>294360</v>
      </c>
      <c r="H53" s="11"/>
    </row>
    <row r="54" spans="1:8" x14ac:dyDescent="0.3">
      <c r="A54" s="7"/>
      <c r="B54" s="8" t="s">
        <v>119</v>
      </c>
      <c r="C54" s="27"/>
      <c r="D54" s="27"/>
      <c r="E54" s="10"/>
      <c r="F54" s="10"/>
      <c r="G54" s="69">
        <f>+'Pipe Line'!I20</f>
        <v>70188</v>
      </c>
      <c r="H54" s="11"/>
    </row>
    <row r="55" spans="1:8" x14ac:dyDescent="0.3">
      <c r="A55" s="7"/>
      <c r="B55" s="8" t="s">
        <v>120</v>
      </c>
      <c r="C55" s="158"/>
      <c r="D55" s="158"/>
      <c r="E55" s="10"/>
      <c r="F55" s="10"/>
      <c r="G55" s="151">
        <f>+'Pipe Line'!K21+'Pipe Line'!K22+'Pipe Line'!K23+'Pipe Line'!K24+'Pipe Line'!K25</f>
        <v>454481</v>
      </c>
      <c r="H55" s="11"/>
    </row>
    <row r="56" spans="1:8" ht="13.8" thickBot="1" x14ac:dyDescent="0.35">
      <c r="A56" s="7"/>
      <c r="B56" s="17" t="s">
        <v>27</v>
      </c>
      <c r="C56" s="157">
        <f>SUM(C52:C55)</f>
        <v>1.2845002023472281</v>
      </c>
      <c r="D56" s="157">
        <f>SUM(D52:D55)</f>
        <v>3.1740000000000004</v>
      </c>
      <c r="E56" s="10"/>
      <c r="F56" s="19"/>
      <c r="G56" s="212">
        <f>SUM(G52:G55)</f>
        <v>4995029</v>
      </c>
      <c r="H56" s="11"/>
    </row>
    <row r="57" spans="1:8" ht="13.8" thickTop="1" x14ac:dyDescent="0.3">
      <c r="A57" s="7"/>
      <c r="B57" s="17"/>
      <c r="C57" s="14"/>
      <c r="D57" s="14"/>
      <c r="E57" s="10"/>
      <c r="F57" s="19"/>
      <c r="G57" s="75"/>
      <c r="H57" s="11"/>
    </row>
    <row r="58" spans="1:8" x14ac:dyDescent="0.3">
      <c r="A58" s="28" t="s">
        <v>210</v>
      </c>
      <c r="B58" s="17"/>
      <c r="C58" s="18"/>
      <c r="D58" s="18"/>
      <c r="E58" s="10"/>
      <c r="F58" s="19"/>
      <c r="G58" s="71"/>
      <c r="H58" s="11"/>
    </row>
    <row r="59" spans="1:8" x14ac:dyDescent="0.3">
      <c r="A59" s="28"/>
      <c r="B59" s="8" t="s">
        <v>222</v>
      </c>
      <c r="C59" s="18"/>
      <c r="D59" s="18"/>
      <c r="E59" s="10"/>
      <c r="F59" s="19"/>
      <c r="G59" s="69">
        <f>+railway!M16</f>
        <v>54000</v>
      </c>
      <c r="H59" s="11"/>
    </row>
    <row r="60" spans="1:8" x14ac:dyDescent="0.3">
      <c r="A60" s="7"/>
      <c r="B60" s="8" t="s">
        <v>211</v>
      </c>
      <c r="C60" s="18">
        <f>+D60/2.47</f>
        <v>2.9433198380566803</v>
      </c>
      <c r="D60" s="18">
        <f>+railway!F14</f>
        <v>7.2700000000000005</v>
      </c>
      <c r="E60" s="10"/>
      <c r="F60" s="19"/>
      <c r="G60" s="69">
        <f>+railway!I14</f>
        <v>19198000</v>
      </c>
      <c r="H60" s="11">
        <f>G60/D60</f>
        <v>2640715.2682255846</v>
      </c>
    </row>
    <row r="61" spans="1:8" x14ac:dyDescent="0.3">
      <c r="A61" s="7"/>
      <c r="B61" s="117" t="s">
        <v>110</v>
      </c>
      <c r="C61" s="18"/>
      <c r="D61" s="18"/>
      <c r="E61" s="10"/>
      <c r="F61" s="19"/>
      <c r="G61" s="69">
        <f>+railway!J14</f>
        <v>766060</v>
      </c>
      <c r="H61" s="11"/>
    </row>
    <row r="62" spans="1:8" x14ac:dyDescent="0.3">
      <c r="A62" s="7"/>
      <c r="B62" s="117" t="s">
        <v>109</v>
      </c>
      <c r="C62" s="18"/>
      <c r="D62" s="18"/>
      <c r="E62" s="10"/>
      <c r="F62" s="19"/>
      <c r="G62" s="69">
        <f>+railway!K14</f>
        <v>219820</v>
      </c>
      <c r="H62" s="11"/>
    </row>
    <row r="63" spans="1:8" x14ac:dyDescent="0.3">
      <c r="A63" s="7"/>
      <c r="B63" s="117" t="s">
        <v>272</v>
      </c>
      <c r="C63" s="156"/>
      <c r="D63" s="156"/>
      <c r="E63" s="10"/>
      <c r="F63" s="19"/>
      <c r="G63" s="151">
        <f>+railway!L14</f>
        <v>176110.85</v>
      </c>
      <c r="H63" s="11"/>
    </row>
    <row r="64" spans="1:8" ht="13.8" thickBot="1" x14ac:dyDescent="0.35">
      <c r="A64" s="7"/>
      <c r="B64" s="17" t="s">
        <v>212</v>
      </c>
      <c r="C64" s="157">
        <f>SUM(C60:C63)</f>
        <v>2.9433198380566803</v>
      </c>
      <c r="D64" s="157">
        <f>SUM(D60:D63)</f>
        <v>7.2700000000000005</v>
      </c>
      <c r="E64" s="10"/>
      <c r="F64" s="19"/>
      <c r="G64" s="154">
        <f>SUM(G59:G63)</f>
        <v>20413990.850000001</v>
      </c>
      <c r="H64" s="11"/>
    </row>
    <row r="65" spans="1:8" ht="13.8" thickTop="1" x14ac:dyDescent="0.3">
      <c r="A65" s="28" t="s">
        <v>189</v>
      </c>
      <c r="B65" s="17"/>
      <c r="C65" s="14"/>
      <c r="D65" s="14"/>
      <c r="E65" s="10"/>
      <c r="F65" s="19"/>
      <c r="G65" s="75"/>
      <c r="H65" s="11"/>
    </row>
    <row r="66" spans="1:8" x14ac:dyDescent="0.3">
      <c r="A66" s="28"/>
      <c r="B66" s="117" t="s">
        <v>200</v>
      </c>
      <c r="C66" s="18"/>
      <c r="D66" s="18"/>
      <c r="E66" s="10"/>
      <c r="F66" s="19"/>
      <c r="G66" s="69">
        <f>+Forest!K14</f>
        <v>70000</v>
      </c>
      <c r="H66" s="11"/>
    </row>
    <row r="67" spans="1:8" x14ac:dyDescent="0.3">
      <c r="A67" s="7"/>
      <c r="B67" s="117" t="s">
        <v>213</v>
      </c>
      <c r="C67" s="18">
        <f>+D67/2.47</f>
        <v>17.02429149797571</v>
      </c>
      <c r="D67" s="18">
        <f>+Forest!F12</f>
        <v>42.050000000000004</v>
      </c>
      <c r="E67" s="10"/>
      <c r="F67" s="19"/>
      <c r="G67" s="69">
        <f>+Forest!H12</f>
        <v>33640000</v>
      </c>
      <c r="H67" s="11">
        <f>G67/D67</f>
        <v>799999.99999999988</v>
      </c>
    </row>
    <row r="68" spans="1:8" x14ac:dyDescent="0.3">
      <c r="A68" s="7"/>
      <c r="B68" s="117" t="s">
        <v>110</v>
      </c>
      <c r="C68" s="18"/>
      <c r="D68" s="18"/>
      <c r="E68" s="10"/>
      <c r="F68" s="19"/>
      <c r="G68" s="69">
        <f>+Forest!I12</f>
        <v>2105000</v>
      </c>
      <c r="H68" s="11"/>
    </row>
    <row r="69" spans="1:8" x14ac:dyDescent="0.3">
      <c r="A69" s="7"/>
      <c r="B69" s="117" t="s">
        <v>109</v>
      </c>
      <c r="C69" s="18"/>
      <c r="D69" s="18"/>
      <c r="E69" s="10"/>
      <c r="F69" s="19"/>
      <c r="G69" s="69">
        <f>+Forest!J12</f>
        <v>307994</v>
      </c>
      <c r="H69" s="11"/>
    </row>
    <row r="70" spans="1:8" x14ac:dyDescent="0.3">
      <c r="A70" s="7"/>
      <c r="B70" s="117" t="s">
        <v>199</v>
      </c>
      <c r="C70" s="18"/>
      <c r="D70" s="18"/>
      <c r="E70" s="10"/>
      <c r="F70" s="19"/>
      <c r="G70" s="69">
        <f>+Forest!K13</f>
        <v>70000</v>
      </c>
      <c r="H70" s="11"/>
    </row>
    <row r="71" spans="1:8" x14ac:dyDescent="0.3">
      <c r="A71" s="7"/>
      <c r="B71" s="117" t="s">
        <v>290</v>
      </c>
      <c r="C71" s="18"/>
      <c r="D71" s="18"/>
      <c r="E71" s="10"/>
      <c r="F71" s="19"/>
      <c r="G71" s="69">
        <v>18793490</v>
      </c>
      <c r="H71" s="11"/>
    </row>
    <row r="72" spans="1:8" ht="13.8" thickBot="1" x14ac:dyDescent="0.35">
      <c r="A72" s="7"/>
      <c r="B72" s="17" t="s">
        <v>214</v>
      </c>
      <c r="C72" s="157">
        <f>SUM(C67:C70)</f>
        <v>17.02429149797571</v>
      </c>
      <c r="D72" s="157">
        <f>SUM(D67:D70)</f>
        <v>42.050000000000004</v>
      </c>
      <c r="E72" s="10"/>
      <c r="F72" s="19"/>
      <c r="G72" s="154">
        <f>SUM(G66:G71)</f>
        <v>54986484</v>
      </c>
      <c r="H72" s="11"/>
    </row>
    <row r="73" spans="1:8" ht="13.8" thickTop="1" x14ac:dyDescent="0.3">
      <c r="A73" s="7"/>
      <c r="B73" s="17"/>
      <c r="C73" s="14"/>
      <c r="D73" s="14"/>
      <c r="E73" s="10"/>
      <c r="F73" s="19"/>
      <c r="G73" s="75"/>
      <c r="H73" s="11"/>
    </row>
    <row r="74" spans="1:8" x14ac:dyDescent="0.3">
      <c r="A74" s="28" t="s">
        <v>223</v>
      </c>
      <c r="B74" s="17"/>
      <c r="C74" s="18"/>
      <c r="D74" s="18"/>
      <c r="E74" s="10"/>
      <c r="F74" s="19"/>
      <c r="G74" s="69"/>
      <c r="H74" s="11"/>
    </row>
    <row r="75" spans="1:8" x14ac:dyDescent="0.3">
      <c r="A75" s="7"/>
      <c r="B75" s="117" t="s">
        <v>2</v>
      </c>
      <c r="C75" s="18">
        <f>+D75/2.47</f>
        <v>3.0769230769230771</v>
      </c>
      <c r="D75" s="18">
        <f>+Transmission!F23</f>
        <v>7.6000000000000014</v>
      </c>
      <c r="E75" s="10"/>
      <c r="F75" s="19"/>
      <c r="G75" s="69">
        <f>+Transmission!J23</f>
        <v>23978000</v>
      </c>
      <c r="H75" s="11">
        <f>G75/D75</f>
        <v>3154999.9999999995</v>
      </c>
    </row>
    <row r="76" spans="1:8" x14ac:dyDescent="0.3">
      <c r="A76" s="7"/>
      <c r="B76" s="117" t="s">
        <v>110</v>
      </c>
      <c r="C76" s="18"/>
      <c r="D76" s="18"/>
      <c r="E76" s="10"/>
      <c r="F76" s="19"/>
      <c r="G76" s="69">
        <f>+Transmission!K23</f>
        <v>485540</v>
      </c>
      <c r="H76" s="11"/>
    </row>
    <row r="77" spans="1:8" x14ac:dyDescent="0.3">
      <c r="A77" s="7"/>
      <c r="B77" s="117" t="s">
        <v>109</v>
      </c>
      <c r="C77" s="18"/>
      <c r="D77" s="18"/>
      <c r="E77" s="10"/>
      <c r="F77" s="19"/>
      <c r="G77" s="69">
        <f>+Transmission!L23</f>
        <v>216424</v>
      </c>
      <c r="H77" s="11"/>
    </row>
    <row r="78" spans="1:8" x14ac:dyDescent="0.3">
      <c r="A78" s="7"/>
      <c r="B78" s="117" t="s">
        <v>272</v>
      </c>
      <c r="C78" s="156"/>
      <c r="D78" s="156"/>
      <c r="E78" s="10"/>
      <c r="F78" s="19"/>
      <c r="G78" s="151">
        <f>+Transmission!M23+Transmission!N23</f>
        <v>289111.00000000006</v>
      </c>
      <c r="H78" s="11"/>
    </row>
    <row r="79" spans="1:8" ht="13.8" thickBot="1" x14ac:dyDescent="0.35">
      <c r="A79" s="7"/>
      <c r="B79" s="17"/>
      <c r="C79" s="157">
        <f>SUM(C75:C78)</f>
        <v>3.0769230769230771</v>
      </c>
      <c r="D79" s="157">
        <f>SUM(D75:D78)</f>
        <v>7.6000000000000014</v>
      </c>
      <c r="E79" s="10"/>
      <c r="F79" s="19"/>
      <c r="G79" s="154">
        <f>SUM(G75:G78)</f>
        <v>24969075</v>
      </c>
      <c r="H79" s="11"/>
    </row>
    <row r="80" spans="1:8" ht="13.8" thickTop="1" x14ac:dyDescent="0.3">
      <c r="A80" s="28" t="s">
        <v>29</v>
      </c>
      <c r="B80" s="8"/>
      <c r="C80" s="160"/>
      <c r="D80" s="160"/>
      <c r="E80" s="10"/>
      <c r="F80" s="10"/>
      <c r="G80" s="152"/>
      <c r="H80" s="11"/>
    </row>
    <row r="81" spans="1:8" x14ac:dyDescent="0.3">
      <c r="A81" s="7">
        <v>1</v>
      </c>
      <c r="B81" s="8" t="s">
        <v>25</v>
      </c>
      <c r="C81" s="27"/>
      <c r="D81" s="27"/>
      <c r="E81" s="10"/>
      <c r="F81" s="10"/>
      <c r="G81" s="151">
        <f>'Land Cost (Raigad-Maharashtra)'!C11</f>
        <v>1671000</v>
      </c>
      <c r="H81" s="11"/>
    </row>
    <row r="82" spans="1:8" ht="13.8" thickBot="1" x14ac:dyDescent="0.35">
      <c r="A82" s="6"/>
      <c r="B82" s="17" t="s">
        <v>215</v>
      </c>
      <c r="C82" s="18">
        <f>+C81</f>
        <v>0</v>
      </c>
      <c r="D82" s="18">
        <f>SUM(D29:D29)</f>
        <v>0</v>
      </c>
      <c r="E82" s="10"/>
      <c r="F82" s="19"/>
      <c r="G82" s="154">
        <v>1671000</v>
      </c>
      <c r="H82" s="11"/>
    </row>
    <row r="83" spans="1:8" ht="13.8" thickTop="1" x14ac:dyDescent="0.3">
      <c r="A83" s="25"/>
      <c r="B83" s="21"/>
      <c r="C83" s="22"/>
      <c r="D83" s="22"/>
      <c r="E83" s="23"/>
      <c r="F83" s="24"/>
      <c r="G83" s="72"/>
      <c r="H83" s="11"/>
    </row>
    <row r="84" spans="1:8" ht="13.8" thickBot="1" x14ac:dyDescent="0.35">
      <c r="A84" s="25"/>
      <c r="B84" s="21"/>
      <c r="C84" s="22"/>
      <c r="D84" s="214">
        <f>+D24+D40+D50+D33+D82+D56+D64+D72+D79</f>
        <v>599.32216999999991</v>
      </c>
      <c r="E84" s="23"/>
      <c r="F84" s="24"/>
      <c r="G84" s="155">
        <f>+G24+G40+G50+G33+G82+G56+G64+G72+G79</f>
        <v>645606854.73333335</v>
      </c>
      <c r="H84" s="11"/>
    </row>
    <row r="85" spans="1:8" x14ac:dyDescent="0.3">
      <c r="B85" s="29"/>
      <c r="C85" s="11"/>
      <c r="D85" s="11"/>
      <c r="E85" s="11"/>
      <c r="F85" s="11"/>
      <c r="G85" s="74"/>
      <c r="H85" s="11"/>
    </row>
    <row r="86" spans="1:8" x14ac:dyDescent="0.3">
      <c r="G86" s="215">
        <f>+G84-G82</f>
        <v>643935854.73333335</v>
      </c>
    </row>
    <row r="88" spans="1:8" x14ac:dyDescent="0.3">
      <c r="G88" s="215">
        <f>+G86-railway!M13</f>
        <v>642161454.73333335</v>
      </c>
    </row>
  </sheetData>
  <pageMargins left="0.36" right="0.22" top="0.2" bottom="0.31" header="0.3" footer="0.3"/>
  <pageSetup scale="62" orientation="portrait" r:id="rId1"/>
  <ignoredErrors>
    <ignoredError sqref="C36:C41 G36:G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C7" sqref="C7"/>
    </sheetView>
  </sheetViews>
  <sheetFormatPr defaultRowHeight="14.4" x14ac:dyDescent="0.3"/>
  <cols>
    <col min="1" max="1" width="14.88671875" customWidth="1"/>
    <col min="2" max="2" width="10.44140625" customWidth="1"/>
    <col min="3" max="3" width="11.88671875" customWidth="1"/>
    <col min="4" max="4" width="10.109375" customWidth="1"/>
    <col min="5" max="6" width="10.33203125" customWidth="1"/>
    <col min="7" max="8" width="11.44140625" customWidth="1"/>
    <col min="9" max="11" width="11" customWidth="1"/>
    <col min="12" max="12" width="10.5546875" customWidth="1"/>
    <col min="13" max="13" width="10.6640625" customWidth="1"/>
    <col min="14" max="14" width="16.33203125" customWidth="1"/>
  </cols>
  <sheetData>
    <row r="1" spans="1:14" ht="23.25" x14ac:dyDescent="0.25">
      <c r="A1" s="231" t="s">
        <v>297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4" ht="15.75" customHeight="1" x14ac:dyDescent="0.3">
      <c r="A2" s="237" t="s">
        <v>298</v>
      </c>
      <c r="B2" s="237"/>
      <c r="C2" s="237"/>
      <c r="D2" s="237"/>
      <c r="E2" s="237"/>
      <c r="F2" s="237"/>
      <c r="G2" s="237"/>
      <c r="H2" s="233" t="s">
        <v>299</v>
      </c>
      <c r="I2" s="234"/>
      <c r="J2" s="234"/>
      <c r="K2" s="234"/>
      <c r="L2" s="235"/>
      <c r="M2" s="236" t="s">
        <v>300</v>
      </c>
      <c r="N2" s="238" t="s">
        <v>301</v>
      </c>
    </row>
    <row r="3" spans="1:14" ht="78" x14ac:dyDescent="0.3">
      <c r="A3" s="174" t="s">
        <v>301</v>
      </c>
      <c r="B3" s="174" t="s">
        <v>302</v>
      </c>
      <c r="C3" s="174" t="s">
        <v>303</v>
      </c>
      <c r="D3" s="174" t="s">
        <v>304</v>
      </c>
      <c r="E3" s="174" t="s">
        <v>305</v>
      </c>
      <c r="F3" s="213" t="s">
        <v>25</v>
      </c>
      <c r="G3" s="175" t="s">
        <v>16</v>
      </c>
      <c r="H3" s="174" t="s">
        <v>306</v>
      </c>
      <c r="I3" s="174" t="s">
        <v>307</v>
      </c>
      <c r="J3" s="174" t="s">
        <v>308</v>
      </c>
      <c r="K3" s="174" t="s">
        <v>316</v>
      </c>
      <c r="L3" s="176" t="s">
        <v>16</v>
      </c>
      <c r="M3" s="236"/>
      <c r="N3" s="239"/>
    </row>
    <row r="4" spans="1:14" ht="31.5" x14ac:dyDescent="0.25">
      <c r="A4" s="177"/>
      <c r="B4" s="174" t="s">
        <v>309</v>
      </c>
      <c r="C4" s="174" t="s">
        <v>309</v>
      </c>
      <c r="D4" s="174" t="s">
        <v>309</v>
      </c>
      <c r="E4" s="174" t="s">
        <v>309</v>
      </c>
      <c r="F4" s="174" t="s">
        <v>309</v>
      </c>
      <c r="G4" s="174" t="s">
        <v>309</v>
      </c>
      <c r="H4" s="174" t="s">
        <v>309</v>
      </c>
      <c r="I4" s="174" t="s">
        <v>309</v>
      </c>
      <c r="J4" s="174" t="s">
        <v>309</v>
      </c>
      <c r="K4" s="174"/>
      <c r="L4" s="174" t="s">
        <v>309</v>
      </c>
      <c r="M4" s="174" t="s">
        <v>309</v>
      </c>
      <c r="N4" s="51"/>
    </row>
    <row r="5" spans="1:14" ht="15.75" x14ac:dyDescent="0.25">
      <c r="A5" s="178" t="s">
        <v>310</v>
      </c>
      <c r="B5" s="179">
        <v>96.725999999999999</v>
      </c>
      <c r="C5" s="179">
        <v>0.44600000000000001</v>
      </c>
      <c r="D5" s="179">
        <v>1.53</v>
      </c>
      <c r="E5" s="179">
        <v>4.8049999999999997</v>
      </c>
      <c r="F5" s="179">
        <f>+'Freehold Land'!E4</f>
        <v>0.16200000000000001</v>
      </c>
      <c r="G5" s="180">
        <f>SUM(B5:F5)</f>
        <v>103.66900000000001</v>
      </c>
      <c r="H5" s="179">
        <v>0</v>
      </c>
      <c r="I5" s="179">
        <v>0</v>
      </c>
      <c r="J5" s="179">
        <v>0</v>
      </c>
      <c r="K5" s="179"/>
      <c r="L5" s="180">
        <v>0</v>
      </c>
      <c r="M5" s="181">
        <f>+L5+G5</f>
        <v>103.66900000000001</v>
      </c>
      <c r="N5" s="178" t="s">
        <v>310</v>
      </c>
    </row>
    <row r="6" spans="1:14" ht="15.75" x14ac:dyDescent="0.25">
      <c r="A6" s="178" t="s">
        <v>46</v>
      </c>
      <c r="B6" s="179">
        <v>102.943</v>
      </c>
      <c r="C6" s="179">
        <v>5.7759999999999998</v>
      </c>
      <c r="D6" s="179">
        <v>5.09</v>
      </c>
      <c r="E6" s="179">
        <v>8.1329999999999991</v>
      </c>
      <c r="F6" s="179">
        <f>SUM('Freehold Land'!E5:E32)</f>
        <v>4.0579999999999998</v>
      </c>
      <c r="G6" s="180">
        <f t="shared" ref="G6:G12" si="0">SUM(B6:F6)</f>
        <v>126</v>
      </c>
      <c r="H6" s="179">
        <v>0</v>
      </c>
      <c r="I6" s="179">
        <v>0</v>
      </c>
      <c r="J6" s="179">
        <v>0</v>
      </c>
      <c r="K6" s="179"/>
      <c r="L6" s="180">
        <v>0</v>
      </c>
      <c r="M6" s="181">
        <f t="shared" ref="M6:M12" si="1">+L6+G6</f>
        <v>126</v>
      </c>
      <c r="N6" s="178" t="s">
        <v>46</v>
      </c>
    </row>
    <row r="7" spans="1:14" ht="15.75" x14ac:dyDescent="0.25">
      <c r="A7" s="178" t="s">
        <v>311</v>
      </c>
      <c r="B7" s="179">
        <v>0</v>
      </c>
      <c r="C7" s="179">
        <v>1.5760000000000001</v>
      </c>
      <c r="D7" s="179">
        <v>0</v>
      </c>
      <c r="E7" s="179">
        <v>0</v>
      </c>
      <c r="F7" s="179"/>
      <c r="G7" s="180">
        <f t="shared" si="0"/>
        <v>1.5760000000000001</v>
      </c>
      <c r="H7" s="179">
        <v>2.9430000000000001</v>
      </c>
      <c r="I7" s="179">
        <v>0</v>
      </c>
      <c r="J7" s="179">
        <v>0</v>
      </c>
      <c r="K7" s="179"/>
      <c r="L7" s="180">
        <f>H7+I7+J7+K7</f>
        <v>2.9430000000000001</v>
      </c>
      <c r="M7" s="181">
        <f t="shared" si="1"/>
        <v>4.5190000000000001</v>
      </c>
      <c r="N7" s="178" t="s">
        <v>311</v>
      </c>
    </row>
    <row r="8" spans="1:14" ht="15.75" x14ac:dyDescent="0.25">
      <c r="A8" s="178" t="s">
        <v>312</v>
      </c>
      <c r="B8" s="179">
        <v>0</v>
      </c>
      <c r="C8" s="179">
        <v>0</v>
      </c>
      <c r="D8" s="179">
        <v>0</v>
      </c>
      <c r="E8" s="179">
        <v>0</v>
      </c>
      <c r="F8" s="179"/>
      <c r="G8" s="180">
        <f t="shared" si="0"/>
        <v>0</v>
      </c>
      <c r="H8" s="179">
        <v>0</v>
      </c>
      <c r="I8" s="179">
        <v>3.109</v>
      </c>
      <c r="J8" s="179">
        <v>0</v>
      </c>
      <c r="K8" s="179"/>
      <c r="L8" s="180">
        <f t="shared" ref="L8:L12" si="2">H8+I8+J8+K8</f>
        <v>3.109</v>
      </c>
      <c r="M8" s="181">
        <f t="shared" si="1"/>
        <v>3.109</v>
      </c>
      <c r="N8" s="178" t="s">
        <v>312</v>
      </c>
    </row>
    <row r="9" spans="1:14" ht="15.75" x14ac:dyDescent="0.25">
      <c r="A9" s="178" t="s">
        <v>313</v>
      </c>
      <c r="B9" s="179">
        <v>0</v>
      </c>
      <c r="C9" s="179">
        <v>0</v>
      </c>
      <c r="D9" s="179">
        <v>0</v>
      </c>
      <c r="E9" s="179">
        <v>0</v>
      </c>
      <c r="F9" s="179"/>
      <c r="G9" s="180">
        <f t="shared" si="0"/>
        <v>0</v>
      </c>
      <c r="H9" s="179">
        <v>0</v>
      </c>
      <c r="I9" s="179">
        <v>0</v>
      </c>
      <c r="J9" s="179">
        <v>1.28</v>
      </c>
      <c r="K9" s="179"/>
      <c r="L9" s="180">
        <f t="shared" si="2"/>
        <v>1.28</v>
      </c>
      <c r="M9" s="181">
        <f t="shared" si="1"/>
        <v>1.28</v>
      </c>
      <c r="N9" s="178" t="s">
        <v>313</v>
      </c>
    </row>
    <row r="10" spans="1:14" ht="15.75" x14ac:dyDescent="0.25">
      <c r="A10" s="178" t="s">
        <v>194</v>
      </c>
      <c r="B10" s="179"/>
      <c r="C10" s="179"/>
      <c r="D10" s="179"/>
      <c r="E10" s="179"/>
      <c r="F10" s="179"/>
      <c r="G10" s="180">
        <f t="shared" si="0"/>
        <v>0</v>
      </c>
      <c r="H10" s="179"/>
      <c r="I10" s="179"/>
      <c r="J10" s="179"/>
      <c r="K10" s="179">
        <v>4.09</v>
      </c>
      <c r="L10" s="180">
        <f t="shared" si="2"/>
        <v>4.09</v>
      </c>
      <c r="M10" s="181">
        <f t="shared" si="1"/>
        <v>4.09</v>
      </c>
      <c r="N10" s="178"/>
    </row>
    <row r="11" spans="1:14" ht="15.75" x14ac:dyDescent="0.25">
      <c r="A11" s="182" t="s">
        <v>314</v>
      </c>
      <c r="B11" s="179">
        <f>SUM(B5:B10)</f>
        <v>199.66899999999998</v>
      </c>
      <c r="C11" s="179">
        <f>SUM(C5:C10)</f>
        <v>7.798</v>
      </c>
      <c r="D11" s="179">
        <f>SUM(D5:D10)</f>
        <v>6.62</v>
      </c>
      <c r="E11" s="179">
        <f>SUM(E5:E10)</f>
        <v>12.937999999999999</v>
      </c>
      <c r="F11" s="179">
        <f>SUM(F5:F10)</f>
        <v>4.22</v>
      </c>
      <c r="G11" s="180">
        <f t="shared" si="0"/>
        <v>231.24499999999998</v>
      </c>
      <c r="H11" s="179">
        <f t="shared" ref="H11:L11" si="3">SUM(H5:H10)</f>
        <v>2.9430000000000001</v>
      </c>
      <c r="I11" s="179">
        <f t="shared" si="3"/>
        <v>3.109</v>
      </c>
      <c r="J11" s="179">
        <f t="shared" si="3"/>
        <v>1.28</v>
      </c>
      <c r="K11" s="179">
        <f t="shared" si="3"/>
        <v>4.09</v>
      </c>
      <c r="L11" s="179">
        <f t="shared" si="3"/>
        <v>11.422000000000001</v>
      </c>
      <c r="M11" s="181">
        <f t="shared" si="1"/>
        <v>242.66699999999997</v>
      </c>
      <c r="N11" s="182" t="s">
        <v>314</v>
      </c>
    </row>
    <row r="12" spans="1:14" ht="15.75" x14ac:dyDescent="0.25">
      <c r="A12" s="182" t="s">
        <v>315</v>
      </c>
      <c r="B12" s="179">
        <f t="shared" ref="B12:E12" si="4">B11*2.47</f>
        <v>493.18243000000001</v>
      </c>
      <c r="C12" s="179">
        <f t="shared" si="4"/>
        <v>19.261060000000001</v>
      </c>
      <c r="D12" s="179">
        <f t="shared" si="4"/>
        <v>16.351400000000002</v>
      </c>
      <c r="E12" s="179">
        <f t="shared" si="4"/>
        <v>31.956859999999999</v>
      </c>
      <c r="F12" s="179">
        <f>F11*2.47</f>
        <v>10.423400000000001</v>
      </c>
      <c r="G12" s="180">
        <f t="shared" si="0"/>
        <v>571.17515000000003</v>
      </c>
      <c r="H12" s="179">
        <f t="shared" ref="H12:K12" si="5">H11*2.47</f>
        <v>7.2692100000000011</v>
      </c>
      <c r="I12" s="179">
        <f t="shared" si="5"/>
        <v>7.6792300000000004</v>
      </c>
      <c r="J12" s="179">
        <f t="shared" si="5"/>
        <v>3.1616000000000004</v>
      </c>
      <c r="K12" s="179">
        <f t="shared" si="5"/>
        <v>10.1023</v>
      </c>
      <c r="L12" s="183">
        <f t="shared" si="2"/>
        <v>28.212340000000001</v>
      </c>
      <c r="M12" s="181">
        <f t="shared" si="1"/>
        <v>599.38749000000007</v>
      </c>
      <c r="N12" s="182" t="s">
        <v>315</v>
      </c>
    </row>
  </sheetData>
  <mergeCells count="5">
    <mergeCell ref="A1:L1"/>
    <mergeCell ref="H2:L2"/>
    <mergeCell ref="M2:M3"/>
    <mergeCell ref="A2:G2"/>
    <mergeCell ref="N2:N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43" workbookViewId="0">
      <selection activeCell="N14" sqref="N14"/>
    </sheetView>
  </sheetViews>
  <sheetFormatPr defaultRowHeight="14.4" x14ac:dyDescent="0.3"/>
  <cols>
    <col min="1" max="1" width="8" customWidth="1"/>
    <col min="2" max="2" width="11.5546875" bestFit="1" customWidth="1"/>
    <col min="3" max="3" width="19.6640625" bestFit="1" customWidth="1"/>
    <col min="4" max="4" width="10.88671875" bestFit="1" customWidth="1"/>
    <col min="5" max="5" width="6.6640625" style="223" bestFit="1" customWidth="1"/>
    <col min="6" max="6" width="8.109375" style="223" bestFit="1" customWidth="1"/>
    <col min="7" max="8" width="14.33203125" style="97" customWidth="1"/>
    <col min="9" max="9" width="8" style="97" bestFit="1" customWidth="1"/>
    <col min="10" max="10" width="11.109375" style="97" bestFit="1" customWidth="1"/>
    <col min="11" max="11" width="10.33203125" style="97" bestFit="1" customWidth="1"/>
  </cols>
  <sheetData>
    <row r="1" spans="1:11" x14ac:dyDescent="0.3">
      <c r="A1" s="78" t="s">
        <v>123</v>
      </c>
      <c r="B1" s="79"/>
      <c r="C1" s="79"/>
      <c r="D1" s="79"/>
      <c r="E1" s="216"/>
      <c r="F1" s="216"/>
      <c r="G1" s="80"/>
      <c r="H1" s="80"/>
      <c r="I1" s="80"/>
      <c r="J1" s="80"/>
      <c r="K1" s="80"/>
    </row>
    <row r="2" spans="1:11" x14ac:dyDescent="0.3">
      <c r="A2" s="78"/>
      <c r="B2" s="81"/>
      <c r="C2" s="81"/>
      <c r="D2" s="82"/>
      <c r="E2" s="217"/>
      <c r="F2" s="217"/>
      <c r="G2" s="83"/>
      <c r="H2" s="83"/>
      <c r="I2" s="83"/>
      <c r="J2" s="83"/>
      <c r="K2" s="83"/>
    </row>
    <row r="3" spans="1:11" x14ac:dyDescent="0.3">
      <c r="A3" s="84" t="s">
        <v>124</v>
      </c>
      <c r="B3" s="84" t="s">
        <v>38</v>
      </c>
      <c r="C3" s="84" t="s">
        <v>125</v>
      </c>
      <c r="D3" s="85" t="s">
        <v>126</v>
      </c>
      <c r="E3" s="84" t="s">
        <v>127</v>
      </c>
      <c r="F3" s="84" t="s">
        <v>328</v>
      </c>
      <c r="G3" s="86" t="s">
        <v>12</v>
      </c>
      <c r="H3" s="86" t="s">
        <v>191</v>
      </c>
      <c r="I3" s="86" t="s">
        <v>128</v>
      </c>
      <c r="J3" s="86" t="s">
        <v>129</v>
      </c>
      <c r="K3" s="86" t="s">
        <v>16</v>
      </c>
    </row>
    <row r="4" spans="1:11" x14ac:dyDescent="0.3">
      <c r="A4" s="87" t="s">
        <v>130</v>
      </c>
      <c r="B4" s="87" t="s">
        <v>131</v>
      </c>
      <c r="C4" s="87" t="s">
        <v>132</v>
      </c>
      <c r="D4" s="88" t="s">
        <v>133</v>
      </c>
      <c r="E4" s="218">
        <v>0.16200000000000001</v>
      </c>
      <c r="F4" s="218">
        <f>E4*2.47</f>
        <v>0.40014000000000005</v>
      </c>
      <c r="G4" s="89">
        <v>46081</v>
      </c>
      <c r="H4" s="224">
        <f>G4/F4</f>
        <v>115162.19323236866</v>
      </c>
      <c r="I4" s="89">
        <v>4093</v>
      </c>
      <c r="J4" s="89">
        <v>471</v>
      </c>
      <c r="K4" s="89">
        <v>50645</v>
      </c>
    </row>
    <row r="5" spans="1:11" x14ac:dyDescent="0.3">
      <c r="A5" s="87" t="s">
        <v>130</v>
      </c>
      <c r="B5" s="87" t="s">
        <v>134</v>
      </c>
      <c r="C5" s="87" t="s">
        <v>135</v>
      </c>
      <c r="D5" s="88" t="s">
        <v>136</v>
      </c>
      <c r="E5" s="218">
        <v>0.04</v>
      </c>
      <c r="F5" s="218">
        <f t="shared" ref="F5:F33" si="0">E5*2.47</f>
        <v>9.8800000000000013E-2</v>
      </c>
      <c r="G5" s="89">
        <v>11421</v>
      </c>
      <c r="H5" s="224">
        <f t="shared" ref="H5:H33" si="1">G5/F5</f>
        <v>115597.16599190282</v>
      </c>
      <c r="I5" s="89">
        <v>1021</v>
      </c>
      <c r="J5" s="89">
        <v>130</v>
      </c>
      <c r="K5" s="89">
        <v>12572</v>
      </c>
    </row>
    <row r="6" spans="1:11" x14ac:dyDescent="0.3">
      <c r="A6" s="87" t="s">
        <v>130</v>
      </c>
      <c r="B6" s="87" t="s">
        <v>134</v>
      </c>
      <c r="C6" s="87" t="s">
        <v>137</v>
      </c>
      <c r="D6" s="88">
        <v>354</v>
      </c>
      <c r="E6" s="218">
        <v>0.109</v>
      </c>
      <c r="F6" s="218">
        <f t="shared" si="0"/>
        <v>0.26923000000000002</v>
      </c>
      <c r="G6" s="89">
        <v>30991</v>
      </c>
      <c r="H6" s="224">
        <f t="shared" si="1"/>
        <v>115109.75745644986</v>
      </c>
      <c r="I6" s="89">
        <v>2751</v>
      </c>
      <c r="J6" s="89">
        <v>318</v>
      </c>
      <c r="K6" s="89">
        <v>34060</v>
      </c>
    </row>
    <row r="7" spans="1:11" x14ac:dyDescent="0.3">
      <c r="A7" s="90" t="s">
        <v>138</v>
      </c>
      <c r="B7" s="90" t="s">
        <v>134</v>
      </c>
      <c r="C7" s="90" t="s">
        <v>139</v>
      </c>
      <c r="D7" s="91" t="s">
        <v>140</v>
      </c>
      <c r="E7" s="219">
        <v>4.4999999999999998E-2</v>
      </c>
      <c r="F7" s="218">
        <f t="shared" si="0"/>
        <v>0.11115</v>
      </c>
      <c r="G7" s="92">
        <v>88956</v>
      </c>
      <c r="H7" s="224">
        <f t="shared" si="1"/>
        <v>800323.88663967617</v>
      </c>
      <c r="I7" s="92"/>
      <c r="J7" s="92">
        <v>782</v>
      </c>
      <c r="K7" s="92">
        <v>89738</v>
      </c>
    </row>
    <row r="8" spans="1:11" x14ac:dyDescent="0.3">
      <c r="A8" s="90" t="s">
        <v>138</v>
      </c>
      <c r="B8" s="90" t="s">
        <v>134</v>
      </c>
      <c r="C8" s="90" t="s">
        <v>139</v>
      </c>
      <c r="D8" s="91" t="s">
        <v>141</v>
      </c>
      <c r="E8" s="219">
        <v>7.2999999999999995E-2</v>
      </c>
      <c r="F8" s="218">
        <f t="shared" si="0"/>
        <v>0.18031</v>
      </c>
      <c r="G8" s="92">
        <v>144306</v>
      </c>
      <c r="H8" s="224">
        <f t="shared" si="1"/>
        <v>800321.66823803447</v>
      </c>
      <c r="I8" s="92">
        <v>0</v>
      </c>
      <c r="J8" s="92">
        <v>1268</v>
      </c>
      <c r="K8" s="92">
        <v>145574</v>
      </c>
    </row>
    <row r="9" spans="1:11" x14ac:dyDescent="0.3">
      <c r="A9" s="90" t="s">
        <v>138</v>
      </c>
      <c r="B9" s="90" t="s">
        <v>134</v>
      </c>
      <c r="C9" s="90" t="s">
        <v>142</v>
      </c>
      <c r="D9" s="91">
        <v>438</v>
      </c>
      <c r="E9" s="219">
        <v>0.113</v>
      </c>
      <c r="F9" s="218">
        <f t="shared" si="0"/>
        <v>0.27911000000000002</v>
      </c>
      <c r="G9" s="92">
        <v>223378</v>
      </c>
      <c r="H9" s="224">
        <f t="shared" si="1"/>
        <v>800322.45351295185</v>
      </c>
      <c r="I9" s="92">
        <v>0</v>
      </c>
      <c r="J9" s="92">
        <v>1965</v>
      </c>
      <c r="K9" s="92">
        <v>225343</v>
      </c>
    </row>
    <row r="10" spans="1:11" x14ac:dyDescent="0.3">
      <c r="A10" s="90" t="s">
        <v>138</v>
      </c>
      <c r="B10" s="90" t="s">
        <v>134</v>
      </c>
      <c r="C10" s="90" t="s">
        <v>143</v>
      </c>
      <c r="D10" s="91">
        <v>440</v>
      </c>
      <c r="E10" s="219">
        <v>8.5000000000000006E-2</v>
      </c>
      <c r="F10" s="218">
        <f t="shared" si="0"/>
        <v>0.20995000000000003</v>
      </c>
      <c r="G10" s="92">
        <v>168028</v>
      </c>
      <c r="H10" s="224">
        <f t="shared" si="1"/>
        <v>800323.88663967606</v>
      </c>
      <c r="I10" s="92"/>
      <c r="J10" s="92">
        <v>1394</v>
      </c>
      <c r="K10" s="92">
        <v>169422</v>
      </c>
    </row>
    <row r="11" spans="1:11" x14ac:dyDescent="0.3">
      <c r="A11" s="90" t="s">
        <v>138</v>
      </c>
      <c r="B11" s="90" t="s">
        <v>134</v>
      </c>
      <c r="C11" s="90" t="s">
        <v>143</v>
      </c>
      <c r="D11" s="91" t="s">
        <v>144</v>
      </c>
      <c r="E11" s="219">
        <v>0.223</v>
      </c>
      <c r="F11" s="218">
        <f t="shared" si="0"/>
        <v>0.55081000000000002</v>
      </c>
      <c r="G11" s="92">
        <v>440826</v>
      </c>
      <c r="H11" s="224">
        <f t="shared" si="1"/>
        <v>800323.16043644806</v>
      </c>
      <c r="I11" s="92">
        <v>0</v>
      </c>
      <c r="J11" s="92">
        <v>3656</v>
      </c>
      <c r="K11" s="92">
        <v>444482</v>
      </c>
    </row>
    <row r="12" spans="1:11" x14ac:dyDescent="0.3">
      <c r="A12" s="90" t="s">
        <v>138</v>
      </c>
      <c r="B12" s="90" t="s">
        <v>134</v>
      </c>
      <c r="C12" s="90" t="s">
        <v>145</v>
      </c>
      <c r="D12" s="91" t="s">
        <v>146</v>
      </c>
      <c r="E12" s="219">
        <v>2.1999999999999999E-2</v>
      </c>
      <c r="F12" s="218">
        <f t="shared" si="0"/>
        <v>5.4339999999999999E-2</v>
      </c>
      <c r="G12" s="92">
        <v>43474</v>
      </c>
      <c r="H12" s="224">
        <f t="shared" si="1"/>
        <v>800036.80529996322</v>
      </c>
      <c r="I12" s="92"/>
      <c r="J12" s="92">
        <v>367</v>
      </c>
      <c r="K12" s="92">
        <v>43841</v>
      </c>
    </row>
    <row r="13" spans="1:11" x14ac:dyDescent="0.3">
      <c r="A13" s="90" t="s">
        <v>138</v>
      </c>
      <c r="B13" s="90" t="s">
        <v>134</v>
      </c>
      <c r="C13" s="90" t="s">
        <v>145</v>
      </c>
      <c r="D13" s="91" t="s">
        <v>147</v>
      </c>
      <c r="E13" s="219">
        <v>8.8999999999999996E-2</v>
      </c>
      <c r="F13" s="218">
        <f t="shared" si="0"/>
        <v>0.21983</v>
      </c>
      <c r="G13" s="92">
        <v>175872</v>
      </c>
      <c r="H13" s="224">
        <f t="shared" si="1"/>
        <v>800036.39175726695</v>
      </c>
      <c r="I13" s="92"/>
      <c r="J13" s="92">
        <v>1484</v>
      </c>
      <c r="K13" s="92">
        <v>177356</v>
      </c>
    </row>
    <row r="14" spans="1:11" x14ac:dyDescent="0.3">
      <c r="A14" s="90" t="s">
        <v>138</v>
      </c>
      <c r="B14" s="90" t="s">
        <v>134</v>
      </c>
      <c r="C14" s="90" t="s">
        <v>145</v>
      </c>
      <c r="D14" s="91" t="s">
        <v>148</v>
      </c>
      <c r="E14" s="219">
        <v>8.8999999999999996E-2</v>
      </c>
      <c r="F14" s="218">
        <f t="shared" si="0"/>
        <v>0.21983</v>
      </c>
      <c r="G14" s="92">
        <v>175872</v>
      </c>
      <c r="H14" s="224">
        <f t="shared" si="1"/>
        <v>800036.39175726695</v>
      </c>
      <c r="I14" s="92">
        <v>0</v>
      </c>
      <c r="J14" s="92">
        <v>1484</v>
      </c>
      <c r="K14" s="92">
        <v>177356</v>
      </c>
    </row>
    <row r="15" spans="1:11" x14ac:dyDescent="0.3">
      <c r="A15" s="90" t="s">
        <v>138</v>
      </c>
      <c r="B15" s="90" t="s">
        <v>134</v>
      </c>
      <c r="C15" s="90" t="s">
        <v>149</v>
      </c>
      <c r="D15" s="91" t="s">
        <v>150</v>
      </c>
      <c r="E15" s="219">
        <v>0.10100000000000001</v>
      </c>
      <c r="F15" s="218">
        <f t="shared" si="0"/>
        <v>0.24947000000000003</v>
      </c>
      <c r="G15" s="92">
        <v>199657</v>
      </c>
      <c r="H15" s="224">
        <f t="shared" si="1"/>
        <v>800324.68833927915</v>
      </c>
      <c r="I15" s="92">
        <v>0</v>
      </c>
      <c r="J15" s="92">
        <v>1775</v>
      </c>
      <c r="K15" s="92">
        <v>201432</v>
      </c>
    </row>
    <row r="16" spans="1:11" x14ac:dyDescent="0.3">
      <c r="A16" s="90" t="s">
        <v>138</v>
      </c>
      <c r="B16" s="90" t="s">
        <v>134</v>
      </c>
      <c r="C16" s="90" t="s">
        <v>151</v>
      </c>
      <c r="D16" s="91" t="s">
        <v>152</v>
      </c>
      <c r="E16" s="219">
        <v>0.121</v>
      </c>
      <c r="F16" s="218">
        <f t="shared" si="0"/>
        <v>0.29887000000000002</v>
      </c>
      <c r="G16" s="92">
        <v>239193</v>
      </c>
      <c r="H16" s="224">
        <f t="shared" si="1"/>
        <v>800324.55582694814</v>
      </c>
      <c r="I16" s="92"/>
      <c r="J16" s="92">
        <v>2017</v>
      </c>
      <c r="K16" s="92">
        <v>241210</v>
      </c>
    </row>
    <row r="17" spans="1:11" x14ac:dyDescent="0.3">
      <c r="A17" s="90" t="s">
        <v>138</v>
      </c>
      <c r="B17" s="90" t="s">
        <v>134</v>
      </c>
      <c r="C17" s="90" t="s">
        <v>151</v>
      </c>
      <c r="D17" s="91" t="s">
        <v>153</v>
      </c>
      <c r="E17" s="219">
        <v>8.8999999999999996E-2</v>
      </c>
      <c r="F17" s="218">
        <f t="shared" si="0"/>
        <v>0.21983</v>
      </c>
      <c r="G17" s="92">
        <v>175935</v>
      </c>
      <c r="H17" s="224">
        <f t="shared" si="1"/>
        <v>800322.97684574442</v>
      </c>
      <c r="I17" s="92">
        <v>0</v>
      </c>
      <c r="J17" s="92">
        <v>1483</v>
      </c>
      <c r="K17" s="92">
        <v>177418</v>
      </c>
    </row>
    <row r="18" spans="1:11" x14ac:dyDescent="0.3">
      <c r="A18" s="90" t="s">
        <v>138</v>
      </c>
      <c r="B18" s="90" t="s">
        <v>134</v>
      </c>
      <c r="C18" s="90" t="s">
        <v>154</v>
      </c>
      <c r="D18" s="91" t="s">
        <v>155</v>
      </c>
      <c r="E18" s="219">
        <v>0.11799999999999999</v>
      </c>
      <c r="F18" s="218">
        <f t="shared" si="0"/>
        <v>0.29146</v>
      </c>
      <c r="G18" s="92">
        <v>233262</v>
      </c>
      <c r="H18" s="224">
        <f t="shared" si="1"/>
        <v>800322.51423866057</v>
      </c>
      <c r="I18" s="92">
        <v>0</v>
      </c>
      <c r="J18" s="92">
        <v>2045</v>
      </c>
      <c r="K18" s="92">
        <v>235307</v>
      </c>
    </row>
    <row r="19" spans="1:11" x14ac:dyDescent="0.3">
      <c r="A19" s="90" t="s">
        <v>138</v>
      </c>
      <c r="B19" s="90" t="s">
        <v>134</v>
      </c>
      <c r="C19" s="90" t="s">
        <v>156</v>
      </c>
      <c r="D19" s="91" t="s">
        <v>157</v>
      </c>
      <c r="E19" s="219">
        <v>0.161</v>
      </c>
      <c r="F19" s="218">
        <f t="shared" si="0"/>
        <v>0.39767000000000002</v>
      </c>
      <c r="G19" s="92">
        <v>318265</v>
      </c>
      <c r="H19" s="224">
        <f t="shared" si="1"/>
        <v>800324.38956924074</v>
      </c>
      <c r="I19" s="92"/>
      <c r="J19" s="92">
        <v>2671</v>
      </c>
      <c r="K19" s="92">
        <v>320936</v>
      </c>
    </row>
    <row r="20" spans="1:11" x14ac:dyDescent="0.3">
      <c r="A20" s="90" t="s">
        <v>138</v>
      </c>
      <c r="B20" s="90" t="s">
        <v>134</v>
      </c>
      <c r="C20" s="90" t="s">
        <v>156</v>
      </c>
      <c r="D20" s="91" t="s">
        <v>158</v>
      </c>
      <c r="E20" s="219">
        <v>6.5000000000000002E-2</v>
      </c>
      <c r="F20" s="218">
        <f t="shared" si="0"/>
        <v>0.16055000000000003</v>
      </c>
      <c r="G20" s="92">
        <v>128492</v>
      </c>
      <c r="H20" s="224">
        <f t="shared" si="1"/>
        <v>800323.88663967594</v>
      </c>
      <c r="I20" s="92">
        <v>0</v>
      </c>
      <c r="J20" s="92">
        <v>1079</v>
      </c>
      <c r="K20" s="92">
        <v>129571</v>
      </c>
    </row>
    <row r="21" spans="1:11" x14ac:dyDescent="0.3">
      <c r="A21" s="90" t="s">
        <v>138</v>
      </c>
      <c r="B21" s="90" t="s">
        <v>134</v>
      </c>
      <c r="C21" s="90" t="s">
        <v>159</v>
      </c>
      <c r="D21" s="91" t="s">
        <v>160</v>
      </c>
      <c r="E21" s="219">
        <v>8.8999999999999996E-2</v>
      </c>
      <c r="F21" s="218">
        <f t="shared" si="0"/>
        <v>0.21983</v>
      </c>
      <c r="G21" s="92">
        <v>175864</v>
      </c>
      <c r="H21" s="224">
        <f t="shared" si="1"/>
        <v>800000</v>
      </c>
      <c r="I21" s="92">
        <v>0</v>
      </c>
      <c r="J21" s="92">
        <v>1585</v>
      </c>
      <c r="K21" s="92">
        <v>177449</v>
      </c>
    </row>
    <row r="22" spans="1:11" x14ac:dyDescent="0.3">
      <c r="A22" s="90" t="s">
        <v>138</v>
      </c>
      <c r="B22" s="90" t="s">
        <v>134</v>
      </c>
      <c r="C22" s="90" t="s">
        <v>161</v>
      </c>
      <c r="D22" s="91">
        <v>258</v>
      </c>
      <c r="E22" s="219">
        <v>0.17</v>
      </c>
      <c r="F22" s="218">
        <f t="shared" si="0"/>
        <v>0.41990000000000005</v>
      </c>
      <c r="G22" s="92">
        <v>336056</v>
      </c>
      <c r="H22" s="224">
        <f t="shared" si="1"/>
        <v>800323.88663967606</v>
      </c>
      <c r="I22" s="92">
        <v>0</v>
      </c>
      <c r="J22" s="92">
        <v>2870</v>
      </c>
      <c r="K22" s="92">
        <v>338926</v>
      </c>
    </row>
    <row r="23" spans="1:11" x14ac:dyDescent="0.3">
      <c r="A23" s="90" t="s">
        <v>138</v>
      </c>
      <c r="B23" s="90" t="s">
        <v>134</v>
      </c>
      <c r="C23" s="90" t="s">
        <v>162</v>
      </c>
      <c r="D23" s="91">
        <v>349</v>
      </c>
      <c r="E23" s="219">
        <v>0.77700000000000002</v>
      </c>
      <c r="F23" s="218">
        <f t="shared" si="0"/>
        <v>1.9191900000000002</v>
      </c>
      <c r="G23" s="92">
        <v>1535974</v>
      </c>
      <c r="H23" s="224">
        <f t="shared" si="1"/>
        <v>800324.09506093711</v>
      </c>
      <c r="I23" s="92"/>
      <c r="J23" s="92">
        <v>12422</v>
      </c>
      <c r="K23" s="92">
        <v>1548396</v>
      </c>
    </row>
    <row r="24" spans="1:11" x14ac:dyDescent="0.3">
      <c r="A24" s="90" t="s">
        <v>138</v>
      </c>
      <c r="B24" s="90" t="s">
        <v>134</v>
      </c>
      <c r="C24" s="90" t="s">
        <v>162</v>
      </c>
      <c r="D24" s="91">
        <v>348</v>
      </c>
      <c r="E24" s="219">
        <v>0.251</v>
      </c>
      <c r="F24" s="218">
        <f t="shared" si="0"/>
        <v>0.61997000000000002</v>
      </c>
      <c r="G24" s="92">
        <v>496177</v>
      </c>
      <c r="H24" s="224">
        <f t="shared" si="1"/>
        <v>800324.2092359307</v>
      </c>
      <c r="I24" s="92">
        <v>0</v>
      </c>
      <c r="J24" s="92">
        <v>4013</v>
      </c>
      <c r="K24" s="92">
        <v>500190</v>
      </c>
    </row>
    <row r="25" spans="1:11" x14ac:dyDescent="0.3">
      <c r="A25" s="90" t="s">
        <v>138</v>
      </c>
      <c r="B25" s="90" t="s">
        <v>134</v>
      </c>
      <c r="C25" s="90" t="s">
        <v>163</v>
      </c>
      <c r="D25" s="91" t="s">
        <v>164</v>
      </c>
      <c r="E25" s="219">
        <v>3.2000000000000001E-2</v>
      </c>
      <c r="F25" s="218">
        <f t="shared" si="0"/>
        <v>7.9040000000000013E-2</v>
      </c>
      <c r="G25" s="92">
        <v>63258</v>
      </c>
      <c r="H25" s="224">
        <f t="shared" si="1"/>
        <v>800328.94736842089</v>
      </c>
      <c r="I25" s="92">
        <v>0</v>
      </c>
      <c r="J25" s="92">
        <v>680</v>
      </c>
      <c r="K25" s="92">
        <v>63938</v>
      </c>
    </row>
    <row r="26" spans="1:11" x14ac:dyDescent="0.3">
      <c r="A26" s="90" t="s">
        <v>138</v>
      </c>
      <c r="B26" s="90" t="s">
        <v>134</v>
      </c>
      <c r="C26" s="90" t="s">
        <v>165</v>
      </c>
      <c r="D26" s="91" t="s">
        <v>166</v>
      </c>
      <c r="E26" s="219">
        <v>0.13600000000000001</v>
      </c>
      <c r="F26" s="218">
        <f t="shared" si="0"/>
        <v>0.33592000000000005</v>
      </c>
      <c r="G26" s="92">
        <v>268845</v>
      </c>
      <c r="H26" s="224">
        <f t="shared" si="1"/>
        <v>800324.48201952828</v>
      </c>
      <c r="I26" s="92">
        <v>0</v>
      </c>
      <c r="J26" s="92">
        <v>2330</v>
      </c>
      <c r="K26" s="92">
        <v>271175</v>
      </c>
    </row>
    <row r="27" spans="1:11" x14ac:dyDescent="0.3">
      <c r="A27" s="90" t="s">
        <v>138</v>
      </c>
      <c r="B27" s="90" t="s">
        <v>134</v>
      </c>
      <c r="C27" s="90" t="s">
        <v>167</v>
      </c>
      <c r="D27" s="91" t="s">
        <v>168</v>
      </c>
      <c r="E27" s="219">
        <v>0.154</v>
      </c>
      <c r="F27" s="218">
        <f t="shared" si="0"/>
        <v>0.38038000000000005</v>
      </c>
      <c r="G27" s="92">
        <v>304304</v>
      </c>
      <c r="H27" s="224">
        <f t="shared" si="1"/>
        <v>799999.99999999988</v>
      </c>
      <c r="I27" s="92">
        <v>0</v>
      </c>
      <c r="J27" s="92">
        <v>2610</v>
      </c>
      <c r="K27" s="92">
        <v>306914</v>
      </c>
    </row>
    <row r="28" spans="1:11" x14ac:dyDescent="0.3">
      <c r="A28" s="90" t="s">
        <v>138</v>
      </c>
      <c r="B28" s="90" t="s">
        <v>134</v>
      </c>
      <c r="C28" s="90" t="s">
        <v>169</v>
      </c>
      <c r="D28" s="91" t="s">
        <v>170</v>
      </c>
      <c r="E28" s="219">
        <v>0.28299999999999997</v>
      </c>
      <c r="F28" s="218">
        <f t="shared" si="0"/>
        <v>0.69901000000000002</v>
      </c>
      <c r="G28" s="92">
        <v>559208</v>
      </c>
      <c r="H28" s="224">
        <f t="shared" si="1"/>
        <v>800000</v>
      </c>
      <c r="I28" s="92">
        <v>0</v>
      </c>
      <c r="J28" s="92">
        <v>4650</v>
      </c>
      <c r="K28" s="92">
        <v>563858</v>
      </c>
    </row>
    <row r="29" spans="1:11" x14ac:dyDescent="0.3">
      <c r="A29" s="90" t="s">
        <v>138</v>
      </c>
      <c r="B29" s="90" t="s">
        <v>134</v>
      </c>
      <c r="C29" s="90" t="s">
        <v>171</v>
      </c>
      <c r="D29" s="91" t="s">
        <v>172</v>
      </c>
      <c r="E29" s="219">
        <v>0.36799999999999999</v>
      </c>
      <c r="F29" s="218">
        <f t="shared" si="0"/>
        <v>0.9089600000000001</v>
      </c>
      <c r="G29" s="92">
        <v>727462</v>
      </c>
      <c r="H29" s="224">
        <f t="shared" si="1"/>
        <v>800323.44657630695</v>
      </c>
      <c r="I29" s="92">
        <v>0</v>
      </c>
      <c r="J29" s="92">
        <v>5990</v>
      </c>
      <c r="K29" s="92">
        <v>733452</v>
      </c>
    </row>
    <row r="30" spans="1:11" x14ac:dyDescent="0.3">
      <c r="A30" s="90" t="s">
        <v>138</v>
      </c>
      <c r="B30" s="90" t="s">
        <v>134</v>
      </c>
      <c r="C30" s="90" t="s">
        <v>173</v>
      </c>
      <c r="D30" s="91" t="s">
        <v>174</v>
      </c>
      <c r="E30" s="219">
        <v>0.153</v>
      </c>
      <c r="F30" s="218">
        <f t="shared" si="0"/>
        <v>0.37791000000000002</v>
      </c>
      <c r="G30" s="92">
        <v>302328</v>
      </c>
      <c r="H30" s="224">
        <f t="shared" si="1"/>
        <v>800000</v>
      </c>
      <c r="I30" s="92">
        <v>0</v>
      </c>
      <c r="J30" s="92">
        <v>2600</v>
      </c>
      <c r="K30" s="92">
        <v>304928</v>
      </c>
    </row>
    <row r="31" spans="1:11" x14ac:dyDescent="0.3">
      <c r="A31" s="90" t="s">
        <v>138</v>
      </c>
      <c r="B31" s="90" t="s">
        <v>134</v>
      </c>
      <c r="C31" s="90" t="s">
        <v>175</v>
      </c>
      <c r="D31" s="91" t="s">
        <v>176</v>
      </c>
      <c r="E31" s="219">
        <v>4.9000000000000002E-2</v>
      </c>
      <c r="F31" s="218">
        <f t="shared" si="0"/>
        <v>0.12103000000000001</v>
      </c>
      <c r="G31" s="92">
        <v>98000</v>
      </c>
      <c r="H31" s="224">
        <f t="shared" si="1"/>
        <v>809716.59919028333</v>
      </c>
      <c r="I31" s="92">
        <v>7158</v>
      </c>
      <c r="J31" s="92">
        <v>870</v>
      </c>
      <c r="K31" s="92">
        <v>106028</v>
      </c>
    </row>
    <row r="32" spans="1:11" x14ac:dyDescent="0.3">
      <c r="A32" s="90" t="s">
        <v>138</v>
      </c>
      <c r="B32" s="90" t="s">
        <v>134</v>
      </c>
      <c r="C32" s="90" t="s">
        <v>175</v>
      </c>
      <c r="D32" s="91" t="s">
        <v>177</v>
      </c>
      <c r="E32" s="219">
        <v>5.2999999999999999E-2</v>
      </c>
      <c r="F32" s="218">
        <f t="shared" si="0"/>
        <v>0.13091</v>
      </c>
      <c r="G32" s="92">
        <v>106000</v>
      </c>
      <c r="H32" s="224">
        <f t="shared" si="1"/>
        <v>809716.59919028345</v>
      </c>
      <c r="I32" s="92">
        <v>7742</v>
      </c>
      <c r="J32" s="92">
        <v>940</v>
      </c>
      <c r="K32" s="92">
        <v>114682</v>
      </c>
    </row>
    <row r="33" spans="1:11" x14ac:dyDescent="0.3">
      <c r="A33" s="93"/>
      <c r="B33" s="93"/>
      <c r="C33" s="93"/>
      <c r="D33" s="94"/>
      <c r="E33" s="220">
        <f>SUM(E4:E32)</f>
        <v>4.22</v>
      </c>
      <c r="F33" s="218">
        <f t="shared" si="0"/>
        <v>10.423400000000001</v>
      </c>
      <c r="G33" s="95">
        <f>SUM(G4:G32)</f>
        <v>7817485</v>
      </c>
      <c r="H33" s="224">
        <f t="shared" si="1"/>
        <v>749993.76403093035</v>
      </c>
      <c r="I33" s="95">
        <f t="shared" ref="I33:K33" si="2">SUM(I4:I32)</f>
        <v>22765</v>
      </c>
      <c r="J33" s="95">
        <f t="shared" si="2"/>
        <v>65949</v>
      </c>
      <c r="K33" s="95">
        <f t="shared" si="2"/>
        <v>7906199</v>
      </c>
    </row>
    <row r="35" spans="1:11" x14ac:dyDescent="0.3">
      <c r="E35" s="221"/>
      <c r="F35" s="221"/>
      <c r="G35" s="96" t="s">
        <v>178</v>
      </c>
      <c r="H35" s="96"/>
      <c r="K35" s="97">
        <v>24150</v>
      </c>
    </row>
    <row r="36" spans="1:11" x14ac:dyDescent="0.3">
      <c r="E36" s="222"/>
      <c r="F36" s="222"/>
      <c r="K36" s="98"/>
    </row>
    <row r="37" spans="1:11" ht="15" thickBot="1" x14ac:dyDescent="0.35">
      <c r="G37" s="98" t="s">
        <v>179</v>
      </c>
      <c r="H37" s="98"/>
      <c r="K37" s="99">
        <f>K33+K35</f>
        <v>7930349</v>
      </c>
    </row>
    <row r="38" spans="1:11" ht="15" thickTop="1" x14ac:dyDescent="0.3"/>
  </sheetData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5"/>
  <sheetViews>
    <sheetView workbookViewId="0">
      <selection activeCell="M14" sqref="M14"/>
    </sheetView>
  </sheetViews>
  <sheetFormatPr defaultColWidth="9.109375" defaultRowHeight="14.4" x14ac:dyDescent="0.3"/>
  <cols>
    <col min="1" max="1" width="9.109375" style="34"/>
    <col min="2" max="2" width="10.5546875" style="34" customWidth="1"/>
    <col min="3" max="3" width="21.88671875" style="34" bestFit="1" customWidth="1"/>
    <col min="4" max="4" width="14.44140625" style="34" customWidth="1"/>
    <col min="5" max="5" width="16.88671875" style="35" bestFit="1" customWidth="1"/>
    <col min="6" max="6" width="9.5546875" style="34" bestFit="1" customWidth="1"/>
    <col min="7" max="7" width="10.5546875" style="59" bestFit="1" customWidth="1"/>
    <col min="8" max="8" width="9.5546875" style="59" bestFit="1" customWidth="1"/>
    <col min="9" max="9" width="15.6640625" style="59" customWidth="1"/>
    <col min="10" max="10" width="10.5546875" style="59" bestFit="1" customWidth="1"/>
    <col min="11" max="11" width="9.44140625" style="34" bestFit="1" customWidth="1"/>
    <col min="12" max="12" width="11.44140625" style="34" customWidth="1"/>
    <col min="13" max="13" width="12.5546875" style="34" bestFit="1" customWidth="1"/>
    <col min="14" max="16384" width="9.109375" style="34"/>
  </cols>
  <sheetData>
    <row r="2" spans="1:13" x14ac:dyDescent="0.3">
      <c r="A2" s="33" t="s">
        <v>34</v>
      </c>
    </row>
    <row r="3" spans="1:13" x14ac:dyDescent="0.3">
      <c r="A3" s="33" t="s">
        <v>35</v>
      </c>
    </row>
    <row r="4" spans="1:13" x14ac:dyDescent="0.3">
      <c r="A4" s="33" t="s">
        <v>188</v>
      </c>
    </row>
    <row r="5" spans="1:13" customFormat="1" x14ac:dyDescent="0.3">
      <c r="A5" s="34"/>
      <c r="B5" s="33" t="s">
        <v>320</v>
      </c>
      <c r="C5" s="34"/>
      <c r="D5" s="34"/>
      <c r="E5" s="34"/>
      <c r="F5" s="35"/>
      <c r="G5" s="187"/>
      <c r="H5" s="187"/>
      <c r="I5" s="105"/>
      <c r="J5" s="105"/>
      <c r="K5" s="105"/>
      <c r="L5" s="34"/>
    </row>
    <row r="6" spans="1:13" customFormat="1" ht="36" x14ac:dyDescent="0.3">
      <c r="A6" s="34"/>
      <c r="B6" s="188" t="s">
        <v>36</v>
      </c>
      <c r="C6" s="188" t="s">
        <v>11</v>
      </c>
      <c r="D6" s="188" t="s">
        <v>37</v>
      </c>
      <c r="E6" s="188" t="s">
        <v>38</v>
      </c>
      <c r="F6" s="189" t="s">
        <v>39</v>
      </c>
      <c r="G6" s="190" t="s">
        <v>190</v>
      </c>
      <c r="H6" s="190" t="s">
        <v>321</v>
      </c>
      <c r="I6" s="191" t="s">
        <v>2</v>
      </c>
      <c r="J6" s="192" t="s">
        <v>40</v>
      </c>
      <c r="K6" s="192" t="s">
        <v>41</v>
      </c>
      <c r="L6" s="188" t="s">
        <v>201</v>
      </c>
      <c r="M6" s="226" t="s">
        <v>191</v>
      </c>
    </row>
    <row r="7" spans="1:13" customFormat="1" x14ac:dyDescent="0.3">
      <c r="A7" s="34"/>
      <c r="B7" s="193">
        <v>1</v>
      </c>
      <c r="C7" s="194" t="s">
        <v>42</v>
      </c>
      <c r="D7" s="194" t="s">
        <v>43</v>
      </c>
      <c r="E7" s="194" t="s">
        <v>44</v>
      </c>
      <c r="F7" s="195">
        <v>344</v>
      </c>
      <c r="G7" s="196">
        <v>0.66</v>
      </c>
      <c r="H7" s="197">
        <f t="shared" ref="H7:H25" si="0">G7/2.47</f>
        <v>0.26720647773279349</v>
      </c>
      <c r="I7" s="198">
        <v>528000</v>
      </c>
      <c r="J7" s="108"/>
      <c r="K7" s="108">
        <f>4400</f>
        <v>4400</v>
      </c>
      <c r="L7" s="199">
        <f>SUM(I7:K7)</f>
        <v>532400</v>
      </c>
      <c r="M7" s="225">
        <f>I7/G7</f>
        <v>800000</v>
      </c>
    </row>
    <row r="8" spans="1:13" customFormat="1" x14ac:dyDescent="0.3">
      <c r="A8" s="34"/>
      <c r="B8" s="193">
        <v>2</v>
      </c>
      <c r="C8" s="194" t="s">
        <v>322</v>
      </c>
      <c r="D8" s="194" t="s">
        <v>159</v>
      </c>
      <c r="E8" s="194" t="s">
        <v>44</v>
      </c>
      <c r="F8" s="195" t="s">
        <v>291</v>
      </c>
      <c r="G8" s="196">
        <v>0.87</v>
      </c>
      <c r="H8" s="197">
        <f t="shared" si="0"/>
        <v>0.35222672064777327</v>
      </c>
      <c r="I8" s="198">
        <v>172000</v>
      </c>
      <c r="J8" s="108"/>
      <c r="K8" s="108">
        <v>2000</v>
      </c>
      <c r="L8" s="199">
        <f t="shared" ref="L8:L24" si="1">SUM(I8:K8)</f>
        <v>174000</v>
      </c>
      <c r="M8" s="225">
        <f t="shared" ref="M8:M22" si="2">I8/G8</f>
        <v>197701.14942528735</v>
      </c>
    </row>
    <row r="9" spans="1:13" customFormat="1" x14ac:dyDescent="0.3">
      <c r="A9" s="34"/>
      <c r="B9" s="193">
        <v>3</v>
      </c>
      <c r="C9" s="194" t="s">
        <v>42</v>
      </c>
      <c r="D9" s="194" t="s">
        <v>45</v>
      </c>
      <c r="E9" s="194" t="s">
        <v>46</v>
      </c>
      <c r="F9" s="195" t="s">
        <v>47</v>
      </c>
      <c r="G9" s="196">
        <v>0.25</v>
      </c>
      <c r="H9" s="197">
        <f t="shared" si="0"/>
        <v>0.10121457489878542</v>
      </c>
      <c r="I9" s="198">
        <v>200000</v>
      </c>
      <c r="J9" s="108"/>
      <c r="K9" s="108">
        <v>7285</v>
      </c>
      <c r="L9" s="199">
        <f t="shared" si="1"/>
        <v>207285</v>
      </c>
      <c r="M9" s="225">
        <f t="shared" si="2"/>
        <v>800000</v>
      </c>
    </row>
    <row r="10" spans="1:13" customFormat="1" x14ac:dyDescent="0.3">
      <c r="A10" s="34"/>
      <c r="B10" s="193">
        <v>4</v>
      </c>
      <c r="C10" s="194" t="s">
        <v>42</v>
      </c>
      <c r="D10" s="194" t="s">
        <v>48</v>
      </c>
      <c r="E10" s="194" t="s">
        <v>46</v>
      </c>
      <c r="F10" s="195" t="s">
        <v>49</v>
      </c>
      <c r="G10" s="196">
        <v>0.25</v>
      </c>
      <c r="H10" s="197">
        <f t="shared" si="0"/>
        <v>0.10121457489878542</v>
      </c>
      <c r="I10" s="198">
        <v>200000</v>
      </c>
      <c r="J10" s="108"/>
      <c r="K10" s="108">
        <v>3550</v>
      </c>
      <c r="L10" s="199">
        <f t="shared" si="1"/>
        <v>203550</v>
      </c>
      <c r="M10" s="225">
        <f t="shared" si="2"/>
        <v>800000</v>
      </c>
    </row>
    <row r="11" spans="1:13" customFormat="1" x14ac:dyDescent="0.3">
      <c r="A11" s="34"/>
      <c r="B11" s="193">
        <v>5</v>
      </c>
      <c r="C11" s="200" t="s">
        <v>50</v>
      </c>
      <c r="D11" s="200" t="s">
        <v>51</v>
      </c>
      <c r="E11" s="194" t="s">
        <v>46</v>
      </c>
      <c r="F11" s="201" t="s">
        <v>52</v>
      </c>
      <c r="G11" s="202">
        <v>0.47</v>
      </c>
      <c r="H11" s="197">
        <f t="shared" si="0"/>
        <v>0.19028340080971656</v>
      </c>
      <c r="I11" s="198">
        <v>376000</v>
      </c>
      <c r="J11" s="108"/>
      <c r="K11" s="108">
        <f>4180+1920+3420</f>
        <v>9520</v>
      </c>
      <c r="L11" s="199">
        <f t="shared" si="1"/>
        <v>385520</v>
      </c>
      <c r="M11" s="225">
        <f t="shared" si="2"/>
        <v>800000</v>
      </c>
    </row>
    <row r="12" spans="1:13" customFormat="1" x14ac:dyDescent="0.3">
      <c r="A12" s="34"/>
      <c r="B12" s="193">
        <v>6</v>
      </c>
      <c r="C12" s="200" t="s">
        <v>53</v>
      </c>
      <c r="D12" s="200" t="s">
        <v>54</v>
      </c>
      <c r="E12" s="194" t="s">
        <v>46</v>
      </c>
      <c r="F12" s="201">
        <v>272</v>
      </c>
      <c r="G12" s="202">
        <v>0.69</v>
      </c>
      <c r="H12" s="197">
        <f t="shared" si="0"/>
        <v>0.27935222672064774</v>
      </c>
      <c r="I12" s="198">
        <v>552000</v>
      </c>
      <c r="J12" s="108"/>
      <c r="K12" s="108">
        <v>4600</v>
      </c>
      <c r="L12" s="199">
        <f t="shared" si="1"/>
        <v>556600</v>
      </c>
      <c r="M12" s="225">
        <f t="shared" si="2"/>
        <v>800000.00000000012</v>
      </c>
    </row>
    <row r="13" spans="1:13" customFormat="1" x14ac:dyDescent="0.3">
      <c r="A13" s="34"/>
      <c r="B13" s="193">
        <v>7</v>
      </c>
      <c r="C13" s="194" t="s">
        <v>55</v>
      </c>
      <c r="D13" s="194" t="s">
        <v>56</v>
      </c>
      <c r="E13" s="194" t="s">
        <v>46</v>
      </c>
      <c r="F13" s="195" t="s">
        <v>57</v>
      </c>
      <c r="G13" s="196">
        <v>0.12</v>
      </c>
      <c r="H13" s="197">
        <f t="shared" si="0"/>
        <v>4.8582995951416998E-2</v>
      </c>
      <c r="I13" s="198">
        <v>430000</v>
      </c>
      <c r="J13" s="108"/>
      <c r="K13" s="108">
        <v>16836</v>
      </c>
      <c r="L13" s="199">
        <f t="shared" si="1"/>
        <v>446836</v>
      </c>
      <c r="M13" s="225">
        <f t="shared" si="2"/>
        <v>3583333.3333333335</v>
      </c>
    </row>
    <row r="14" spans="1:13" customFormat="1" x14ac:dyDescent="0.3">
      <c r="A14" s="34"/>
      <c r="B14" s="193">
        <v>8</v>
      </c>
      <c r="C14" s="194" t="s">
        <v>55</v>
      </c>
      <c r="D14" s="194" t="s">
        <v>58</v>
      </c>
      <c r="E14" s="194" t="s">
        <v>46</v>
      </c>
      <c r="F14" s="195" t="s">
        <v>59</v>
      </c>
      <c r="G14" s="196">
        <v>0.11</v>
      </c>
      <c r="H14" s="197">
        <f t="shared" si="0"/>
        <v>4.4534412955465584E-2</v>
      </c>
      <c r="I14" s="198">
        <v>421000</v>
      </c>
      <c r="J14" s="108"/>
      <c r="K14" s="108">
        <v>6000</v>
      </c>
      <c r="L14" s="199">
        <f t="shared" si="1"/>
        <v>427000</v>
      </c>
      <c r="M14" s="225">
        <f t="shared" si="2"/>
        <v>3827272.7272727271</v>
      </c>
    </row>
    <row r="15" spans="1:13" customFormat="1" x14ac:dyDescent="0.3">
      <c r="A15" s="34"/>
      <c r="B15" s="193">
        <v>9</v>
      </c>
      <c r="C15" s="194" t="s">
        <v>60</v>
      </c>
      <c r="D15" s="194" t="s">
        <v>61</v>
      </c>
      <c r="E15" s="194" t="s">
        <v>46</v>
      </c>
      <c r="F15" s="195" t="s">
        <v>62</v>
      </c>
      <c r="G15" s="196">
        <v>0.23</v>
      </c>
      <c r="H15" s="197">
        <f t="shared" si="0"/>
        <v>9.3117408906882582E-2</v>
      </c>
      <c r="I15" s="198">
        <v>138000</v>
      </c>
      <c r="J15" s="108"/>
      <c r="K15" s="108">
        <v>3800</v>
      </c>
      <c r="L15" s="199">
        <f t="shared" si="1"/>
        <v>141800</v>
      </c>
      <c r="M15" s="225">
        <f t="shared" si="2"/>
        <v>600000</v>
      </c>
    </row>
    <row r="16" spans="1:13" customFormat="1" x14ac:dyDescent="0.3">
      <c r="A16" s="34"/>
      <c r="B16" s="193">
        <v>10</v>
      </c>
      <c r="C16" s="200" t="s">
        <v>63</v>
      </c>
      <c r="D16" s="200" t="s">
        <v>64</v>
      </c>
      <c r="E16" s="194" t="s">
        <v>46</v>
      </c>
      <c r="F16" s="201" t="s">
        <v>323</v>
      </c>
      <c r="G16" s="202">
        <f>0.3+0.24</f>
        <v>0.54</v>
      </c>
      <c r="H16" s="197">
        <f t="shared" si="0"/>
        <v>0.21862348178137653</v>
      </c>
      <c r="I16" s="198">
        <v>432000</v>
      </c>
      <c r="J16" s="108"/>
      <c r="K16" s="108">
        <v>11512</v>
      </c>
      <c r="L16" s="199">
        <f t="shared" si="1"/>
        <v>443512</v>
      </c>
      <c r="M16" s="225">
        <f t="shared" si="2"/>
        <v>800000</v>
      </c>
    </row>
    <row r="17" spans="1:13" customFormat="1" x14ac:dyDescent="0.3">
      <c r="A17" s="34"/>
      <c r="B17" s="193">
        <v>11</v>
      </c>
      <c r="C17" s="200" t="s">
        <v>63</v>
      </c>
      <c r="D17" s="200" t="s">
        <v>64</v>
      </c>
      <c r="E17" s="194" t="s">
        <v>46</v>
      </c>
      <c r="F17" s="201" t="s">
        <v>65</v>
      </c>
      <c r="G17" s="202">
        <v>0.34</v>
      </c>
      <c r="H17" s="197">
        <f t="shared" si="0"/>
        <v>0.13765182186234817</v>
      </c>
      <c r="I17" s="198">
        <v>272000</v>
      </c>
      <c r="J17" s="108"/>
      <c r="K17" s="108">
        <v>8950</v>
      </c>
      <c r="L17" s="199">
        <f t="shared" si="1"/>
        <v>280950</v>
      </c>
      <c r="M17" s="225">
        <f t="shared" si="2"/>
        <v>800000</v>
      </c>
    </row>
    <row r="18" spans="1:13" customFormat="1" x14ac:dyDescent="0.3">
      <c r="A18" s="34"/>
      <c r="B18" s="193">
        <v>12</v>
      </c>
      <c r="C18" s="194" t="s">
        <v>66</v>
      </c>
      <c r="D18" s="194" t="s">
        <v>67</v>
      </c>
      <c r="E18" s="194" t="s">
        <v>46</v>
      </c>
      <c r="F18" s="195" t="s">
        <v>68</v>
      </c>
      <c r="G18" s="196">
        <v>0.2</v>
      </c>
      <c r="H18" s="197">
        <f t="shared" si="0"/>
        <v>8.0971659919028341E-2</v>
      </c>
      <c r="I18" s="198">
        <v>160000</v>
      </c>
      <c r="J18" s="108"/>
      <c r="K18" s="108">
        <v>7720</v>
      </c>
      <c r="L18" s="199">
        <f t="shared" si="1"/>
        <v>167720</v>
      </c>
      <c r="M18" s="225">
        <f t="shared" si="2"/>
        <v>800000</v>
      </c>
    </row>
    <row r="19" spans="1:13" customFormat="1" x14ac:dyDescent="0.3">
      <c r="A19" s="34"/>
      <c r="B19" s="193">
        <v>13</v>
      </c>
      <c r="C19" s="194" t="s">
        <v>66</v>
      </c>
      <c r="D19" s="194" t="s">
        <v>67</v>
      </c>
      <c r="E19" s="194" t="s">
        <v>46</v>
      </c>
      <c r="F19" s="195" t="s">
        <v>68</v>
      </c>
      <c r="G19" s="196"/>
      <c r="H19" s="197"/>
      <c r="I19" s="198">
        <v>106000</v>
      </c>
      <c r="J19" s="108"/>
      <c r="K19" s="108"/>
      <c r="L19" s="199">
        <f t="shared" si="1"/>
        <v>106000</v>
      </c>
      <c r="M19" s="225" t="e">
        <f t="shared" si="2"/>
        <v>#DIV/0!</v>
      </c>
    </row>
    <row r="20" spans="1:13" customFormat="1" x14ac:dyDescent="0.3">
      <c r="A20" s="34"/>
      <c r="B20" s="193">
        <v>14</v>
      </c>
      <c r="C20" s="194" t="s">
        <v>181</v>
      </c>
      <c r="D20" s="194" t="s">
        <v>182</v>
      </c>
      <c r="E20" s="194" t="s">
        <v>46</v>
      </c>
      <c r="F20" s="195">
        <v>443</v>
      </c>
      <c r="G20" s="196">
        <v>1.46</v>
      </c>
      <c r="H20" s="197">
        <f t="shared" si="0"/>
        <v>0.5910931174089068</v>
      </c>
      <c r="I20" s="198">
        <v>1750000</v>
      </c>
      <c r="J20" s="108"/>
      <c r="K20" s="108">
        <v>33100</v>
      </c>
      <c r="L20" s="199">
        <f t="shared" si="1"/>
        <v>1783100</v>
      </c>
      <c r="M20" s="225">
        <f t="shared" si="2"/>
        <v>1198630.1369863015</v>
      </c>
    </row>
    <row r="21" spans="1:13" customFormat="1" x14ac:dyDescent="0.3">
      <c r="A21" s="34"/>
      <c r="B21" s="193">
        <v>15</v>
      </c>
      <c r="C21" s="194" t="s">
        <v>293</v>
      </c>
      <c r="D21" s="194" t="s">
        <v>183</v>
      </c>
      <c r="E21" s="194" t="s">
        <v>46</v>
      </c>
      <c r="F21" s="195" t="s">
        <v>184</v>
      </c>
      <c r="G21" s="196">
        <v>4.3999999999999997E-2</v>
      </c>
      <c r="H21" s="197">
        <f t="shared" si="0"/>
        <v>1.7813765182186234E-2</v>
      </c>
      <c r="I21" s="198">
        <v>443000</v>
      </c>
      <c r="J21" s="108"/>
      <c r="K21" s="108">
        <v>12140</v>
      </c>
      <c r="L21" s="199">
        <f t="shared" si="1"/>
        <v>455140</v>
      </c>
      <c r="M21" s="225">
        <f t="shared" si="2"/>
        <v>10068181.818181818</v>
      </c>
    </row>
    <row r="22" spans="1:13" customFormat="1" x14ac:dyDescent="0.3">
      <c r="A22" s="34"/>
      <c r="B22" s="193">
        <v>16</v>
      </c>
      <c r="C22" s="200" t="s">
        <v>294</v>
      </c>
      <c r="D22" s="200" t="s">
        <v>324</v>
      </c>
      <c r="E22" s="194" t="s">
        <v>46</v>
      </c>
      <c r="F22" s="201" t="s">
        <v>325</v>
      </c>
      <c r="G22" s="202">
        <v>0.39</v>
      </c>
      <c r="H22" s="197">
        <f t="shared" si="0"/>
        <v>0.15789473684210525</v>
      </c>
      <c r="I22" s="198">
        <v>1200000</v>
      </c>
      <c r="J22" s="108">
        <v>76300</v>
      </c>
      <c r="K22" s="108">
        <v>25000</v>
      </c>
      <c r="L22" s="199">
        <f t="shared" si="1"/>
        <v>1301300</v>
      </c>
      <c r="M22" s="225">
        <f t="shared" si="2"/>
        <v>3076923.076923077</v>
      </c>
    </row>
    <row r="23" spans="1:13" customFormat="1" x14ac:dyDescent="0.3">
      <c r="A23" s="34"/>
      <c r="B23" s="203"/>
      <c r="C23" s="200"/>
      <c r="D23" s="204" t="s">
        <v>326</v>
      </c>
      <c r="E23" s="205"/>
      <c r="F23" s="206"/>
      <c r="G23" s="202"/>
      <c r="H23" s="197">
        <f t="shared" si="0"/>
        <v>0</v>
      </c>
      <c r="I23" s="198"/>
      <c r="J23" s="108"/>
      <c r="K23" s="108"/>
      <c r="L23" s="199"/>
    </row>
    <row r="24" spans="1:13" customFormat="1" x14ac:dyDescent="0.3">
      <c r="A24" s="34"/>
      <c r="B24" s="203"/>
      <c r="C24" s="200"/>
      <c r="D24" s="200"/>
      <c r="E24" s="200"/>
      <c r="F24" s="201"/>
      <c r="G24" s="196"/>
      <c r="H24" s="197">
        <f t="shared" si="0"/>
        <v>0</v>
      </c>
      <c r="I24" s="198"/>
      <c r="J24" s="108"/>
      <c r="K24" s="108"/>
      <c r="L24" s="199">
        <f t="shared" si="1"/>
        <v>0</v>
      </c>
    </row>
    <row r="25" spans="1:13" customFormat="1" ht="15" thickBot="1" x14ac:dyDescent="0.35">
      <c r="A25" s="34"/>
      <c r="B25" s="207"/>
      <c r="C25" s="43"/>
      <c r="D25" s="44"/>
      <c r="E25" s="43"/>
      <c r="F25" s="45"/>
      <c r="G25" s="208">
        <f>SUM(G7:G24)</f>
        <v>6.6239999999999988</v>
      </c>
      <c r="H25" s="209">
        <f t="shared" si="0"/>
        <v>2.6817813765182179</v>
      </c>
      <c r="I25" s="210">
        <f>SUM(I7:I24)</f>
        <v>7380000</v>
      </c>
      <c r="J25" s="210">
        <f>SUM(J7:J24)</f>
        <v>76300</v>
      </c>
      <c r="K25" s="210">
        <f>SUM(K7:K24)</f>
        <v>156413</v>
      </c>
      <c r="L25" s="210">
        <f>SUM(L7:L24)</f>
        <v>7612713</v>
      </c>
    </row>
    <row r="26" spans="1:13" ht="18.75" customHeight="1" thickTop="1" x14ac:dyDescent="0.3">
      <c r="A26" s="46"/>
      <c r="B26" s="46"/>
      <c r="C26" s="46"/>
      <c r="D26" s="46"/>
      <c r="E26" s="47"/>
      <c r="F26" s="48"/>
      <c r="G26" s="171"/>
      <c r="H26" s="62"/>
      <c r="I26" s="62"/>
      <c r="J26" s="62"/>
    </row>
    <row r="27" spans="1:13" x14ac:dyDescent="0.3">
      <c r="A27" s="169"/>
      <c r="F27" s="168"/>
      <c r="J27" s="59" t="s">
        <v>327</v>
      </c>
      <c r="L27" s="34">
        <v>112087</v>
      </c>
    </row>
    <row r="28" spans="1:13" x14ac:dyDescent="0.3">
      <c r="A28" s="169"/>
      <c r="C28" s="118"/>
      <c r="D28" s="118"/>
      <c r="F28" s="168"/>
      <c r="J28" s="59" t="s">
        <v>326</v>
      </c>
      <c r="L28" s="34">
        <v>652887</v>
      </c>
    </row>
    <row r="29" spans="1:13" x14ac:dyDescent="0.3">
      <c r="A29" s="169"/>
      <c r="C29" s="118"/>
      <c r="D29" s="118"/>
      <c r="F29" s="168"/>
      <c r="J29" s="59" t="s">
        <v>31</v>
      </c>
      <c r="L29" s="34">
        <f>799154+1690</f>
        <v>800844</v>
      </c>
    </row>
    <row r="30" spans="1:13" x14ac:dyDescent="0.3">
      <c r="A30" s="169"/>
      <c r="C30" s="118"/>
      <c r="D30" s="118"/>
      <c r="F30" s="168"/>
    </row>
    <row r="31" spans="1:13" x14ac:dyDescent="0.3">
      <c r="K31" s="33" t="s">
        <v>16</v>
      </c>
      <c r="L31" s="211">
        <f>SUM(L25:L29)</f>
        <v>9178531</v>
      </c>
    </row>
    <row r="32" spans="1:13" x14ac:dyDescent="0.3">
      <c r="L32" s="173"/>
    </row>
    <row r="33" spans="6:12" x14ac:dyDescent="0.3">
      <c r="L33" s="173"/>
    </row>
    <row r="34" spans="6:12" x14ac:dyDescent="0.3">
      <c r="L34" s="173"/>
    </row>
    <row r="35" spans="6:12" x14ac:dyDescent="0.3">
      <c r="F35" s="170"/>
    </row>
  </sheetData>
  <pageMargins left="0.54" right="0.15" top="0.52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workbookViewId="0">
      <selection activeCell="L24" sqref="L24"/>
    </sheetView>
  </sheetViews>
  <sheetFormatPr defaultColWidth="9.109375" defaultRowHeight="14.4" x14ac:dyDescent="0.3"/>
  <cols>
    <col min="1" max="1" width="9.109375" style="34"/>
    <col min="2" max="2" width="10.5546875" style="34" customWidth="1"/>
    <col min="3" max="3" width="21.88671875" style="34" bestFit="1" customWidth="1"/>
    <col min="4" max="4" width="11.5546875" style="34" bestFit="1" customWidth="1"/>
    <col min="5" max="5" width="16.88671875" style="35" bestFit="1" customWidth="1"/>
    <col min="6" max="6" width="9.5546875" style="34" bestFit="1" customWidth="1"/>
    <col min="7" max="7" width="10.5546875" style="59" bestFit="1" customWidth="1"/>
    <col min="8" max="8" width="9.5546875" style="59" bestFit="1" customWidth="1"/>
    <col min="9" max="9" width="15.6640625" style="59" customWidth="1"/>
    <col min="10" max="10" width="9.6640625" style="59" bestFit="1" customWidth="1"/>
    <col min="11" max="11" width="10.5546875" style="59" bestFit="1" customWidth="1"/>
    <col min="12" max="16384" width="9.109375" style="34"/>
  </cols>
  <sheetData>
    <row r="2" spans="1:12" ht="15" x14ac:dyDescent="0.25">
      <c r="A2" s="33" t="s">
        <v>34</v>
      </c>
    </row>
    <row r="3" spans="1:12" ht="15" x14ac:dyDescent="0.25">
      <c r="A3" s="33" t="s">
        <v>35</v>
      </c>
    </row>
    <row r="4" spans="1:12" ht="15" x14ac:dyDescent="0.25">
      <c r="A4" s="33" t="s">
        <v>188</v>
      </c>
    </row>
    <row r="5" spans="1:12" ht="15" x14ac:dyDescent="0.25">
      <c r="A5" s="76" t="s">
        <v>116</v>
      </c>
      <c r="F5" s="49"/>
      <c r="G5" s="63"/>
      <c r="H5" s="62"/>
    </row>
    <row r="6" spans="1:12" ht="15" x14ac:dyDescent="0.25">
      <c r="A6" s="33"/>
      <c r="F6" s="49"/>
      <c r="G6" s="63"/>
      <c r="H6" s="62"/>
    </row>
    <row r="7" spans="1:12" ht="28.8" x14ac:dyDescent="0.3">
      <c r="A7" s="36" t="s">
        <v>69</v>
      </c>
      <c r="B7" s="36" t="s">
        <v>11</v>
      </c>
      <c r="C7" s="36" t="s">
        <v>117</v>
      </c>
      <c r="D7" s="36" t="s">
        <v>38</v>
      </c>
      <c r="E7" s="37" t="s">
        <v>39</v>
      </c>
      <c r="F7" s="36" t="s">
        <v>113</v>
      </c>
      <c r="G7" s="60" t="s">
        <v>12</v>
      </c>
      <c r="H7" s="60" t="s">
        <v>40</v>
      </c>
      <c r="I7" s="60" t="s">
        <v>70</v>
      </c>
      <c r="J7" s="60" t="s">
        <v>71</v>
      </c>
      <c r="K7" s="60" t="s">
        <v>16</v>
      </c>
      <c r="L7" s="227" t="s">
        <v>191</v>
      </c>
    </row>
    <row r="8" spans="1:12" ht="15" x14ac:dyDescent="0.25">
      <c r="A8" s="77">
        <v>1</v>
      </c>
      <c r="B8" s="39" t="s">
        <v>72</v>
      </c>
      <c r="C8" s="39" t="s">
        <v>73</v>
      </c>
      <c r="D8" s="39" t="s">
        <v>74</v>
      </c>
      <c r="E8" s="40" t="s">
        <v>75</v>
      </c>
      <c r="F8" s="41">
        <v>0.05</v>
      </c>
      <c r="G8" s="61">
        <v>60000</v>
      </c>
      <c r="H8" s="61">
        <v>7860</v>
      </c>
      <c r="I8" s="61">
        <v>2058</v>
      </c>
      <c r="J8" s="61">
        <v>0</v>
      </c>
      <c r="K8" s="61">
        <f>SUM(G8:J8)</f>
        <v>69918</v>
      </c>
      <c r="L8" s="34">
        <f>G8/F8</f>
        <v>1200000</v>
      </c>
    </row>
    <row r="9" spans="1:12" ht="15" x14ac:dyDescent="0.25">
      <c r="A9" s="77">
        <v>2</v>
      </c>
      <c r="B9" s="39" t="s">
        <v>72</v>
      </c>
      <c r="C9" s="39" t="s">
        <v>76</v>
      </c>
      <c r="D9" s="39" t="s">
        <v>74</v>
      </c>
      <c r="E9" s="40" t="s">
        <v>77</v>
      </c>
      <c r="F9" s="41">
        <v>0.05</v>
      </c>
      <c r="G9" s="61">
        <v>60000</v>
      </c>
      <c r="H9" s="61">
        <v>7860</v>
      </c>
      <c r="I9" s="61">
        <v>2058</v>
      </c>
      <c r="J9" s="61">
        <v>0</v>
      </c>
      <c r="K9" s="61">
        <f t="shared" ref="K9:K20" si="0">SUM(G9:J9)</f>
        <v>69918</v>
      </c>
      <c r="L9" s="34">
        <f t="shared" ref="L9:L20" si="1">G9/F9</f>
        <v>1200000</v>
      </c>
    </row>
    <row r="10" spans="1:12" ht="15" x14ac:dyDescent="0.25">
      <c r="A10" s="77">
        <v>3</v>
      </c>
      <c r="B10" s="39" t="s">
        <v>72</v>
      </c>
      <c r="C10" s="39" t="s">
        <v>78</v>
      </c>
      <c r="D10" s="39" t="s">
        <v>74</v>
      </c>
      <c r="E10" s="40" t="s">
        <v>79</v>
      </c>
      <c r="F10" s="41">
        <v>7.0000000000000007E-2</v>
      </c>
      <c r="G10" s="61">
        <v>84000</v>
      </c>
      <c r="H10" s="61">
        <v>11000</v>
      </c>
      <c r="I10" s="61">
        <v>2626</v>
      </c>
      <c r="J10" s="61">
        <v>0</v>
      </c>
      <c r="K10" s="61">
        <f t="shared" si="0"/>
        <v>97626</v>
      </c>
      <c r="L10" s="34">
        <f t="shared" si="1"/>
        <v>1200000</v>
      </c>
    </row>
    <row r="11" spans="1:12" ht="15" x14ac:dyDescent="0.25">
      <c r="A11" s="77">
        <v>4</v>
      </c>
      <c r="B11" s="39" t="s">
        <v>72</v>
      </c>
      <c r="C11" s="39" t="s">
        <v>80</v>
      </c>
      <c r="D11" s="39" t="s">
        <v>74</v>
      </c>
      <c r="E11" s="40" t="s">
        <v>81</v>
      </c>
      <c r="F11" s="41">
        <v>0.17</v>
      </c>
      <c r="G11" s="61">
        <v>204000</v>
      </c>
      <c r="H11" s="61">
        <v>13840</v>
      </c>
      <c r="I11" s="61">
        <v>3112</v>
      </c>
      <c r="J11" s="61">
        <v>0</v>
      </c>
      <c r="K11" s="61">
        <f t="shared" si="0"/>
        <v>220952</v>
      </c>
      <c r="L11" s="34">
        <f t="shared" si="1"/>
        <v>1200000</v>
      </c>
    </row>
    <row r="12" spans="1:12" ht="15" x14ac:dyDescent="0.25">
      <c r="A12" s="77">
        <v>5</v>
      </c>
      <c r="B12" s="39" t="s">
        <v>93</v>
      </c>
      <c r="C12" s="39" t="s">
        <v>94</v>
      </c>
      <c r="D12" s="39" t="s">
        <v>74</v>
      </c>
      <c r="E12" s="40" t="s">
        <v>95</v>
      </c>
      <c r="F12" s="41">
        <v>0.66</v>
      </c>
      <c r="G12" s="61">
        <v>792000</v>
      </c>
      <c r="H12" s="61">
        <v>53700</v>
      </c>
      <c r="I12" s="61">
        <v>10376</v>
      </c>
      <c r="J12" s="61">
        <v>0</v>
      </c>
      <c r="K12" s="61">
        <f t="shared" si="0"/>
        <v>856076</v>
      </c>
      <c r="L12" s="34">
        <f t="shared" si="1"/>
        <v>1200000</v>
      </c>
    </row>
    <row r="13" spans="1:12" ht="15" x14ac:dyDescent="0.25">
      <c r="A13" s="77">
        <v>6</v>
      </c>
      <c r="B13" s="39" t="s">
        <v>93</v>
      </c>
      <c r="C13" s="39" t="s">
        <v>96</v>
      </c>
      <c r="D13" s="39" t="s">
        <v>74</v>
      </c>
      <c r="E13" s="40" t="s">
        <v>97</v>
      </c>
      <c r="F13" s="41">
        <v>0.2</v>
      </c>
      <c r="G13" s="61">
        <v>240000</v>
      </c>
      <c r="H13" s="65">
        <v>16300</v>
      </c>
      <c r="I13" s="61">
        <v>3750</v>
      </c>
      <c r="J13" s="61"/>
      <c r="K13" s="61">
        <f t="shared" si="0"/>
        <v>260050</v>
      </c>
      <c r="L13" s="34">
        <f t="shared" si="1"/>
        <v>1200000</v>
      </c>
    </row>
    <row r="14" spans="1:12" ht="15" x14ac:dyDescent="0.25">
      <c r="A14" s="77">
        <v>7</v>
      </c>
      <c r="B14" s="39" t="s">
        <v>98</v>
      </c>
      <c r="C14" s="39" t="s">
        <v>99</v>
      </c>
      <c r="D14" s="39" t="s">
        <v>74</v>
      </c>
      <c r="E14" s="40" t="s">
        <v>100</v>
      </c>
      <c r="F14" s="41">
        <v>0.3</v>
      </c>
      <c r="G14" s="61">
        <v>360000</v>
      </c>
      <c r="H14" s="61">
        <v>24400</v>
      </c>
      <c r="I14" s="61">
        <v>5690</v>
      </c>
      <c r="J14" s="61"/>
      <c r="K14" s="61">
        <f t="shared" si="0"/>
        <v>390090</v>
      </c>
      <c r="L14" s="34">
        <f t="shared" si="1"/>
        <v>1200000</v>
      </c>
    </row>
    <row r="15" spans="1:12" ht="15" x14ac:dyDescent="0.25">
      <c r="A15" s="77">
        <v>8</v>
      </c>
      <c r="B15" s="39" t="s">
        <v>98</v>
      </c>
      <c r="C15" s="39" t="s">
        <v>76</v>
      </c>
      <c r="D15" s="39" t="s">
        <v>74</v>
      </c>
      <c r="E15" s="40" t="s">
        <v>101</v>
      </c>
      <c r="F15" s="41">
        <v>0.22</v>
      </c>
      <c r="G15" s="61">
        <v>264000</v>
      </c>
      <c r="H15" s="61">
        <v>17900</v>
      </c>
      <c r="I15" s="61">
        <v>4422</v>
      </c>
      <c r="J15" s="61"/>
      <c r="K15" s="61">
        <f t="shared" si="0"/>
        <v>286322</v>
      </c>
      <c r="L15" s="34">
        <f t="shared" si="1"/>
        <v>1200000</v>
      </c>
    </row>
    <row r="16" spans="1:12" ht="15" x14ac:dyDescent="0.25">
      <c r="A16" s="77">
        <v>9</v>
      </c>
      <c r="B16" s="39" t="s">
        <v>102</v>
      </c>
      <c r="C16" s="39" t="s">
        <v>78</v>
      </c>
      <c r="D16" s="39" t="s">
        <v>74</v>
      </c>
      <c r="E16" s="40" t="s">
        <v>103</v>
      </c>
      <c r="F16" s="41">
        <v>0.22</v>
      </c>
      <c r="G16" s="61">
        <v>264000</v>
      </c>
      <c r="H16" s="61">
        <v>17900</v>
      </c>
      <c r="I16" s="61">
        <v>4422</v>
      </c>
      <c r="J16" s="61"/>
      <c r="K16" s="61">
        <f t="shared" si="0"/>
        <v>286322</v>
      </c>
      <c r="L16" s="34">
        <f t="shared" si="1"/>
        <v>1200000</v>
      </c>
    </row>
    <row r="17" spans="1:12" ht="15" x14ac:dyDescent="0.25">
      <c r="A17" s="77">
        <v>10</v>
      </c>
      <c r="B17" s="39" t="s">
        <v>102</v>
      </c>
      <c r="C17" s="39" t="s">
        <v>104</v>
      </c>
      <c r="D17" s="39" t="s">
        <v>74</v>
      </c>
      <c r="E17" s="40" t="s">
        <v>105</v>
      </c>
      <c r="F17" s="41">
        <v>0.22</v>
      </c>
      <c r="G17" s="61">
        <v>264000</v>
      </c>
      <c r="H17" s="61">
        <v>17900</v>
      </c>
      <c r="I17" s="61">
        <v>4422</v>
      </c>
      <c r="J17" s="61"/>
      <c r="K17" s="61">
        <f t="shared" si="0"/>
        <v>286322</v>
      </c>
      <c r="L17" s="34">
        <f t="shared" si="1"/>
        <v>1200000</v>
      </c>
    </row>
    <row r="18" spans="1:12" ht="15" x14ac:dyDescent="0.25">
      <c r="A18" s="77">
        <v>11</v>
      </c>
      <c r="B18" s="39" t="s">
        <v>106</v>
      </c>
      <c r="C18" s="39" t="s">
        <v>107</v>
      </c>
      <c r="D18" s="39" t="s">
        <v>74</v>
      </c>
      <c r="E18" s="40" t="s">
        <v>108</v>
      </c>
      <c r="F18" s="41">
        <f>0.07+0.09+0.66</f>
        <v>0.82000000000000006</v>
      </c>
      <c r="G18" s="61">
        <v>984000</v>
      </c>
      <c r="H18" s="61">
        <v>66700</v>
      </c>
      <c r="I18" s="61">
        <v>13152</v>
      </c>
      <c r="J18" s="61"/>
      <c r="K18" s="61">
        <f t="shared" si="0"/>
        <v>1063852</v>
      </c>
      <c r="L18" s="34">
        <f t="shared" si="1"/>
        <v>1200000</v>
      </c>
    </row>
    <row r="19" spans="1:12" ht="15" x14ac:dyDescent="0.25">
      <c r="A19" s="39">
        <v>12</v>
      </c>
      <c r="B19" s="39" t="s">
        <v>185</v>
      </c>
      <c r="C19" s="39" t="s">
        <v>186</v>
      </c>
      <c r="D19" s="39" t="s">
        <v>74</v>
      </c>
      <c r="E19" s="40" t="s">
        <v>187</v>
      </c>
      <c r="F19" s="41">
        <v>0.19400000000000001</v>
      </c>
      <c r="G19" s="65">
        <v>600000</v>
      </c>
      <c r="H19" s="65">
        <v>39000</v>
      </c>
      <c r="I19" s="65">
        <v>14100</v>
      </c>
      <c r="J19" s="65"/>
      <c r="K19" s="65">
        <f t="shared" si="0"/>
        <v>653100</v>
      </c>
      <c r="L19" s="34">
        <f t="shared" si="1"/>
        <v>3092783.505154639</v>
      </c>
    </row>
    <row r="20" spans="1:12" ht="15" x14ac:dyDescent="0.25">
      <c r="A20" s="39"/>
      <c r="B20" s="39"/>
      <c r="C20" s="242" t="s">
        <v>16</v>
      </c>
      <c r="D20" s="243"/>
      <c r="E20" s="243"/>
      <c r="F20" s="104">
        <f>SUM(F8:F19)</f>
        <v>3.1740000000000004</v>
      </c>
      <c r="G20" s="64">
        <f>SUM(G8:G19)</f>
        <v>4176000</v>
      </c>
      <c r="H20" s="64">
        <f t="shared" ref="H20:J20" si="2">SUM(H8:H19)</f>
        <v>294360</v>
      </c>
      <c r="I20" s="64">
        <f t="shared" si="2"/>
        <v>70188</v>
      </c>
      <c r="J20" s="64">
        <f t="shared" si="2"/>
        <v>0</v>
      </c>
      <c r="K20" s="64">
        <f t="shared" si="0"/>
        <v>4540548</v>
      </c>
      <c r="L20" s="34">
        <f t="shared" si="1"/>
        <v>1315689.9810964081</v>
      </c>
    </row>
    <row r="21" spans="1:12" ht="15" x14ac:dyDescent="0.25">
      <c r="A21" s="118"/>
      <c r="B21" s="118"/>
      <c r="C21" s="244" t="s">
        <v>217</v>
      </c>
      <c r="D21" s="244"/>
      <c r="E21" s="244"/>
      <c r="F21" s="244"/>
      <c r="G21" s="244"/>
      <c r="H21" s="244"/>
      <c r="I21" s="244"/>
      <c r="J21" s="244"/>
      <c r="K21" s="62">
        <v>28034</v>
      </c>
    </row>
    <row r="22" spans="1:12" ht="15" x14ac:dyDescent="0.25">
      <c r="A22" s="118"/>
      <c r="B22" s="118"/>
      <c r="C22" s="240" t="s">
        <v>218</v>
      </c>
      <c r="D22" s="240"/>
      <c r="E22" s="240"/>
      <c r="F22" s="240"/>
      <c r="G22" s="240"/>
      <c r="H22" s="240"/>
      <c r="I22" s="240"/>
      <c r="J22" s="240"/>
      <c r="K22" s="62">
        <v>43057</v>
      </c>
    </row>
    <row r="23" spans="1:12" x14ac:dyDescent="0.3">
      <c r="A23" s="118"/>
      <c r="B23" s="118"/>
      <c r="C23" s="240" t="s">
        <v>219</v>
      </c>
      <c r="D23" s="240"/>
      <c r="E23" s="240"/>
      <c r="F23" s="240"/>
      <c r="G23" s="240"/>
      <c r="H23" s="240"/>
      <c r="I23" s="240"/>
      <c r="J23" s="240"/>
      <c r="K23" s="62">
        <f>40000+40000</f>
        <v>80000</v>
      </c>
    </row>
    <row r="24" spans="1:12" x14ac:dyDescent="0.3">
      <c r="A24" s="118"/>
      <c r="B24" s="118"/>
      <c r="C24" s="240" t="s">
        <v>221</v>
      </c>
      <c r="D24" s="240"/>
      <c r="E24" s="240"/>
      <c r="F24" s="240"/>
      <c r="G24" s="240"/>
      <c r="H24" s="240"/>
      <c r="I24" s="240"/>
      <c r="J24" s="240"/>
      <c r="K24" s="62">
        <v>288943</v>
      </c>
    </row>
    <row r="25" spans="1:12" x14ac:dyDescent="0.3">
      <c r="A25" s="118"/>
      <c r="B25" s="118"/>
      <c r="C25" s="240" t="s">
        <v>220</v>
      </c>
      <c r="D25" s="240"/>
      <c r="E25" s="240"/>
      <c r="F25" s="240"/>
      <c r="G25" s="240"/>
      <c r="H25" s="240"/>
      <c r="I25" s="240"/>
      <c r="J25" s="240"/>
      <c r="K25" s="62">
        <v>14447</v>
      </c>
    </row>
    <row r="26" spans="1:12" x14ac:dyDescent="0.3">
      <c r="C26" s="241"/>
      <c r="D26" s="241"/>
      <c r="E26" s="241"/>
      <c r="F26" s="241"/>
      <c r="G26" s="241" t="s">
        <v>216</v>
      </c>
      <c r="H26" s="241"/>
      <c r="I26" s="241"/>
      <c r="J26" s="241"/>
    </row>
    <row r="27" spans="1:12" ht="15" thickBot="1" x14ac:dyDescent="0.35">
      <c r="G27" s="35"/>
      <c r="H27" s="34"/>
      <c r="K27" s="113">
        <f>SUM(K20:K26)</f>
        <v>4995029</v>
      </c>
    </row>
  </sheetData>
  <mergeCells count="7">
    <mergeCell ref="C25:J25"/>
    <mergeCell ref="C26:J26"/>
    <mergeCell ref="C20:E20"/>
    <mergeCell ref="C21:J21"/>
    <mergeCell ref="C22:J22"/>
    <mergeCell ref="C23:J23"/>
    <mergeCell ref="C24:J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N12" sqref="N12"/>
    </sheetView>
  </sheetViews>
  <sheetFormatPr defaultColWidth="9.109375" defaultRowHeight="14.4" x14ac:dyDescent="0.3"/>
  <cols>
    <col min="1" max="1" width="6" style="34" customWidth="1"/>
    <col min="2" max="2" width="10.5546875" style="34" bestFit="1" customWidth="1"/>
    <col min="3" max="3" width="20.6640625" style="34" bestFit="1" customWidth="1"/>
    <col min="4" max="4" width="12.44140625" style="34" customWidth="1"/>
    <col min="5" max="5" width="9" style="35" bestFit="1" customWidth="1"/>
    <col min="6" max="6" width="7.88671875" style="34" customWidth="1"/>
    <col min="7" max="7" width="12.109375" style="105" bestFit="1" customWidth="1"/>
    <col min="8" max="8" width="11.88671875" style="105" customWidth="1"/>
    <col min="9" max="9" width="14" style="105" customWidth="1"/>
    <col min="10" max="10" width="9.5546875" style="105" bestFit="1" customWidth="1"/>
    <col min="11" max="11" width="10.6640625" style="105" customWidth="1"/>
    <col min="12" max="12" width="10.44140625" style="105" bestFit="1" customWidth="1"/>
    <col min="13" max="13" width="12.109375" style="34" bestFit="1" customWidth="1"/>
    <col min="14" max="16384" width="9.109375" style="34"/>
  </cols>
  <sheetData>
    <row r="2" spans="1:14" ht="15" x14ac:dyDescent="0.25">
      <c r="A2" s="33" t="s">
        <v>34</v>
      </c>
    </row>
    <row r="3" spans="1:14" ht="15" x14ac:dyDescent="0.25">
      <c r="A3" s="33"/>
    </row>
    <row r="4" spans="1:14" ht="15" x14ac:dyDescent="0.25">
      <c r="A4" s="33" t="s">
        <v>273</v>
      </c>
    </row>
    <row r="5" spans="1:14" s="137" customFormat="1" ht="39" customHeight="1" x14ac:dyDescent="0.3">
      <c r="A5" s="125" t="s">
        <v>36</v>
      </c>
      <c r="B5" s="125" t="s">
        <v>11</v>
      </c>
      <c r="C5" s="125" t="s">
        <v>37</v>
      </c>
      <c r="D5" s="125" t="s">
        <v>38</v>
      </c>
      <c r="E5" s="125" t="s">
        <v>39</v>
      </c>
      <c r="F5" s="125" t="s">
        <v>190</v>
      </c>
      <c r="G5" s="136" t="s">
        <v>2</v>
      </c>
      <c r="H5" s="136" t="s">
        <v>230</v>
      </c>
      <c r="I5" s="136" t="s">
        <v>232</v>
      </c>
      <c r="J5" s="136" t="s">
        <v>40</v>
      </c>
      <c r="K5" s="136" t="s">
        <v>41</v>
      </c>
      <c r="L5" s="136" t="s">
        <v>274</v>
      </c>
      <c r="M5" s="125" t="s">
        <v>201</v>
      </c>
      <c r="N5" s="228" t="s">
        <v>191</v>
      </c>
    </row>
    <row r="6" spans="1:14" ht="15" x14ac:dyDescent="0.25">
      <c r="A6" s="77">
        <v>1</v>
      </c>
      <c r="B6" s="39" t="s">
        <v>202</v>
      </c>
      <c r="C6" s="39" t="s">
        <v>203</v>
      </c>
      <c r="D6" s="39" t="s">
        <v>204</v>
      </c>
      <c r="E6" s="115" t="s">
        <v>205</v>
      </c>
      <c r="F6" s="138">
        <v>0.5</v>
      </c>
      <c r="G6" s="108">
        <v>775000</v>
      </c>
      <c r="H6" s="108">
        <v>0</v>
      </c>
      <c r="I6" s="108">
        <f t="shared" ref="I6:I13" si="0">+G6+H6</f>
        <v>775000</v>
      </c>
      <c r="J6" s="108">
        <v>36500</v>
      </c>
      <c r="K6" s="109">
        <v>13500</v>
      </c>
      <c r="L6" s="139">
        <f t="shared" ref="L6:L11" si="1">(25000*F6)*111.11%</f>
        <v>13888.75</v>
      </c>
      <c r="M6" s="114">
        <f>+I6+J6+K6+L6</f>
        <v>838888.75</v>
      </c>
      <c r="N6" s="34">
        <f>G6/F6</f>
        <v>1550000</v>
      </c>
    </row>
    <row r="7" spans="1:14" ht="15" x14ac:dyDescent="0.25">
      <c r="A7" s="77">
        <v>2</v>
      </c>
      <c r="B7" s="39" t="s">
        <v>202</v>
      </c>
      <c r="C7" s="39" t="s">
        <v>206</v>
      </c>
      <c r="D7" s="39" t="s">
        <v>204</v>
      </c>
      <c r="E7" s="40" t="s">
        <v>207</v>
      </c>
      <c r="F7" s="138">
        <v>0.68</v>
      </c>
      <c r="G7" s="108">
        <v>1054000</v>
      </c>
      <c r="H7" s="108">
        <v>0</v>
      </c>
      <c r="I7" s="108">
        <f t="shared" si="0"/>
        <v>1054000</v>
      </c>
      <c r="J7" s="108">
        <v>49460</v>
      </c>
      <c r="K7" s="108">
        <v>15120</v>
      </c>
      <c r="L7" s="139">
        <f t="shared" si="1"/>
        <v>18888.7</v>
      </c>
      <c r="M7" s="114">
        <f t="shared" ref="M7:M13" si="2">+I7+J7+K7+L7</f>
        <v>1137468.7</v>
      </c>
      <c r="N7" s="34">
        <f t="shared" ref="N7:N14" si="3">G7/F7</f>
        <v>1550000</v>
      </c>
    </row>
    <row r="8" spans="1:14" ht="15" x14ac:dyDescent="0.25">
      <c r="A8" s="77">
        <v>3</v>
      </c>
      <c r="B8" s="39" t="s">
        <v>202</v>
      </c>
      <c r="C8" s="39" t="s">
        <v>208</v>
      </c>
      <c r="D8" s="39" t="s">
        <v>204</v>
      </c>
      <c r="E8" s="115" t="s">
        <v>209</v>
      </c>
      <c r="F8" s="138">
        <v>2.4</v>
      </c>
      <c r="G8" s="108">
        <v>3900000</v>
      </c>
      <c r="H8" s="108">
        <v>0</v>
      </c>
      <c r="I8" s="108">
        <f t="shared" si="0"/>
        <v>3900000</v>
      </c>
      <c r="J8" s="108">
        <v>173300</v>
      </c>
      <c r="K8" s="108">
        <v>30600</v>
      </c>
      <c r="L8" s="139">
        <f>(25000*F8)*111.11%+1</f>
        <v>66667</v>
      </c>
      <c r="M8" s="114">
        <f t="shared" si="2"/>
        <v>4170567</v>
      </c>
      <c r="N8" s="34">
        <f t="shared" si="3"/>
        <v>1625000</v>
      </c>
    </row>
    <row r="9" spans="1:14" ht="15" x14ac:dyDescent="0.25">
      <c r="A9" s="119">
        <v>4</v>
      </c>
      <c r="B9" s="101" t="s">
        <v>275</v>
      </c>
      <c r="C9" s="101" t="s">
        <v>276</v>
      </c>
      <c r="D9" s="39" t="s">
        <v>204</v>
      </c>
      <c r="E9" s="130" t="s">
        <v>277</v>
      </c>
      <c r="F9" s="140">
        <v>0.39</v>
      </c>
      <c r="G9" s="108">
        <v>975000</v>
      </c>
      <c r="H9" s="110">
        <v>1273000</v>
      </c>
      <c r="I9" s="108">
        <f t="shared" si="0"/>
        <v>2248000</v>
      </c>
      <c r="J9" s="110">
        <v>61500</v>
      </c>
      <c r="K9" s="108">
        <v>21050</v>
      </c>
      <c r="L9" s="139">
        <f t="shared" si="1"/>
        <v>10833.225</v>
      </c>
      <c r="M9" s="114">
        <f t="shared" si="2"/>
        <v>2341383.2250000001</v>
      </c>
      <c r="N9" s="34">
        <f t="shared" si="3"/>
        <v>2500000</v>
      </c>
    </row>
    <row r="10" spans="1:14" ht="15" x14ac:dyDescent="0.25">
      <c r="A10" s="119">
        <v>5</v>
      </c>
      <c r="B10" s="101" t="s">
        <v>278</v>
      </c>
      <c r="C10" s="101" t="s">
        <v>279</v>
      </c>
      <c r="D10" s="39" t="s">
        <v>204</v>
      </c>
      <c r="E10" s="130" t="s">
        <v>280</v>
      </c>
      <c r="F10" s="140">
        <v>0.39</v>
      </c>
      <c r="G10" s="110">
        <v>975000</v>
      </c>
      <c r="H10" s="110">
        <v>1525000</v>
      </c>
      <c r="I10" s="108">
        <f t="shared" si="0"/>
        <v>2500000</v>
      </c>
      <c r="J10" s="110">
        <v>61500</v>
      </c>
      <c r="K10" s="108">
        <v>21550</v>
      </c>
      <c r="L10" s="139">
        <f t="shared" si="1"/>
        <v>10833.225</v>
      </c>
      <c r="M10" s="114">
        <f t="shared" si="2"/>
        <v>2593883.2250000001</v>
      </c>
      <c r="N10" s="34">
        <f t="shared" si="3"/>
        <v>2500000</v>
      </c>
    </row>
    <row r="11" spans="1:14" s="148" customFormat="1" ht="28.8" x14ac:dyDescent="0.3">
      <c r="A11" s="141">
        <v>6</v>
      </c>
      <c r="B11" s="142" t="s">
        <v>281</v>
      </c>
      <c r="C11" s="143" t="s">
        <v>282</v>
      </c>
      <c r="D11" s="144" t="s">
        <v>204</v>
      </c>
      <c r="E11" s="145" t="s">
        <v>283</v>
      </c>
      <c r="F11" s="146">
        <v>0.98</v>
      </c>
      <c r="G11" s="147">
        <v>2500000</v>
      </c>
      <c r="H11" s="147">
        <v>1000000</v>
      </c>
      <c r="I11" s="139">
        <f t="shared" si="0"/>
        <v>3500000</v>
      </c>
      <c r="J11" s="147">
        <v>157500</v>
      </c>
      <c r="K11" s="139">
        <v>49000</v>
      </c>
      <c r="L11" s="139">
        <f t="shared" si="1"/>
        <v>27221.95</v>
      </c>
      <c r="M11" s="114">
        <f t="shared" si="2"/>
        <v>3733721.95</v>
      </c>
      <c r="N11" s="34">
        <f t="shared" si="3"/>
        <v>2551020.4081632653</v>
      </c>
    </row>
    <row r="12" spans="1:14" ht="15" x14ac:dyDescent="0.25">
      <c r="A12" s="119">
        <v>7</v>
      </c>
      <c r="B12" s="101" t="s">
        <v>285</v>
      </c>
      <c r="C12" s="164" t="s">
        <v>286</v>
      </c>
      <c r="D12" s="39" t="s">
        <v>204</v>
      </c>
      <c r="E12" s="130" t="s">
        <v>287</v>
      </c>
      <c r="F12" s="140">
        <v>0.56000000000000005</v>
      </c>
      <c r="G12" s="110">
        <v>1400000</v>
      </c>
      <c r="H12" s="110">
        <v>2184000</v>
      </c>
      <c r="I12" s="139">
        <f t="shared" si="0"/>
        <v>3584000</v>
      </c>
      <c r="J12" s="110">
        <v>88900</v>
      </c>
      <c r="K12" s="108">
        <v>69000</v>
      </c>
      <c r="L12" s="108">
        <v>27778</v>
      </c>
      <c r="M12" s="114">
        <f t="shared" si="2"/>
        <v>3769678</v>
      </c>
      <c r="N12" s="34">
        <f t="shared" si="3"/>
        <v>2499999.9999999995</v>
      </c>
    </row>
    <row r="13" spans="1:14" ht="15" x14ac:dyDescent="0.25">
      <c r="A13" s="119">
        <v>8</v>
      </c>
      <c r="B13" s="172">
        <v>42081</v>
      </c>
      <c r="C13" s="164" t="s">
        <v>295</v>
      </c>
      <c r="D13" s="39" t="s">
        <v>204</v>
      </c>
      <c r="E13" s="130" t="s">
        <v>296</v>
      </c>
      <c r="F13" s="140">
        <v>1.37</v>
      </c>
      <c r="G13" s="110">
        <v>1637000</v>
      </c>
      <c r="H13" s="110">
        <v>0</v>
      </c>
      <c r="I13" s="147">
        <f t="shared" si="0"/>
        <v>1637000</v>
      </c>
      <c r="J13" s="110">
        <v>137400</v>
      </c>
      <c r="K13" s="108"/>
      <c r="L13" s="108"/>
      <c r="M13" s="114">
        <f t="shared" si="2"/>
        <v>1774400</v>
      </c>
      <c r="N13" s="34">
        <f t="shared" si="3"/>
        <v>1194890.510948905</v>
      </c>
    </row>
    <row r="14" spans="1:14" ht="15.75" thickBot="1" x14ac:dyDescent="0.3">
      <c r="A14" s="42"/>
      <c r="B14" s="43"/>
      <c r="C14" s="44" t="s">
        <v>16</v>
      </c>
      <c r="D14" s="43"/>
      <c r="E14" s="45"/>
      <c r="F14" s="165">
        <f>SUM(F6:F13)</f>
        <v>7.2700000000000005</v>
      </c>
      <c r="G14" s="112">
        <f>SUM(G6:G13)</f>
        <v>13216000</v>
      </c>
      <c r="H14" s="112">
        <f t="shared" ref="H14:M14" si="4">SUM(H6:H13)</f>
        <v>5982000</v>
      </c>
      <c r="I14" s="112">
        <f t="shared" si="4"/>
        <v>19198000</v>
      </c>
      <c r="J14" s="112">
        <f t="shared" si="4"/>
        <v>766060</v>
      </c>
      <c r="K14" s="112">
        <f t="shared" si="4"/>
        <v>219820</v>
      </c>
      <c r="L14" s="112">
        <f t="shared" si="4"/>
        <v>176110.85</v>
      </c>
      <c r="M14" s="112">
        <f t="shared" si="4"/>
        <v>20359990.850000001</v>
      </c>
      <c r="N14" s="34">
        <f t="shared" si="3"/>
        <v>1817881.7056396147</v>
      </c>
    </row>
    <row r="15" spans="1:14" ht="15.75" thickTop="1" x14ac:dyDescent="0.25"/>
    <row r="16" spans="1:14" ht="15" x14ac:dyDescent="0.25">
      <c r="I16" s="105" t="s">
        <v>284</v>
      </c>
      <c r="M16" s="105">
        <v>54000</v>
      </c>
    </row>
    <row r="17" spans="5:13" ht="15.75" thickBot="1" x14ac:dyDescent="0.3">
      <c r="M17" s="149">
        <f>+M14+M16</f>
        <v>20413990.850000001</v>
      </c>
    </row>
    <row r="18" spans="5:13" ht="15" x14ac:dyDescent="0.25">
      <c r="M18" s="173"/>
    </row>
    <row r="19" spans="5:13" ht="15" x14ac:dyDescent="0.25">
      <c r="M19" s="173"/>
    </row>
    <row r="20" spans="5:13" ht="15" x14ac:dyDescent="0.25">
      <c r="E20" s="34"/>
      <c r="G20" s="34"/>
      <c r="H20" s="34"/>
      <c r="I20" s="34"/>
      <c r="J20" s="34"/>
      <c r="K20" s="34"/>
      <c r="L20" s="150"/>
    </row>
    <row r="21" spans="5:13" x14ac:dyDescent="0.3">
      <c r="M21" s="173"/>
    </row>
  </sheetData>
  <pageMargins left="0.7" right="0.7" top="0.75" bottom="0.75" header="0.3" footer="0.3"/>
  <pageSetup orientation="portrait" verticalDpi="0" r:id="rId1"/>
  <ignoredErrors>
    <ignoredError sqref="L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8"/>
  <sheetViews>
    <sheetView workbookViewId="0">
      <selection activeCell="O16" sqref="O16"/>
    </sheetView>
  </sheetViews>
  <sheetFormatPr defaultColWidth="9.109375" defaultRowHeight="14.4" x14ac:dyDescent="0.3"/>
  <cols>
    <col min="1" max="1" width="6.5546875" style="34" customWidth="1"/>
    <col min="2" max="2" width="10.109375" style="34" bestFit="1" customWidth="1"/>
    <col min="3" max="3" width="19.88671875" style="34" customWidth="1"/>
    <col min="4" max="4" width="12.44140625" style="34" customWidth="1"/>
    <col min="5" max="5" width="9.88671875" style="35" bestFit="1" customWidth="1"/>
    <col min="6" max="6" width="8.33203125" style="34" customWidth="1"/>
    <col min="7" max="7" width="9.6640625" style="34" customWidth="1"/>
    <col min="8" max="8" width="12.109375" style="105" bestFit="1" customWidth="1"/>
    <col min="9" max="9" width="11.5546875" style="105" bestFit="1" customWidth="1"/>
    <col min="10" max="10" width="12.109375" style="105" customWidth="1"/>
    <col min="11" max="11" width="12.109375" style="105" bestFit="1" customWidth="1"/>
    <col min="12" max="16384" width="9.109375" style="34"/>
  </cols>
  <sheetData>
    <row r="2" spans="1:13" ht="15" x14ac:dyDescent="0.25">
      <c r="A2" s="33" t="s">
        <v>34</v>
      </c>
    </row>
    <row r="3" spans="1:13" ht="15" x14ac:dyDescent="0.25">
      <c r="A3" s="33"/>
    </row>
    <row r="4" spans="1:13" ht="15" x14ac:dyDescent="0.25">
      <c r="A4" s="33" t="s">
        <v>189</v>
      </c>
    </row>
    <row r="5" spans="1:13" s="38" customFormat="1" ht="28.8" x14ac:dyDescent="0.3">
      <c r="A5" s="36" t="s">
        <v>36</v>
      </c>
      <c r="B5" s="36" t="s">
        <v>11</v>
      </c>
      <c r="C5" s="36" t="s">
        <v>37</v>
      </c>
      <c r="D5" s="36" t="s">
        <v>38</v>
      </c>
      <c r="E5" s="37" t="s">
        <v>39</v>
      </c>
      <c r="F5" s="36" t="s">
        <v>190</v>
      </c>
      <c r="G5" s="36" t="s">
        <v>191</v>
      </c>
      <c r="H5" s="106" t="s">
        <v>12</v>
      </c>
      <c r="I5" s="106" t="s">
        <v>40</v>
      </c>
      <c r="J5" s="106" t="s">
        <v>41</v>
      </c>
      <c r="K5" s="107" t="s">
        <v>16</v>
      </c>
      <c r="M5" s="229" t="s">
        <v>191</v>
      </c>
    </row>
    <row r="6" spans="1:13" ht="15" x14ac:dyDescent="0.25">
      <c r="A6" s="77">
        <v>1</v>
      </c>
      <c r="B6" s="39" t="s">
        <v>192</v>
      </c>
      <c r="C6" s="39" t="s">
        <v>193</v>
      </c>
      <c r="D6" s="39" t="s">
        <v>194</v>
      </c>
      <c r="E6" s="40"/>
      <c r="F6" s="184">
        <v>20.45</v>
      </c>
      <c r="G6" s="108">
        <v>800000</v>
      </c>
      <c r="H6" s="108">
        <f>+F6*G6</f>
        <v>16360000</v>
      </c>
      <c r="I6" s="108">
        <v>1022500</v>
      </c>
      <c r="J6" s="109">
        <v>131050</v>
      </c>
      <c r="K6" s="108">
        <f>+H6+I6+J6</f>
        <v>17513550</v>
      </c>
      <c r="L6" s="34">
        <f>+F6/2.471</f>
        <v>8.2760016187778227</v>
      </c>
    </row>
    <row r="7" spans="1:13" ht="15" x14ac:dyDescent="0.25">
      <c r="A7" s="77">
        <v>2</v>
      </c>
      <c r="B7" s="39" t="s">
        <v>195</v>
      </c>
      <c r="C7" s="39" t="s">
        <v>196</v>
      </c>
      <c r="D7" s="39" t="s">
        <v>197</v>
      </c>
      <c r="E7" s="40" t="s">
        <v>198</v>
      </c>
      <c r="F7" s="184">
        <v>10</v>
      </c>
      <c r="G7" s="108">
        <v>800000</v>
      </c>
      <c r="H7" s="108">
        <f>+F7*G7</f>
        <v>8000000</v>
      </c>
      <c r="I7" s="108">
        <v>500000</v>
      </c>
      <c r="J7" s="108">
        <v>64170</v>
      </c>
      <c r="K7" s="108">
        <f t="shared" ref="K7:K10" si="0">+H7+I7+J7</f>
        <v>8564170</v>
      </c>
      <c r="L7" s="34">
        <f>+F7/2.471</f>
        <v>4.0469445568595708</v>
      </c>
    </row>
    <row r="8" spans="1:13" ht="15" x14ac:dyDescent="0.25">
      <c r="A8" s="77">
        <v>3</v>
      </c>
      <c r="B8" s="39" t="s">
        <v>195</v>
      </c>
      <c r="C8" s="39" t="s">
        <v>196</v>
      </c>
      <c r="D8" s="39" t="s">
        <v>194</v>
      </c>
      <c r="E8" s="40"/>
      <c r="F8" s="41">
        <v>9.11</v>
      </c>
      <c r="G8" s="108">
        <v>800000</v>
      </c>
      <c r="H8" s="108">
        <f>+F8*G8</f>
        <v>7288000</v>
      </c>
      <c r="I8" s="108">
        <v>455500</v>
      </c>
      <c r="J8" s="108">
        <v>58474</v>
      </c>
      <c r="K8" s="108">
        <f t="shared" si="0"/>
        <v>7801974</v>
      </c>
    </row>
    <row r="9" spans="1:13" ht="15" x14ac:dyDescent="0.25">
      <c r="A9" s="119">
        <v>4</v>
      </c>
      <c r="B9" s="120" t="s">
        <v>224</v>
      </c>
      <c r="C9" s="120" t="s">
        <v>225</v>
      </c>
      <c r="D9" s="121" t="s">
        <v>194</v>
      </c>
      <c r="E9" s="122" t="s">
        <v>226</v>
      </c>
      <c r="F9" s="123">
        <v>0.99</v>
      </c>
      <c r="G9" s="110">
        <v>800000</v>
      </c>
      <c r="H9" s="110">
        <f>+F9*G9</f>
        <v>792000</v>
      </c>
      <c r="I9" s="110">
        <v>51000</v>
      </c>
      <c r="J9" s="110">
        <v>22800</v>
      </c>
      <c r="K9" s="108">
        <f t="shared" si="0"/>
        <v>865800</v>
      </c>
    </row>
    <row r="10" spans="1:13" ht="15" x14ac:dyDescent="0.25">
      <c r="A10" s="119">
        <v>5</v>
      </c>
      <c r="B10" s="120" t="s">
        <v>224</v>
      </c>
      <c r="C10" s="120" t="s">
        <v>227</v>
      </c>
      <c r="D10" s="121" t="s">
        <v>194</v>
      </c>
      <c r="E10" s="122" t="s">
        <v>228</v>
      </c>
      <c r="F10" s="185">
        <v>1.5</v>
      </c>
      <c r="G10" s="110">
        <v>800000</v>
      </c>
      <c r="H10" s="110">
        <f>+F10*G10</f>
        <v>1200000</v>
      </c>
      <c r="I10" s="110">
        <v>76000</v>
      </c>
      <c r="J10" s="110">
        <v>31500</v>
      </c>
      <c r="K10" s="108">
        <f t="shared" si="0"/>
        <v>1307500</v>
      </c>
    </row>
    <row r="11" spans="1:13" ht="15" x14ac:dyDescent="0.25">
      <c r="A11" s="100"/>
      <c r="B11" s="101"/>
      <c r="C11" s="101"/>
      <c r="D11" s="101"/>
      <c r="E11" s="102"/>
      <c r="F11" s="103"/>
      <c r="G11" s="103"/>
      <c r="H11" s="110"/>
      <c r="I11" s="110"/>
      <c r="J11" s="110"/>
      <c r="K11" s="108"/>
    </row>
    <row r="12" spans="1:13" ht="15.75" thickBot="1" x14ac:dyDescent="0.3">
      <c r="A12" s="42"/>
      <c r="B12" s="43"/>
      <c r="C12" s="44" t="s">
        <v>16</v>
      </c>
      <c r="D12" s="43"/>
      <c r="E12" s="45"/>
      <c r="F12" s="111">
        <f>SUM(F6:F11)</f>
        <v>42.050000000000004</v>
      </c>
      <c r="G12" s="111"/>
      <c r="H12" s="112">
        <f>SUM(H6:H11)</f>
        <v>33640000</v>
      </c>
      <c r="I12" s="112">
        <f>SUM(I6:I11)</f>
        <v>2105000</v>
      </c>
      <c r="J12" s="112">
        <f>SUM(J6:J11)</f>
        <v>307994</v>
      </c>
      <c r="K12" s="112">
        <f>SUM(K6:K11)</f>
        <v>36052994</v>
      </c>
    </row>
    <row r="13" spans="1:13" ht="15.75" thickTop="1" x14ac:dyDescent="0.25">
      <c r="G13" s="34" t="s">
        <v>199</v>
      </c>
      <c r="K13" s="105">
        <f>43600+26400</f>
        <v>70000</v>
      </c>
    </row>
    <row r="14" spans="1:13" ht="15" x14ac:dyDescent="0.25">
      <c r="C14" s="34" t="s">
        <v>317</v>
      </c>
      <c r="F14" s="170">
        <f>+F10+F7+F6</f>
        <v>31.95</v>
      </c>
      <c r="G14" s="34" t="s">
        <v>200</v>
      </c>
      <c r="K14" s="105">
        <v>70000</v>
      </c>
    </row>
    <row r="15" spans="1:13" ht="15.75" thickBot="1" x14ac:dyDescent="0.3">
      <c r="K15" s="113">
        <f>+K12+K13+K14</f>
        <v>36192994</v>
      </c>
    </row>
    <row r="16" spans="1:13" ht="15" x14ac:dyDescent="0.25">
      <c r="C16" s="34" t="s">
        <v>318</v>
      </c>
      <c r="F16" s="186">
        <f>+F12-F14</f>
        <v>10.100000000000005</v>
      </c>
    </row>
    <row r="18" spans="5:6" ht="15" x14ac:dyDescent="0.25">
      <c r="E18" s="35" t="s">
        <v>319</v>
      </c>
      <c r="F18" s="170">
        <f>+F16/2.471</f>
        <v>4.0874140024281687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G33" sqref="G33"/>
    </sheetView>
  </sheetViews>
  <sheetFormatPr defaultColWidth="9.109375" defaultRowHeight="14.4" x14ac:dyDescent="0.3"/>
  <cols>
    <col min="1" max="1" width="6.5546875" style="34" customWidth="1"/>
    <col min="2" max="2" width="10.109375" style="34" bestFit="1" customWidth="1"/>
    <col min="3" max="3" width="23.109375" style="34" customWidth="1"/>
    <col min="4" max="4" width="8" style="34" customWidth="1"/>
    <col min="5" max="5" width="20.109375" style="35" bestFit="1" customWidth="1"/>
    <col min="6" max="6" width="8.88671875" style="34" customWidth="1"/>
    <col min="7" max="7" width="10.5546875" style="105" bestFit="1" customWidth="1"/>
    <col min="8" max="8" width="12.109375" style="105" bestFit="1" customWidth="1"/>
    <col min="9" max="9" width="11.6640625" style="105" bestFit="1" customWidth="1"/>
    <col min="10" max="10" width="12.109375" style="105" bestFit="1" customWidth="1"/>
    <col min="11" max="11" width="10.5546875" style="105" bestFit="1" customWidth="1"/>
    <col min="12" max="12" width="10.88671875" style="105" bestFit="1" customWidth="1"/>
    <col min="13" max="13" width="8.6640625" style="105" bestFit="1" customWidth="1"/>
    <col min="14" max="14" width="9.5546875" style="105" bestFit="1" customWidth="1"/>
    <col min="15" max="15" width="12.109375" style="34" bestFit="1" customWidth="1"/>
    <col min="16" max="18" width="10.5546875" style="34" bestFit="1" customWidth="1"/>
    <col min="19" max="19" width="9.5546875" style="34" bestFit="1" customWidth="1"/>
    <col min="20" max="20" width="9.109375" style="34"/>
    <col min="21" max="21" width="10.5546875" style="34" bestFit="1" customWidth="1"/>
    <col min="22" max="16384" width="9.109375" style="34"/>
  </cols>
  <sheetData>
    <row r="2" spans="1:16" ht="15" x14ac:dyDescent="0.25">
      <c r="A2" s="33" t="s">
        <v>34</v>
      </c>
    </row>
    <row r="3" spans="1:16" ht="15" x14ac:dyDescent="0.25">
      <c r="A3" s="33"/>
    </row>
    <row r="4" spans="1:16" ht="15" x14ac:dyDescent="0.25">
      <c r="A4" s="33" t="s">
        <v>229</v>
      </c>
    </row>
    <row r="5" spans="1:16" s="128" customFormat="1" ht="41.4" x14ac:dyDescent="0.3">
      <c r="A5" s="124" t="s">
        <v>36</v>
      </c>
      <c r="B5" s="124" t="s">
        <v>11</v>
      </c>
      <c r="C5" s="124" t="s">
        <v>37</v>
      </c>
      <c r="D5" s="124" t="s">
        <v>38</v>
      </c>
      <c r="E5" s="125" t="s">
        <v>39</v>
      </c>
      <c r="F5" s="124" t="s">
        <v>190</v>
      </c>
      <c r="G5" s="126" t="s">
        <v>2</v>
      </c>
      <c r="H5" s="127" t="s">
        <v>230</v>
      </c>
      <c r="I5" s="127" t="s">
        <v>231</v>
      </c>
      <c r="J5" s="127" t="s">
        <v>232</v>
      </c>
      <c r="K5" s="126" t="s">
        <v>40</v>
      </c>
      <c r="L5" s="126" t="s">
        <v>41</v>
      </c>
      <c r="M5" s="126" t="s">
        <v>233</v>
      </c>
      <c r="N5" s="126" t="s">
        <v>234</v>
      </c>
      <c r="O5" s="124" t="s">
        <v>201</v>
      </c>
      <c r="P5" s="230" t="s">
        <v>191</v>
      </c>
    </row>
    <row r="6" spans="1:16" ht="15" x14ac:dyDescent="0.25">
      <c r="A6" s="39">
        <v>1</v>
      </c>
      <c r="B6" s="39" t="s">
        <v>235</v>
      </c>
      <c r="C6" s="39" t="s">
        <v>236</v>
      </c>
      <c r="D6" s="39" t="s">
        <v>237</v>
      </c>
      <c r="E6" s="115" t="s">
        <v>238</v>
      </c>
      <c r="F6" s="41">
        <v>0.02</v>
      </c>
      <c r="G6" s="108">
        <v>21500</v>
      </c>
      <c r="H6" s="108">
        <v>38500</v>
      </c>
      <c r="I6" s="108">
        <v>0</v>
      </c>
      <c r="J6" s="108">
        <f t="shared" ref="J6:J12" si="0">+G6+H6+I6</f>
        <v>60000</v>
      </c>
      <c r="K6" s="108">
        <v>1800</v>
      </c>
      <c r="L6" s="109">
        <v>4012</v>
      </c>
      <c r="M6" s="109">
        <v>6000</v>
      </c>
      <c r="N6" s="109">
        <f>(+F6*25000)*111.11%</f>
        <v>555.54999999999995</v>
      </c>
      <c r="O6" s="114">
        <f>+J6+K6+L6+M6+N6</f>
        <v>72367.55</v>
      </c>
      <c r="P6" s="34">
        <f>G6/F6</f>
        <v>1075000</v>
      </c>
    </row>
    <row r="7" spans="1:16" ht="15" x14ac:dyDescent="0.25">
      <c r="A7" s="39">
        <v>2</v>
      </c>
      <c r="B7" s="39" t="s">
        <v>235</v>
      </c>
      <c r="C7" s="39" t="s">
        <v>239</v>
      </c>
      <c r="D7" s="39" t="s">
        <v>237</v>
      </c>
      <c r="E7" s="40" t="s">
        <v>240</v>
      </c>
      <c r="F7" s="41">
        <v>0.97</v>
      </c>
      <c r="G7" s="108">
        <v>970000</v>
      </c>
      <c r="H7" s="108">
        <v>1940000</v>
      </c>
      <c r="I7" s="108">
        <v>0</v>
      </c>
      <c r="J7" s="108">
        <f t="shared" si="0"/>
        <v>2910000</v>
      </c>
      <c r="K7" s="108">
        <v>61110</v>
      </c>
      <c r="L7" s="108">
        <v>20960</v>
      </c>
      <c r="M7" s="108">
        <v>6000</v>
      </c>
      <c r="N7" s="109">
        <f t="shared" ref="N7:N21" si="1">(+F7*25000)*111.11%</f>
        <v>26944.174999999999</v>
      </c>
      <c r="O7" s="114">
        <f t="shared" ref="O7:O21" si="2">+J7+K7+L7+M7+N7</f>
        <v>3025014.1749999998</v>
      </c>
      <c r="P7" s="34">
        <f t="shared" ref="P7:P23" si="3">G7/F7</f>
        <v>1000000</v>
      </c>
    </row>
    <row r="8" spans="1:16" ht="15" x14ac:dyDescent="0.25">
      <c r="A8" s="39">
        <v>3</v>
      </c>
      <c r="B8" s="39" t="s">
        <v>235</v>
      </c>
      <c r="C8" s="39" t="s">
        <v>241</v>
      </c>
      <c r="D8" s="39" t="s">
        <v>237</v>
      </c>
      <c r="E8" s="115" t="s">
        <v>242</v>
      </c>
      <c r="F8" s="41">
        <v>2.04</v>
      </c>
      <c r="G8" s="108">
        <v>2040000</v>
      </c>
      <c r="H8" s="108">
        <v>4080000</v>
      </c>
      <c r="I8" s="108">
        <v>0</v>
      </c>
      <c r="J8" s="108">
        <f t="shared" si="0"/>
        <v>6120000</v>
      </c>
      <c r="K8" s="108">
        <v>128520</v>
      </c>
      <c r="L8" s="108">
        <v>40220</v>
      </c>
      <c r="M8" s="108">
        <v>5000</v>
      </c>
      <c r="N8" s="109">
        <f t="shared" si="1"/>
        <v>56666.1</v>
      </c>
      <c r="O8" s="114">
        <f t="shared" si="2"/>
        <v>6350406.0999999996</v>
      </c>
      <c r="P8" s="34">
        <f t="shared" si="3"/>
        <v>1000000</v>
      </c>
    </row>
    <row r="9" spans="1:16" ht="15" x14ac:dyDescent="0.25">
      <c r="A9" s="39">
        <v>4</v>
      </c>
      <c r="B9" s="101" t="s">
        <v>243</v>
      </c>
      <c r="C9" s="101" t="s">
        <v>244</v>
      </c>
      <c r="D9" s="39" t="s">
        <v>237</v>
      </c>
      <c r="E9" s="129">
        <v>18</v>
      </c>
      <c r="F9" s="103">
        <v>0.1</v>
      </c>
      <c r="G9" s="108">
        <v>142000</v>
      </c>
      <c r="H9" s="108">
        <v>158000</v>
      </c>
      <c r="I9" s="108">
        <v>0</v>
      </c>
      <c r="J9" s="108">
        <f t="shared" si="0"/>
        <v>300000</v>
      </c>
      <c r="K9" s="110">
        <v>9500</v>
      </c>
      <c r="L9" s="108">
        <v>6156</v>
      </c>
      <c r="M9" s="108">
        <v>6000</v>
      </c>
      <c r="N9" s="109">
        <f t="shared" si="1"/>
        <v>2777.75</v>
      </c>
      <c r="O9" s="114">
        <f t="shared" si="2"/>
        <v>324433.75</v>
      </c>
      <c r="P9" s="34">
        <f t="shared" si="3"/>
        <v>1420000</v>
      </c>
    </row>
    <row r="10" spans="1:16" ht="15" x14ac:dyDescent="0.25">
      <c r="A10" s="39">
        <v>5</v>
      </c>
      <c r="B10" s="101" t="s">
        <v>245</v>
      </c>
      <c r="C10" s="101" t="s">
        <v>246</v>
      </c>
      <c r="D10" s="39" t="s">
        <v>237</v>
      </c>
      <c r="E10" s="129">
        <v>19</v>
      </c>
      <c r="F10" s="103">
        <v>0.27</v>
      </c>
      <c r="G10" s="108">
        <v>270000</v>
      </c>
      <c r="H10" s="108">
        <v>540000</v>
      </c>
      <c r="I10" s="108">
        <v>0</v>
      </c>
      <c r="J10" s="108">
        <f t="shared" si="0"/>
        <v>810000</v>
      </c>
      <c r="K10" s="110">
        <v>17010</v>
      </c>
      <c r="L10" s="108">
        <v>8360</v>
      </c>
      <c r="M10" s="108">
        <v>5000</v>
      </c>
      <c r="N10" s="109">
        <f t="shared" si="1"/>
        <v>7499.9250000000002</v>
      </c>
      <c r="O10" s="114">
        <f t="shared" si="2"/>
        <v>847869.92500000005</v>
      </c>
      <c r="P10" s="34">
        <f t="shared" si="3"/>
        <v>999999.99999999988</v>
      </c>
    </row>
    <row r="11" spans="1:16" ht="15" x14ac:dyDescent="0.25">
      <c r="A11" s="39">
        <v>6</v>
      </c>
      <c r="B11" s="101" t="s">
        <v>247</v>
      </c>
      <c r="C11" s="101" t="s">
        <v>248</v>
      </c>
      <c r="D11" s="39" t="s">
        <v>237</v>
      </c>
      <c r="E11" s="130" t="s">
        <v>249</v>
      </c>
      <c r="F11" s="103">
        <v>0.1</v>
      </c>
      <c r="G11" s="108">
        <v>100000</v>
      </c>
      <c r="H11" s="108">
        <v>200000</v>
      </c>
      <c r="I11" s="108">
        <v>0</v>
      </c>
      <c r="J11" s="108">
        <f t="shared" si="0"/>
        <v>300000</v>
      </c>
      <c r="K11" s="110">
        <v>6300</v>
      </c>
      <c r="L11" s="108">
        <v>5300</v>
      </c>
      <c r="M11" s="108">
        <v>5000</v>
      </c>
      <c r="N11" s="109">
        <f t="shared" si="1"/>
        <v>2777.75</v>
      </c>
      <c r="O11" s="114">
        <f t="shared" si="2"/>
        <v>319377.75</v>
      </c>
      <c r="P11" s="34">
        <f t="shared" si="3"/>
        <v>1000000</v>
      </c>
    </row>
    <row r="12" spans="1:16" ht="15" x14ac:dyDescent="0.25">
      <c r="A12" s="39">
        <v>7</v>
      </c>
      <c r="B12" s="101" t="s">
        <v>250</v>
      </c>
      <c r="C12" s="101" t="s">
        <v>251</v>
      </c>
      <c r="D12" s="39" t="s">
        <v>237</v>
      </c>
      <c r="E12" s="130" t="s">
        <v>252</v>
      </c>
      <c r="F12" s="103">
        <v>0.1</v>
      </c>
      <c r="G12" s="108">
        <v>142000</v>
      </c>
      <c r="H12" s="108">
        <v>158000</v>
      </c>
      <c r="I12" s="108">
        <v>0</v>
      </c>
      <c r="J12" s="108">
        <f t="shared" si="0"/>
        <v>300000</v>
      </c>
      <c r="K12" s="110">
        <v>9500</v>
      </c>
      <c r="L12" s="108">
        <v>6256</v>
      </c>
      <c r="M12" s="108">
        <v>5000</v>
      </c>
      <c r="N12" s="109">
        <f t="shared" si="1"/>
        <v>2777.75</v>
      </c>
      <c r="O12" s="114">
        <f t="shared" si="2"/>
        <v>323533.75</v>
      </c>
      <c r="P12" s="34">
        <f t="shared" si="3"/>
        <v>1420000</v>
      </c>
    </row>
    <row r="13" spans="1:16" ht="15" x14ac:dyDescent="0.25">
      <c r="A13" s="100">
        <v>8</v>
      </c>
      <c r="B13" s="101" t="s">
        <v>253</v>
      </c>
      <c r="C13" s="101" t="s">
        <v>254</v>
      </c>
      <c r="D13" s="39" t="s">
        <v>237</v>
      </c>
      <c r="E13" s="102">
        <v>11</v>
      </c>
      <c r="F13" s="103">
        <v>0.83</v>
      </c>
      <c r="G13" s="108">
        <v>830000</v>
      </c>
      <c r="H13" s="108">
        <v>1660000</v>
      </c>
      <c r="I13" s="108">
        <v>100000</v>
      </c>
      <c r="J13" s="108">
        <f>+G13+H13+I13</f>
        <v>2590000</v>
      </c>
      <c r="K13" s="110">
        <v>52500</v>
      </c>
      <c r="L13" s="108">
        <v>18500</v>
      </c>
      <c r="M13" s="108">
        <v>5000</v>
      </c>
      <c r="N13" s="109">
        <f t="shared" si="1"/>
        <v>23055.325000000001</v>
      </c>
      <c r="O13" s="114">
        <f t="shared" si="2"/>
        <v>2689055.3250000002</v>
      </c>
      <c r="P13" s="34">
        <f t="shared" si="3"/>
        <v>1000000</v>
      </c>
    </row>
    <row r="14" spans="1:16" ht="15" x14ac:dyDescent="0.25">
      <c r="A14" s="100">
        <v>9</v>
      </c>
      <c r="B14" s="101" t="s">
        <v>255</v>
      </c>
      <c r="C14" s="131" t="s">
        <v>256</v>
      </c>
      <c r="D14" s="39" t="s">
        <v>237</v>
      </c>
      <c r="E14" s="132" t="s">
        <v>257</v>
      </c>
      <c r="F14" s="103">
        <v>0.45</v>
      </c>
      <c r="G14" s="108">
        <v>450000</v>
      </c>
      <c r="H14" s="108">
        <v>900000</v>
      </c>
      <c r="I14" s="108">
        <v>90000</v>
      </c>
      <c r="J14" s="108">
        <f t="shared" ref="J14:J21" si="4">+G14+H14+I14</f>
        <v>1440000</v>
      </c>
      <c r="K14" s="110">
        <v>27800</v>
      </c>
      <c r="L14" s="110">
        <v>15700</v>
      </c>
      <c r="M14" s="110">
        <v>5000</v>
      </c>
      <c r="N14" s="109">
        <f t="shared" si="1"/>
        <v>12499.875</v>
      </c>
      <c r="O14" s="114">
        <f t="shared" si="2"/>
        <v>1500999.875</v>
      </c>
      <c r="P14" s="34">
        <f t="shared" si="3"/>
        <v>1000000</v>
      </c>
    </row>
    <row r="15" spans="1:16" ht="15" x14ac:dyDescent="0.25">
      <c r="A15" s="100">
        <v>10</v>
      </c>
      <c r="B15" s="101" t="s">
        <v>255</v>
      </c>
      <c r="C15" s="131" t="s">
        <v>258</v>
      </c>
      <c r="D15" s="39" t="s">
        <v>237</v>
      </c>
      <c r="E15" s="133" t="s">
        <v>259</v>
      </c>
      <c r="F15" s="103">
        <v>0.45</v>
      </c>
      <c r="G15" s="108">
        <v>450000</v>
      </c>
      <c r="H15" s="108">
        <v>900000</v>
      </c>
      <c r="I15" s="108">
        <v>90000</v>
      </c>
      <c r="J15" s="108">
        <f t="shared" si="4"/>
        <v>1440000</v>
      </c>
      <c r="K15" s="110">
        <v>27800</v>
      </c>
      <c r="L15" s="110">
        <v>15700</v>
      </c>
      <c r="M15" s="110">
        <v>5000</v>
      </c>
      <c r="N15" s="109">
        <f t="shared" si="1"/>
        <v>12499.875</v>
      </c>
      <c r="O15" s="114">
        <f t="shared" si="2"/>
        <v>1500999.875</v>
      </c>
      <c r="P15" s="34">
        <f t="shared" si="3"/>
        <v>1000000</v>
      </c>
    </row>
    <row r="16" spans="1:16" ht="15" x14ac:dyDescent="0.25">
      <c r="A16" s="100">
        <v>11</v>
      </c>
      <c r="B16" s="101" t="s">
        <v>255</v>
      </c>
      <c r="C16" s="131" t="s">
        <v>260</v>
      </c>
      <c r="D16" s="39" t="s">
        <v>237</v>
      </c>
      <c r="E16" s="132" t="s">
        <v>261</v>
      </c>
      <c r="F16" s="103">
        <v>0.34</v>
      </c>
      <c r="G16" s="108">
        <v>340000</v>
      </c>
      <c r="H16" s="108">
        <v>1360000</v>
      </c>
      <c r="I16" s="108">
        <v>0</v>
      </c>
      <c r="J16" s="108">
        <f t="shared" si="4"/>
        <v>1700000</v>
      </c>
      <c r="K16" s="110">
        <v>21500</v>
      </c>
      <c r="L16" s="110">
        <v>14220</v>
      </c>
      <c r="M16" s="110">
        <v>5000</v>
      </c>
      <c r="N16" s="109">
        <f t="shared" si="1"/>
        <v>9444.35</v>
      </c>
      <c r="O16" s="114">
        <f t="shared" si="2"/>
        <v>1750164.35</v>
      </c>
      <c r="P16" s="34">
        <f t="shared" si="3"/>
        <v>999999.99999999988</v>
      </c>
    </row>
    <row r="17" spans="1:16" ht="15" x14ac:dyDescent="0.25">
      <c r="A17" s="100">
        <v>12</v>
      </c>
      <c r="B17" s="101" t="s">
        <v>255</v>
      </c>
      <c r="C17" s="131" t="s">
        <v>262</v>
      </c>
      <c r="D17" s="39" t="s">
        <v>237</v>
      </c>
      <c r="E17" s="132" t="s">
        <v>263</v>
      </c>
      <c r="F17" s="103">
        <v>0.55000000000000004</v>
      </c>
      <c r="G17" s="108">
        <v>550000</v>
      </c>
      <c r="H17" s="108">
        <v>1100000</v>
      </c>
      <c r="I17" s="108">
        <v>110000</v>
      </c>
      <c r="J17" s="108">
        <f t="shared" si="4"/>
        <v>1760000</v>
      </c>
      <c r="K17" s="110">
        <v>35000</v>
      </c>
      <c r="L17" s="110">
        <v>17800</v>
      </c>
      <c r="M17" s="110">
        <v>5000</v>
      </c>
      <c r="N17" s="109">
        <f t="shared" si="1"/>
        <v>15277.625000000002</v>
      </c>
      <c r="O17" s="114">
        <f t="shared" si="2"/>
        <v>1833077.625</v>
      </c>
      <c r="P17" s="34">
        <f t="shared" si="3"/>
        <v>999999.99999999988</v>
      </c>
    </row>
    <row r="18" spans="1:16" ht="15" x14ac:dyDescent="0.25">
      <c r="A18" s="100">
        <v>13</v>
      </c>
      <c r="B18" s="101" t="s">
        <v>255</v>
      </c>
      <c r="C18" s="131" t="s">
        <v>264</v>
      </c>
      <c r="D18" s="39" t="s">
        <v>237</v>
      </c>
      <c r="E18" s="132" t="s">
        <v>265</v>
      </c>
      <c r="F18" s="103">
        <v>0.54</v>
      </c>
      <c r="G18" s="108">
        <v>540000</v>
      </c>
      <c r="H18" s="108">
        <v>1080000</v>
      </c>
      <c r="I18" s="108">
        <v>108000</v>
      </c>
      <c r="J18" s="108">
        <f t="shared" si="4"/>
        <v>1728000</v>
      </c>
      <c r="K18" s="110">
        <v>34100</v>
      </c>
      <c r="L18" s="110">
        <v>17620</v>
      </c>
      <c r="M18" s="110">
        <v>5000</v>
      </c>
      <c r="N18" s="109">
        <f t="shared" si="1"/>
        <v>14999.85</v>
      </c>
      <c r="O18" s="114">
        <f t="shared" si="2"/>
        <v>1799719.85</v>
      </c>
      <c r="P18" s="34">
        <f t="shared" si="3"/>
        <v>999999.99999999988</v>
      </c>
    </row>
    <row r="19" spans="1:16" ht="15" x14ac:dyDescent="0.25">
      <c r="A19" s="100">
        <v>14</v>
      </c>
      <c r="B19" s="101" t="s">
        <v>266</v>
      </c>
      <c r="C19" s="101" t="s">
        <v>267</v>
      </c>
      <c r="D19" s="39" t="s">
        <v>237</v>
      </c>
      <c r="E19" s="132" t="s">
        <v>268</v>
      </c>
      <c r="F19" s="103">
        <v>0.28000000000000003</v>
      </c>
      <c r="G19" s="110">
        <v>280000</v>
      </c>
      <c r="H19" s="110">
        <v>560000</v>
      </c>
      <c r="I19" s="110">
        <v>0</v>
      </c>
      <c r="J19" s="108">
        <f t="shared" si="4"/>
        <v>840000</v>
      </c>
      <c r="K19" s="110">
        <v>17700</v>
      </c>
      <c r="L19" s="110">
        <v>8540</v>
      </c>
      <c r="M19" s="110"/>
      <c r="N19" s="109">
        <f t="shared" si="1"/>
        <v>7777.7000000000007</v>
      </c>
      <c r="O19" s="114">
        <f t="shared" si="2"/>
        <v>874017.7</v>
      </c>
      <c r="P19" s="34">
        <f t="shared" si="3"/>
        <v>999999.99999999988</v>
      </c>
    </row>
    <row r="20" spans="1:16" ht="15" x14ac:dyDescent="0.25">
      <c r="A20" s="100">
        <v>15</v>
      </c>
      <c r="B20" s="101" t="s">
        <v>266</v>
      </c>
      <c r="C20" s="101" t="s">
        <v>267</v>
      </c>
      <c r="D20" s="39" t="s">
        <v>237</v>
      </c>
      <c r="E20" s="102" t="s">
        <v>269</v>
      </c>
      <c r="F20" s="103">
        <v>0.28000000000000003</v>
      </c>
      <c r="G20" s="110">
        <v>280000</v>
      </c>
      <c r="H20" s="110">
        <v>560000</v>
      </c>
      <c r="I20" s="110">
        <v>0</v>
      </c>
      <c r="J20" s="108">
        <f t="shared" si="4"/>
        <v>840000</v>
      </c>
      <c r="K20" s="110">
        <v>17700</v>
      </c>
      <c r="L20" s="110">
        <v>8540</v>
      </c>
      <c r="M20" s="110">
        <v>5000</v>
      </c>
      <c r="N20" s="109">
        <f t="shared" si="1"/>
        <v>7777.7000000000007</v>
      </c>
      <c r="O20" s="114">
        <f t="shared" si="2"/>
        <v>879017.7</v>
      </c>
      <c r="P20" s="34">
        <f t="shared" si="3"/>
        <v>999999.99999999988</v>
      </c>
    </row>
    <row r="21" spans="1:16" ht="15" x14ac:dyDescent="0.25">
      <c r="A21" s="100">
        <v>16</v>
      </c>
      <c r="B21" s="101" t="s">
        <v>266</v>
      </c>
      <c r="C21" s="101" t="s">
        <v>270</v>
      </c>
      <c r="D21" s="39" t="s">
        <v>237</v>
      </c>
      <c r="E21" s="102" t="s">
        <v>271</v>
      </c>
      <c r="F21" s="103">
        <v>0.28000000000000003</v>
      </c>
      <c r="G21" s="110">
        <v>280000</v>
      </c>
      <c r="H21" s="110">
        <v>560000</v>
      </c>
      <c r="I21" s="110">
        <v>0</v>
      </c>
      <c r="J21" s="108">
        <f t="shared" si="4"/>
        <v>840000</v>
      </c>
      <c r="K21" s="110">
        <v>17700</v>
      </c>
      <c r="L21" s="110">
        <v>8540</v>
      </c>
      <c r="M21" s="110">
        <v>5000</v>
      </c>
      <c r="N21" s="109">
        <f t="shared" si="1"/>
        <v>7777.7000000000007</v>
      </c>
      <c r="O21" s="114">
        <f t="shared" si="2"/>
        <v>879017.7</v>
      </c>
      <c r="P21" s="34">
        <f t="shared" si="3"/>
        <v>999999.99999999988</v>
      </c>
    </row>
    <row r="22" spans="1:16" x14ac:dyDescent="0.3">
      <c r="A22" s="100">
        <v>18</v>
      </c>
      <c r="B22" s="101"/>
      <c r="C22" s="101"/>
      <c r="D22" s="39"/>
      <c r="E22" s="102"/>
      <c r="F22" s="103"/>
      <c r="G22" s="110"/>
      <c r="H22" s="110"/>
      <c r="I22" s="110"/>
      <c r="J22" s="110"/>
      <c r="K22" s="110"/>
      <c r="L22" s="110"/>
      <c r="M22" s="110"/>
      <c r="N22" s="134"/>
      <c r="O22" s="135"/>
    </row>
    <row r="23" spans="1:16" ht="15" thickBot="1" x14ac:dyDescent="0.35">
      <c r="A23" s="42"/>
      <c r="B23" s="43"/>
      <c r="C23" s="44" t="s">
        <v>16</v>
      </c>
      <c r="D23" s="43"/>
      <c r="E23" s="45"/>
      <c r="F23" s="111">
        <f t="shared" ref="F23:M23" si="5">SUM(F6:F22)</f>
        <v>7.6000000000000014</v>
      </c>
      <c r="G23" s="112">
        <f t="shared" si="5"/>
        <v>7685500</v>
      </c>
      <c r="H23" s="112">
        <f t="shared" si="5"/>
        <v>15794500</v>
      </c>
      <c r="I23" s="112">
        <f t="shared" si="5"/>
        <v>498000</v>
      </c>
      <c r="J23" s="112">
        <f t="shared" si="5"/>
        <v>23978000</v>
      </c>
      <c r="K23" s="112">
        <f t="shared" si="5"/>
        <v>485540</v>
      </c>
      <c r="L23" s="112">
        <f t="shared" si="5"/>
        <v>216424</v>
      </c>
      <c r="M23" s="112">
        <f t="shared" si="5"/>
        <v>78000</v>
      </c>
      <c r="N23" s="112">
        <f>SUM(N6:N22)+2</f>
        <v>211111.00000000006</v>
      </c>
      <c r="O23" s="112">
        <f>SUM(O6:O22)</f>
        <v>24969073</v>
      </c>
      <c r="P23" s="34">
        <f t="shared" si="3"/>
        <v>1011249.9999999998</v>
      </c>
    </row>
    <row r="24" spans="1:16" ht="15" thickTop="1" x14ac:dyDescent="0.3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D21" sqref="D21"/>
    </sheetView>
  </sheetViews>
  <sheetFormatPr defaultRowHeight="14.4" x14ac:dyDescent="0.3"/>
  <cols>
    <col min="2" max="2" width="21.109375" customWidth="1"/>
    <col min="3" max="3" width="18.109375" style="30" customWidth="1"/>
    <col min="4" max="4" width="36" customWidth="1"/>
    <col min="5" max="5" width="30.5546875" customWidth="1"/>
  </cols>
  <sheetData>
    <row r="2" spans="1:5" ht="15" x14ac:dyDescent="0.25">
      <c r="A2" s="31" t="s">
        <v>34</v>
      </c>
    </row>
    <row r="3" spans="1:5" ht="15" x14ac:dyDescent="0.25">
      <c r="A3" s="31"/>
    </row>
    <row r="4" spans="1:5" s="31" customFormat="1" ht="15" x14ac:dyDescent="0.25">
      <c r="A4" s="31" t="s">
        <v>82</v>
      </c>
      <c r="C4" s="32"/>
    </row>
    <row r="6" spans="1:5" ht="15" x14ac:dyDescent="0.25">
      <c r="A6" s="57" t="s">
        <v>83</v>
      </c>
      <c r="B6" s="57" t="s">
        <v>84</v>
      </c>
      <c r="C6" s="58" t="s">
        <v>85</v>
      </c>
      <c r="D6" s="57" t="s">
        <v>92</v>
      </c>
      <c r="E6" s="57" t="s">
        <v>91</v>
      </c>
    </row>
    <row r="7" spans="1:5" ht="15" x14ac:dyDescent="0.25">
      <c r="A7" s="51">
        <v>1</v>
      </c>
      <c r="B7" s="52">
        <v>40857</v>
      </c>
      <c r="C7" s="53">
        <v>100000</v>
      </c>
      <c r="D7" s="51" t="s">
        <v>87</v>
      </c>
      <c r="E7" s="51" t="s">
        <v>2</v>
      </c>
    </row>
    <row r="8" spans="1:5" ht="15" x14ac:dyDescent="0.25">
      <c r="A8" s="51">
        <v>2</v>
      </c>
      <c r="B8" s="52">
        <v>40876</v>
      </c>
      <c r="C8" s="53">
        <v>850000</v>
      </c>
      <c r="D8" s="51" t="s">
        <v>87</v>
      </c>
      <c r="E8" s="51" t="s">
        <v>2</v>
      </c>
    </row>
    <row r="9" spans="1:5" ht="15" x14ac:dyDescent="0.25">
      <c r="A9" s="51">
        <v>3</v>
      </c>
      <c r="B9" s="52">
        <v>40640</v>
      </c>
      <c r="C9" s="53">
        <v>520000</v>
      </c>
      <c r="D9" s="51" t="s">
        <v>86</v>
      </c>
      <c r="E9" s="51" t="s">
        <v>88</v>
      </c>
    </row>
    <row r="10" spans="1:5" ht="15" x14ac:dyDescent="0.25">
      <c r="A10" s="51">
        <v>4</v>
      </c>
      <c r="B10" s="52">
        <v>40668</v>
      </c>
      <c r="C10" s="53">
        <f>81000+120000</f>
        <v>201000</v>
      </c>
      <c r="D10" s="51" t="s">
        <v>89</v>
      </c>
      <c r="E10" s="51" t="s">
        <v>90</v>
      </c>
    </row>
    <row r="11" spans="1:5" ht="15.75" thickBot="1" x14ac:dyDescent="0.3">
      <c r="A11" s="54"/>
      <c r="B11" s="55"/>
      <c r="C11" s="56">
        <f>SUM(C7:C10)</f>
        <v>1671000</v>
      </c>
      <c r="D11" s="54"/>
      <c r="E11" s="54"/>
    </row>
    <row r="12" spans="1:5" ht="15.75" thickTop="1" x14ac:dyDescent="0.25">
      <c r="B12" s="50"/>
    </row>
    <row r="13" spans="1:5" ht="15" x14ac:dyDescent="0.25">
      <c r="B13" s="5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Land</vt:lpstr>
      <vt:lpstr>Land details</vt:lpstr>
      <vt:lpstr>Freehold Land</vt:lpstr>
      <vt:lpstr>Missing Khasara</vt:lpstr>
      <vt:lpstr>Pipe Line</vt:lpstr>
      <vt:lpstr>railway</vt:lpstr>
      <vt:lpstr>Forest</vt:lpstr>
      <vt:lpstr>Transmission</vt:lpstr>
      <vt:lpstr>Land Cost (Raigad-Maharashtra)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</dc:creator>
  <cp:lastModifiedBy>Mohit Agarwal</cp:lastModifiedBy>
  <cp:lastPrinted>2014-02-06T10:16:46Z</cp:lastPrinted>
  <dcterms:created xsi:type="dcterms:W3CDTF">2012-03-10T14:35:19Z</dcterms:created>
  <dcterms:modified xsi:type="dcterms:W3CDTF">2016-10-08T07:15:47Z</dcterms:modified>
</cp:coreProperties>
</file>