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0490" windowHeight="7650" tabRatio="699" activeTab="3"/>
  </bookViews>
  <sheets>
    <sheet name="FORM - II" sheetId="1" r:id="rId1"/>
    <sheet name="Loans" sheetId="7" r:id="rId2"/>
    <sheet name="RK Wokring" sheetId="9" r:id="rId3"/>
    <sheet name="Ratio" sheetId="8" r:id="rId4"/>
    <sheet name="Depriciation" sheetId="10" r:id="rId5"/>
    <sheet name="FORM - III" sheetId="2" r:id="rId6"/>
    <sheet name="Balance Sheet" sheetId="11" r:id="rId7"/>
    <sheet name="FORM - IV" sheetId="3" r:id="rId8"/>
    <sheet name="FORM - V" sheetId="4" r:id="rId9"/>
    <sheet name="FORM - VI" sheetId="5" r:id="rId10"/>
    <sheet name="Sales Budget 2020-21" sheetId="6" r:id="rId11"/>
  </sheets>
  <externalReferences>
    <externalReference r:id="rId12"/>
  </externalReferences>
  <definedNames>
    <definedName name="_xlnm.Print_Area" localSheetId="0">'FORM - II'!$D$2:$AD$102</definedName>
    <definedName name="_xlnm.Print_Area" localSheetId="5">'FORM - III'!$D$112:$AD$219</definedName>
    <definedName name="_xlnm.Print_Area" localSheetId="7">'FORM - IV'!$B$9:$W$73</definedName>
    <definedName name="_xlnm.Print_Area" localSheetId="8">'FORM - V'!$B$3:$AC$40</definedName>
    <definedName name="_xlnm.Print_Area" localSheetId="9">'FORM - VI'!$B$3:$M$46</definedName>
  </definedNames>
  <calcPr calcId="144525"/>
</workbook>
</file>

<file path=xl/calcChain.xml><?xml version="1.0" encoding="utf-8"?>
<calcChain xmlns="http://schemas.openxmlformats.org/spreadsheetml/2006/main">
  <c r="W144" i="2" l="1"/>
  <c r="Y30" i="1"/>
  <c r="Z30" i="1"/>
  <c r="AA30" i="1"/>
  <c r="AB30" i="1"/>
  <c r="AC30" i="1"/>
  <c r="AD30" i="1"/>
  <c r="X30" i="1"/>
  <c r="U39" i="1"/>
  <c r="V39" i="1"/>
  <c r="W39" i="1"/>
  <c r="X39" i="1"/>
  <c r="Y39" i="1"/>
  <c r="Z39" i="1"/>
  <c r="AA39" i="1"/>
  <c r="AB39" i="1"/>
  <c r="AC39" i="1"/>
  <c r="AD39" i="1"/>
  <c r="T39" i="1"/>
  <c r="AC74" i="1"/>
  <c r="AD74" i="1"/>
  <c r="AA74" i="1"/>
  <c r="AB74" i="1"/>
  <c r="Z74" i="1"/>
  <c r="Y74" i="1"/>
  <c r="X74" i="1"/>
  <c r="W74" i="1"/>
  <c r="L44" i="7"/>
  <c r="E45" i="7"/>
  <c r="F45" i="7"/>
  <c r="G45" i="7"/>
  <c r="H45" i="7"/>
  <c r="I45" i="7"/>
  <c r="J45" i="7"/>
  <c r="K45" i="7"/>
  <c r="L45" i="7"/>
  <c r="D45" i="7"/>
  <c r="X34" i="1"/>
  <c r="X35" i="1" s="1"/>
  <c r="Y34" i="1"/>
  <c r="Z34" i="1"/>
  <c r="AA34" i="1"/>
  <c r="AB34" i="1"/>
  <c r="AB35" i="1" s="1"/>
  <c r="AC34" i="1"/>
  <c r="AC35" i="1" s="1"/>
  <c r="AD34" i="1"/>
  <c r="Y35" i="1"/>
  <c r="Z35" i="1"/>
  <c r="AA35" i="1"/>
  <c r="AD35" i="1"/>
  <c r="W34" i="1"/>
  <c r="W35" i="1" s="1"/>
  <c r="W36" i="1"/>
  <c r="W37" i="1" s="1"/>
  <c r="Z68" i="1"/>
  <c r="Z69" i="1" s="1"/>
  <c r="Y68" i="1"/>
  <c r="Y69" i="1" s="1"/>
  <c r="X68" i="1"/>
  <c r="X69" i="1" s="1"/>
  <c r="W68" i="1"/>
  <c r="W69" i="1" s="1"/>
  <c r="U69" i="1"/>
  <c r="V69" i="1"/>
  <c r="AB69" i="1"/>
  <c r="AC69" i="1"/>
  <c r="AD69" i="1"/>
  <c r="T69" i="1"/>
  <c r="Y41" i="1"/>
  <c r="Z41" i="1"/>
  <c r="AA41" i="1"/>
  <c r="AB41" i="1"/>
  <c r="AC41" i="1"/>
  <c r="AD41" i="1"/>
  <c r="X40" i="1"/>
  <c r="X41" i="1" s="1"/>
  <c r="Y40" i="1"/>
  <c r="Z40" i="1"/>
  <c r="AA40" i="1"/>
  <c r="AB40" i="1"/>
  <c r="AC40" i="1"/>
  <c r="AD40" i="1"/>
  <c r="W41" i="1"/>
  <c r="U41" i="1"/>
  <c r="V41" i="1"/>
  <c r="T41" i="1"/>
  <c r="Y36" i="1"/>
  <c r="Z36" i="1"/>
  <c r="AA36" i="1"/>
  <c r="AB36" i="1"/>
  <c r="AB37" i="1" s="1"/>
  <c r="AC36" i="1"/>
  <c r="AD36" i="1"/>
  <c r="Y37" i="1"/>
  <c r="Z37" i="1"/>
  <c r="AA37" i="1"/>
  <c r="AC37" i="1"/>
  <c r="AD37" i="1"/>
  <c r="X36" i="1"/>
  <c r="X37" i="1" s="1"/>
  <c r="U37" i="1"/>
  <c r="V37" i="1"/>
  <c r="T37" i="1"/>
  <c r="U35" i="1"/>
  <c r="V35" i="1"/>
  <c r="T35" i="1"/>
  <c r="W155" i="2"/>
  <c r="L36" i="7"/>
  <c r="L34" i="7"/>
  <c r="L33" i="7"/>
  <c r="AA20" i="1"/>
  <c r="AB20" i="1"/>
  <c r="AC20" i="1"/>
  <c r="AD20" i="1"/>
  <c r="Z20" i="1"/>
  <c r="Y20" i="1"/>
  <c r="U106" i="1"/>
  <c r="V106" i="1"/>
  <c r="U107" i="1"/>
  <c r="V107" i="1"/>
  <c r="W107" i="1"/>
  <c r="U108" i="1"/>
  <c r="V108" i="1"/>
  <c r="U109" i="1"/>
  <c r="V109" i="1"/>
  <c r="W109" i="1"/>
  <c r="X109" i="1"/>
  <c r="Y109" i="1"/>
  <c r="Z109" i="1"/>
  <c r="AA109" i="1"/>
  <c r="AB109" i="1"/>
  <c r="AC109" i="1"/>
  <c r="AD109" i="1"/>
  <c r="U110" i="1"/>
  <c r="V110" i="1"/>
  <c r="T110" i="1"/>
  <c r="T109" i="1"/>
  <c r="T108" i="1"/>
  <c r="T107" i="1"/>
  <c r="R108" i="1"/>
  <c r="Q108" i="1"/>
  <c r="P108" i="1"/>
  <c r="O108" i="1"/>
  <c r="N108" i="1"/>
  <c r="M108" i="1"/>
  <c r="L108" i="1"/>
  <c r="K108" i="1"/>
  <c r="J108" i="1"/>
  <c r="I108" i="1"/>
  <c r="R106" i="1"/>
  <c r="Q106" i="1"/>
  <c r="Q109" i="1" s="1"/>
  <c r="P106" i="1"/>
  <c r="O106" i="1"/>
  <c r="O109" i="1" s="1"/>
  <c r="N106" i="1"/>
  <c r="N109" i="1" s="1"/>
  <c r="M106" i="1"/>
  <c r="M109" i="1" s="1"/>
  <c r="L106" i="1"/>
  <c r="L109" i="1" s="1"/>
  <c r="K106" i="1"/>
  <c r="K109" i="1" s="1"/>
  <c r="J106" i="1"/>
  <c r="J109" i="1" s="1"/>
  <c r="I106" i="1"/>
  <c r="I109" i="1" s="1"/>
  <c r="AU105" i="7"/>
  <c r="AU106" i="7"/>
  <c r="AU107" i="7"/>
  <c r="AU108" i="7"/>
  <c r="AU109" i="7"/>
  <c r="AU110" i="7"/>
  <c r="AU111" i="7"/>
  <c r="AU112" i="7"/>
  <c r="AU113" i="7"/>
  <c r="AU114" i="7"/>
  <c r="AU115" i="7"/>
  <c r="AU116" i="7"/>
  <c r="AU117" i="7"/>
  <c r="AU118" i="7"/>
  <c r="AU119" i="7"/>
  <c r="AU120" i="7"/>
  <c r="AU121" i="7"/>
  <c r="AU122" i="7"/>
  <c r="AU123" i="7"/>
  <c r="AU124" i="7"/>
  <c r="AU125" i="7"/>
  <c r="AU126" i="7"/>
  <c r="AU127" i="7"/>
  <c r="AU128" i="7"/>
  <c r="AU129" i="7"/>
  <c r="AU130" i="7"/>
  <c r="AU131" i="7"/>
  <c r="AU132" i="7"/>
  <c r="AU133" i="7"/>
  <c r="AU134" i="7"/>
  <c r="AU135" i="7"/>
  <c r="AU136" i="7"/>
  <c r="AU137" i="7"/>
  <c r="AU138" i="7"/>
  <c r="AU139" i="7"/>
  <c r="AU140" i="7"/>
  <c r="AU141" i="7"/>
  <c r="AU142" i="7"/>
  <c r="AU143" i="7"/>
  <c r="AU144" i="7"/>
  <c r="AU145" i="7"/>
  <c r="AU146" i="7"/>
  <c r="AU147" i="7"/>
  <c r="AU148" i="7"/>
  <c r="AU149" i="7"/>
  <c r="AU150" i="7"/>
  <c r="AU151" i="7"/>
  <c r="AY60" i="7"/>
  <c r="AV109" i="7"/>
  <c r="AV110" i="7"/>
  <c r="AV111" i="7"/>
  <c r="AV112" i="7"/>
  <c r="AV113" i="7"/>
  <c r="AV114" i="7"/>
  <c r="AV115" i="7"/>
  <c r="AV116" i="7"/>
  <c r="AV117" i="7"/>
  <c r="AV118" i="7"/>
  <c r="AV119" i="7"/>
  <c r="AV120" i="7"/>
  <c r="AV121" i="7"/>
  <c r="AV122" i="7"/>
  <c r="AV123" i="7"/>
  <c r="AV124" i="7"/>
  <c r="AV125" i="7"/>
  <c r="AV126" i="7"/>
  <c r="AV127" i="7"/>
  <c r="AV128" i="7"/>
  <c r="AV129" i="7"/>
  <c r="AV130" i="7"/>
  <c r="AV131" i="7"/>
  <c r="AV132" i="7"/>
  <c r="AV133" i="7"/>
  <c r="AV134" i="7"/>
  <c r="AV135" i="7"/>
  <c r="AV136" i="7"/>
  <c r="AV137" i="7"/>
  <c r="AV138" i="7"/>
  <c r="AV139" i="7"/>
  <c r="AV140" i="7"/>
  <c r="AV141" i="7"/>
  <c r="AV142" i="7"/>
  <c r="AV143" i="7"/>
  <c r="AV144" i="7"/>
  <c r="AV145" i="7"/>
  <c r="AV146" i="7"/>
  <c r="AV147" i="7"/>
  <c r="AV148" i="7"/>
  <c r="AV149" i="7"/>
  <c r="AV150" i="7"/>
  <c r="AV151" i="7"/>
  <c r="AV152" i="7"/>
  <c r="P109" i="1" l="1"/>
  <c r="R109" i="1"/>
  <c r="AW120" i="7"/>
  <c r="AW121" i="7"/>
  <c r="AW122" i="7"/>
  <c r="AW123" i="7"/>
  <c r="AW124" i="7"/>
  <c r="AW125" i="7"/>
  <c r="AW126" i="7"/>
  <c r="AW127" i="7"/>
  <c r="AW128" i="7"/>
  <c r="AW129" i="7"/>
  <c r="AW130" i="7"/>
  <c r="AW131" i="7"/>
  <c r="AW132" i="7"/>
  <c r="AW133" i="7"/>
  <c r="AW134" i="7"/>
  <c r="AW135" i="7"/>
  <c r="AW136" i="7"/>
  <c r="AW137" i="7"/>
  <c r="AW138" i="7"/>
  <c r="AW139" i="7"/>
  <c r="AW140" i="7"/>
  <c r="AW141" i="7"/>
  <c r="AW142" i="7"/>
  <c r="AW143" i="7"/>
  <c r="AW144" i="7"/>
  <c r="AW145" i="7"/>
  <c r="AW146" i="7"/>
  <c r="AW147" i="7"/>
  <c r="AW148" i="7"/>
  <c r="AW149" i="7"/>
  <c r="AW150" i="7"/>
  <c r="AW151" i="7"/>
  <c r="AW152" i="7"/>
  <c r="AW58" i="7"/>
  <c r="AW59" i="7"/>
  <c r="AW57" i="7"/>
  <c r="AX144" i="7"/>
  <c r="AX145" i="7"/>
  <c r="AX146" i="7"/>
  <c r="AX147" i="7"/>
  <c r="AX148" i="7"/>
  <c r="AX149" i="7"/>
  <c r="AX150" i="7"/>
  <c r="AX151" i="7"/>
  <c r="AX152" i="7"/>
  <c r="AE85" i="7"/>
  <c r="AE86" i="7" s="1"/>
  <c r="AE87" i="7" s="1"/>
  <c r="AE88" i="7" s="1"/>
  <c r="AE89" i="7" s="1"/>
  <c r="AE90" i="7" s="1"/>
  <c r="AE91" i="7" s="1"/>
  <c r="AE92" i="7" s="1"/>
  <c r="AE93" i="7" s="1"/>
  <c r="AE94" i="7" s="1"/>
  <c r="AE95" i="7" s="1"/>
  <c r="AE96" i="7" s="1"/>
  <c r="AE97" i="7" s="1"/>
  <c r="AE98" i="7" s="1"/>
  <c r="AE99" i="7" s="1"/>
  <c r="AE100" i="7" s="1"/>
  <c r="AE101" i="7" s="1"/>
  <c r="AE102" i="7" s="1"/>
  <c r="AE103" i="7" s="1"/>
  <c r="AE104" i="7" s="1"/>
  <c r="AE105" i="7" s="1"/>
  <c r="AE106" i="7" s="1"/>
  <c r="AE107" i="7" s="1"/>
  <c r="AE108" i="7" s="1"/>
  <c r="AE109" i="7" s="1"/>
  <c r="AE110" i="7" s="1"/>
  <c r="AE111" i="7" s="1"/>
  <c r="AE112" i="7" s="1"/>
  <c r="AE113" i="7" s="1"/>
  <c r="AE114" i="7" s="1"/>
  <c r="AE115" i="7" s="1"/>
  <c r="AE116" i="7" s="1"/>
  <c r="AE117" i="7" s="1"/>
  <c r="AE118" i="7" s="1"/>
  <c r="AE119" i="7" s="1"/>
  <c r="AE120" i="7" s="1"/>
  <c r="AE121" i="7" s="1"/>
  <c r="AE122" i="7" s="1"/>
  <c r="AE123" i="7" s="1"/>
  <c r="AE124" i="7" s="1"/>
  <c r="AE125" i="7" s="1"/>
  <c r="AE126" i="7" s="1"/>
  <c r="AE127" i="7" s="1"/>
  <c r="AE128" i="7" s="1"/>
  <c r="AE129" i="7" s="1"/>
  <c r="AE130" i="7" s="1"/>
  <c r="AE131" i="7" s="1"/>
  <c r="AE132" i="7" s="1"/>
  <c r="AE133" i="7" s="1"/>
  <c r="AE134" i="7" s="1"/>
  <c r="AE135" i="7" s="1"/>
  <c r="AE136" i="7" s="1"/>
  <c r="AE137" i="7" s="1"/>
  <c r="AE138" i="7" s="1"/>
  <c r="AE139" i="7" s="1"/>
  <c r="AE140" i="7" s="1"/>
  <c r="AE141" i="7" s="1"/>
  <c r="AE142" i="7" s="1"/>
  <c r="F51" i="7"/>
  <c r="G51" i="7" s="1"/>
  <c r="H51" i="7" s="1"/>
  <c r="F52" i="7" s="1"/>
  <c r="AB144" i="2"/>
  <c r="AC144" i="2"/>
  <c r="AD144" i="2"/>
  <c r="AA144" i="2"/>
  <c r="Z47" i="3"/>
  <c r="W175" i="2" l="1"/>
  <c r="V201" i="2"/>
  <c r="E33" i="11"/>
  <c r="F40" i="11"/>
  <c r="G40" i="11"/>
  <c r="H40" i="11"/>
  <c r="I40" i="11"/>
  <c r="J40" i="11"/>
  <c r="K40" i="11"/>
  <c r="L40" i="11"/>
  <c r="M40" i="11"/>
  <c r="G41" i="11"/>
  <c r="H41" i="11"/>
  <c r="I41" i="11"/>
  <c r="M42" i="11"/>
  <c r="F43" i="11"/>
  <c r="G43" i="11"/>
  <c r="H43" i="11"/>
  <c r="I43" i="11"/>
  <c r="J43" i="11"/>
  <c r="K43" i="11"/>
  <c r="L43" i="11"/>
  <c r="M43" i="11"/>
  <c r="F34" i="11"/>
  <c r="G34" i="11"/>
  <c r="H34" i="11"/>
  <c r="I34" i="11"/>
  <c r="J34" i="11"/>
  <c r="K34" i="11"/>
  <c r="L34" i="11"/>
  <c r="M34" i="11"/>
  <c r="F35" i="11"/>
  <c r="G35" i="11"/>
  <c r="H35" i="11"/>
  <c r="I35" i="11"/>
  <c r="J35" i="11"/>
  <c r="K35" i="11"/>
  <c r="L35" i="11"/>
  <c r="M35" i="11"/>
  <c r="F36" i="11"/>
  <c r="G36" i="11"/>
  <c r="H36" i="11"/>
  <c r="I36" i="11"/>
  <c r="J36" i="11"/>
  <c r="K36" i="11"/>
  <c r="L36" i="11"/>
  <c r="M36" i="11"/>
  <c r="E42" i="11"/>
  <c r="D42" i="11"/>
  <c r="E40" i="11"/>
  <c r="E35" i="11"/>
  <c r="E43" i="11"/>
  <c r="E41" i="11"/>
  <c r="E36" i="11"/>
  <c r="D36" i="11"/>
  <c r="E34" i="11"/>
  <c r="D35" i="11"/>
  <c r="D34" i="11"/>
  <c r="D33" i="11"/>
  <c r="D43" i="11"/>
  <c r="D41" i="11"/>
  <c r="U68" i="2"/>
  <c r="U24" i="2"/>
  <c r="U39" i="2"/>
  <c r="E11" i="11"/>
  <c r="F11" i="11"/>
  <c r="G11" i="11"/>
  <c r="H11" i="11"/>
  <c r="I11" i="11"/>
  <c r="J11" i="11"/>
  <c r="K11" i="11"/>
  <c r="L11" i="11"/>
  <c r="M11" i="11"/>
  <c r="F21" i="11"/>
  <c r="D11" i="11"/>
  <c r="E21" i="11"/>
  <c r="E14" i="11"/>
  <c r="D14" i="11"/>
  <c r="E26" i="11" l="1"/>
  <c r="F26" i="11"/>
  <c r="G26" i="11"/>
  <c r="H26" i="11"/>
  <c r="I26" i="11"/>
  <c r="J26" i="11"/>
  <c r="K26" i="11"/>
  <c r="L26" i="11"/>
  <c r="M26" i="11"/>
  <c r="D26" i="11"/>
  <c r="G21" i="11"/>
  <c r="H21" i="11"/>
  <c r="I21" i="11"/>
  <c r="J21" i="11"/>
  <c r="K21" i="11"/>
  <c r="L21" i="11"/>
  <c r="M21" i="11"/>
  <c r="D21" i="11"/>
  <c r="E16" i="11"/>
  <c r="F16" i="11"/>
  <c r="G16" i="11"/>
  <c r="H16" i="11"/>
  <c r="I16" i="11"/>
  <c r="J16" i="11"/>
  <c r="K16" i="11"/>
  <c r="L16" i="11"/>
  <c r="M16" i="11"/>
  <c r="D16" i="11"/>
  <c r="E10" i="11"/>
  <c r="F10" i="11"/>
  <c r="J10" i="11"/>
  <c r="K10" i="11"/>
  <c r="L10" i="11"/>
  <c r="M10" i="11"/>
  <c r="D10" i="11"/>
  <c r="M19" i="11" l="1"/>
  <c r="L19" i="11"/>
  <c r="K19" i="11"/>
  <c r="J19" i="11"/>
  <c r="I19" i="11"/>
  <c r="H19" i="11"/>
  <c r="G19" i="11"/>
  <c r="F19" i="11"/>
  <c r="E19" i="11"/>
  <c r="D19" i="11"/>
  <c r="M18" i="11"/>
  <c r="L18" i="11"/>
  <c r="K18" i="11"/>
  <c r="J18" i="11"/>
  <c r="I18" i="11"/>
  <c r="H18" i="11"/>
  <c r="G18" i="11"/>
  <c r="F18" i="11"/>
  <c r="E18" i="11"/>
  <c r="D18" i="11"/>
  <c r="M17" i="11"/>
  <c r="L17" i="11"/>
  <c r="K17" i="11"/>
  <c r="J17" i="11"/>
  <c r="I17" i="11"/>
  <c r="H17" i="11"/>
  <c r="G17" i="11"/>
  <c r="F17" i="11"/>
  <c r="E17" i="11"/>
  <c r="D17" i="11"/>
  <c r="E6" i="11"/>
  <c r="D6" i="11"/>
  <c r="D22" i="11" l="1"/>
  <c r="E22" i="11"/>
  <c r="L29" i="9"/>
  <c r="K29" i="9"/>
  <c r="J29" i="9"/>
  <c r="I29" i="9"/>
  <c r="G5" i="9" l="1"/>
  <c r="F5" i="9"/>
  <c r="E5" i="9"/>
  <c r="D5" i="9"/>
  <c r="B38" i="8"/>
  <c r="B37" i="8"/>
  <c r="B36" i="8"/>
  <c r="G7" i="10"/>
  <c r="F7" i="10"/>
  <c r="E7" i="10"/>
  <c r="E11" i="10" s="1"/>
  <c r="F5" i="10" s="1"/>
  <c r="G9" i="10"/>
  <c r="G5" i="10"/>
  <c r="J11" i="9"/>
  <c r="I11" i="9"/>
  <c r="I9" i="9"/>
  <c r="J7" i="9"/>
  <c r="I7" i="9"/>
  <c r="J5" i="9"/>
  <c r="R37" i="9"/>
  <c r="Q37" i="9"/>
  <c r="P37" i="9"/>
  <c r="O37" i="9"/>
  <c r="N37" i="9"/>
  <c r="M37" i="9"/>
  <c r="L37" i="9"/>
  <c r="K37" i="9"/>
  <c r="J37" i="9"/>
  <c r="I37" i="9"/>
  <c r="K35" i="9"/>
  <c r="J35" i="9"/>
  <c r="I35" i="9"/>
  <c r="J30" i="9"/>
  <c r="J27" i="9"/>
  <c r="J25" i="9"/>
  <c r="J23" i="9"/>
  <c r="J21" i="9"/>
  <c r="J18" i="9"/>
  <c r="J16" i="9"/>
  <c r="M9" i="9"/>
  <c r="L9" i="9"/>
  <c r="K9" i="9"/>
  <c r="J9" i="9"/>
  <c r="I18" i="9"/>
  <c r="I16" i="9"/>
  <c r="I30" i="9"/>
  <c r="I27" i="9"/>
  <c r="I25" i="9"/>
  <c r="I23" i="9"/>
  <c r="I21" i="9"/>
  <c r="F6" i="9" l="1"/>
  <c r="G6" i="9"/>
  <c r="E6" i="9"/>
  <c r="J14" i="9"/>
  <c r="F11" i="10"/>
  <c r="F8" i="10"/>
  <c r="E8" i="10"/>
  <c r="U14" i="5"/>
  <c r="V170" i="2"/>
  <c r="V173" i="2"/>
  <c r="U26" i="5" s="1"/>
  <c r="V176" i="2"/>
  <c r="V148" i="2"/>
  <c r="V14" i="1"/>
  <c r="V18" i="1" s="1"/>
  <c r="G11" i="10" l="1"/>
  <c r="H5" i="10" s="1"/>
  <c r="G8" i="10"/>
  <c r="C7" i="10" s="1"/>
  <c r="V175" i="2"/>
  <c r="V178" i="2" s="1"/>
  <c r="W148" i="2"/>
  <c r="W24" i="2"/>
  <c r="F41" i="11" s="1"/>
  <c r="H7" i="10" l="1"/>
  <c r="H8" i="10" s="1"/>
  <c r="H11" i="10"/>
  <c r="I5" i="10" s="1"/>
  <c r="I7" i="10" s="1"/>
  <c r="W128" i="2"/>
  <c r="X128" i="2"/>
  <c r="Y128" i="2"/>
  <c r="Z128" i="2"/>
  <c r="I8" i="10" l="1"/>
  <c r="L40" i="7"/>
  <c r="G38" i="7"/>
  <c r="H38" i="7"/>
  <c r="I38" i="7"/>
  <c r="J38" i="7"/>
  <c r="K38" i="7"/>
  <c r="D35" i="7"/>
  <c r="E32" i="7" s="1"/>
  <c r="E35" i="7" s="1"/>
  <c r="F32" i="7" s="1"/>
  <c r="F35" i="7" s="1"/>
  <c r="G32" i="7" s="1"/>
  <c r="G35" i="7" s="1"/>
  <c r="H32" i="7" s="1"/>
  <c r="H35" i="7" s="1"/>
  <c r="I11" i="10" l="1"/>
  <c r="J5" i="10" s="1"/>
  <c r="J7" i="10" s="1"/>
  <c r="V81" i="1"/>
  <c r="Y153" i="2"/>
  <c r="U175" i="2"/>
  <c r="T175" i="2"/>
  <c r="J8" i="10" l="1"/>
  <c r="J11" i="10"/>
  <c r="K5" i="10" s="1"/>
  <c r="K7" i="10" s="1"/>
  <c r="W170" i="2"/>
  <c r="Z132" i="2"/>
  <c r="Y132" i="2"/>
  <c r="AA132" i="2"/>
  <c r="AB132" i="2"/>
  <c r="AC132" i="2"/>
  <c r="AD132" i="2"/>
  <c r="AB153" i="2"/>
  <c r="AC153" i="2"/>
  <c r="AD153" i="2"/>
  <c r="AA153" i="2"/>
  <c r="Z153" i="2"/>
  <c r="X132" i="2"/>
  <c r="U64" i="3"/>
  <c r="U62" i="3"/>
  <c r="U59" i="3"/>
  <c r="U58" i="3"/>
  <c r="U47" i="3"/>
  <c r="U44" i="3"/>
  <c r="U39" i="3"/>
  <c r="U30" i="3"/>
  <c r="U27" i="3"/>
  <c r="U24" i="3"/>
  <c r="U19" i="3"/>
  <c r="V128" i="2"/>
  <c r="U35" i="3" s="1"/>
  <c r="V52" i="1"/>
  <c r="J20" i="9" s="1"/>
  <c r="J31" i="9" s="1"/>
  <c r="V60" i="1"/>
  <c r="K8" i="10" l="1"/>
  <c r="K11" i="10"/>
  <c r="L5" i="10" s="1"/>
  <c r="L7" i="10" s="1"/>
  <c r="X170" i="2"/>
  <c r="X175" i="2" s="1"/>
  <c r="V26" i="5"/>
  <c r="U66" i="3"/>
  <c r="V43" i="2"/>
  <c r="V14" i="5"/>
  <c r="AA204" i="2"/>
  <c r="AB204" i="2"/>
  <c r="AC204" i="2"/>
  <c r="AD204" i="2"/>
  <c r="W204" i="2"/>
  <c r="I61" i="6"/>
  <c r="I62" i="6" s="1"/>
  <c r="I63" i="6" s="1"/>
  <c r="I64" i="6" s="1"/>
  <c r="H61" i="6"/>
  <c r="H62" i="6" s="1"/>
  <c r="E61" i="6"/>
  <c r="E63" i="6" s="1"/>
  <c r="E64" i="6" s="1"/>
  <c r="D61" i="6"/>
  <c r="K60" i="6"/>
  <c r="I58" i="6"/>
  <c r="I59" i="6" s="1"/>
  <c r="H58" i="6"/>
  <c r="H59" i="6" s="1"/>
  <c r="E58" i="6"/>
  <c r="E59" i="6" s="1"/>
  <c r="D58" i="6"/>
  <c r="K57" i="6"/>
  <c r="I54" i="6"/>
  <c r="I55" i="6" s="1"/>
  <c r="I56" i="6" s="1"/>
  <c r="H54" i="6"/>
  <c r="H55" i="6" s="1"/>
  <c r="F54" i="6"/>
  <c r="E54" i="6"/>
  <c r="E55" i="6" s="1"/>
  <c r="E56" i="6" s="1"/>
  <c r="D54" i="6"/>
  <c r="D55" i="6" s="1"/>
  <c r="K53" i="6"/>
  <c r="G53" i="6"/>
  <c r="L12" i="7"/>
  <c r="L13" i="7"/>
  <c r="L8" i="7"/>
  <c r="AY144" i="7"/>
  <c r="AZ144" i="7"/>
  <c r="AY145" i="7"/>
  <c r="AZ145" i="7"/>
  <c r="AY146" i="7"/>
  <c r="AZ146" i="7"/>
  <c r="AY147" i="7"/>
  <c r="AZ147" i="7"/>
  <c r="AY148" i="7"/>
  <c r="AZ148" i="7"/>
  <c r="AY149" i="7"/>
  <c r="AZ149" i="7"/>
  <c r="AY150" i="7"/>
  <c r="AZ150" i="7"/>
  <c r="AY151" i="7"/>
  <c r="AZ151" i="7"/>
  <c r="AU152" i="7"/>
  <c r="AY152" i="7"/>
  <c r="AZ152" i="7"/>
  <c r="AY135" i="7"/>
  <c r="AY136" i="7"/>
  <c r="AY137" i="7"/>
  <c r="AY138" i="7"/>
  <c r="AY139" i="7"/>
  <c r="AY140" i="7"/>
  <c r="AY141" i="7"/>
  <c r="AY142" i="7"/>
  <c r="AY143" i="7"/>
  <c r="AY82" i="7"/>
  <c r="AT82" i="7" s="1"/>
  <c r="AY83" i="7"/>
  <c r="AT83" i="7" s="1"/>
  <c r="AY84" i="7"/>
  <c r="AY85" i="7"/>
  <c r="AY86" i="7"/>
  <c r="AY87" i="7"/>
  <c r="AY88" i="7"/>
  <c r="AY89" i="7"/>
  <c r="AY90" i="7"/>
  <c r="AY91" i="7"/>
  <c r="AY92" i="7"/>
  <c r="AY93" i="7"/>
  <c r="AY94" i="7"/>
  <c r="AY95" i="7"/>
  <c r="AY96" i="7"/>
  <c r="AY97" i="7"/>
  <c r="AY98" i="7"/>
  <c r="AY99" i="7"/>
  <c r="AY100" i="7"/>
  <c r="AY101" i="7"/>
  <c r="AY102" i="7"/>
  <c r="AY103" i="7"/>
  <c r="AY104" i="7"/>
  <c r="AY105" i="7"/>
  <c r="AY106" i="7"/>
  <c r="AY107" i="7"/>
  <c r="AY108" i="7"/>
  <c r="AY109" i="7"/>
  <c r="AY110" i="7"/>
  <c r="AY111" i="7"/>
  <c r="AY112" i="7"/>
  <c r="AY113" i="7"/>
  <c r="AY114" i="7"/>
  <c r="AY115" i="7"/>
  <c r="AY116" i="7"/>
  <c r="AY117" i="7"/>
  <c r="AY118" i="7"/>
  <c r="AY119" i="7"/>
  <c r="AY120" i="7"/>
  <c r="AY121" i="7"/>
  <c r="AY122" i="7"/>
  <c r="AY123" i="7"/>
  <c r="AY124" i="7"/>
  <c r="AY125" i="7"/>
  <c r="AY126" i="7"/>
  <c r="AY127" i="7"/>
  <c r="AY128" i="7"/>
  <c r="AY129" i="7"/>
  <c r="AY130" i="7"/>
  <c r="AY131" i="7"/>
  <c r="AY132" i="7"/>
  <c r="AY133" i="7"/>
  <c r="AY134" i="7"/>
  <c r="AY81" i="7"/>
  <c r="AY80" i="7"/>
  <c r="AT80" i="7" s="1"/>
  <c r="AY79" i="7"/>
  <c r="AT79" i="7" s="1"/>
  <c r="AY62" i="7"/>
  <c r="AT62" i="7" s="1"/>
  <c r="AY63" i="7"/>
  <c r="AT63" i="7" s="1"/>
  <c r="AY64" i="7"/>
  <c r="AT64" i="7" s="1"/>
  <c r="AY65" i="7"/>
  <c r="AT65" i="7" s="1"/>
  <c r="AY66" i="7"/>
  <c r="AT66" i="7" s="1"/>
  <c r="AY67" i="7"/>
  <c r="AT67" i="7" s="1"/>
  <c r="AY68" i="7"/>
  <c r="AT68" i="7" s="1"/>
  <c r="AY69" i="7"/>
  <c r="AY70" i="7"/>
  <c r="AT70" i="7" s="1"/>
  <c r="AY71" i="7"/>
  <c r="AT71" i="7" s="1"/>
  <c r="AY72" i="7"/>
  <c r="AT72" i="7" s="1"/>
  <c r="AY73" i="7"/>
  <c r="AT73" i="7" s="1"/>
  <c r="AY74" i="7"/>
  <c r="AT74" i="7" s="1"/>
  <c r="AY75" i="7"/>
  <c r="AT75" i="7" s="1"/>
  <c r="AY76" i="7"/>
  <c r="AT76" i="7" s="1"/>
  <c r="AY77" i="7"/>
  <c r="AT77" i="7" s="1"/>
  <c r="AY78" i="7"/>
  <c r="AT78" i="7" s="1"/>
  <c r="AY61" i="7"/>
  <c r="W73" i="2"/>
  <c r="I34" i="6"/>
  <c r="I35" i="6" s="1"/>
  <c r="I36" i="6" s="1"/>
  <c r="I38" i="6" s="1"/>
  <c r="I39" i="6" s="1"/>
  <c r="I41" i="6" s="1"/>
  <c r="I42" i="6" s="1"/>
  <c r="I43" i="6" s="1"/>
  <c r="I44" i="6" s="1"/>
  <c r="V47" i="3"/>
  <c r="W47" i="3"/>
  <c r="X47" i="3"/>
  <c r="V59" i="3"/>
  <c r="W59" i="3" s="1"/>
  <c r="I42" i="7" l="1"/>
  <c r="H42" i="7"/>
  <c r="G42" i="7"/>
  <c r="AT69" i="7"/>
  <c r="E42" i="7"/>
  <c r="J42" i="7"/>
  <c r="AT81" i="7"/>
  <c r="F42" i="7"/>
  <c r="K42" i="7"/>
  <c r="AT61" i="7"/>
  <c r="D42" i="7"/>
  <c r="L8" i="10"/>
  <c r="L11" i="10"/>
  <c r="M5" i="10" s="1"/>
  <c r="M7" i="10" s="1"/>
  <c r="K59" i="6"/>
  <c r="W26" i="5"/>
  <c r="Y170" i="2"/>
  <c r="Y175" i="2" s="1"/>
  <c r="X14" i="5" s="1"/>
  <c r="H56" i="6"/>
  <c r="K56" i="6" s="1"/>
  <c r="K55" i="6"/>
  <c r="D63" i="6"/>
  <c r="D56" i="6"/>
  <c r="H63" i="6"/>
  <c r="K62" i="6"/>
  <c r="K61" i="6"/>
  <c r="K54" i="6"/>
  <c r="F55" i="6"/>
  <c r="F56" i="6" s="1"/>
  <c r="F57" i="6" s="1"/>
  <c r="K58" i="6"/>
  <c r="L53" i="6"/>
  <c r="G54" i="6"/>
  <c r="X59" i="3"/>
  <c r="BB92" i="7" l="1"/>
  <c r="F28" i="7"/>
  <c r="M8" i="10"/>
  <c r="X26" i="5"/>
  <c r="Z170" i="2"/>
  <c r="Z175" i="2" s="1"/>
  <c r="L54" i="6"/>
  <c r="F58" i="6"/>
  <c r="G57" i="6"/>
  <c r="L57" i="6" s="1"/>
  <c r="G55" i="6"/>
  <c r="L55" i="6" s="1"/>
  <c r="G56" i="6"/>
  <c r="L56" i="6" s="1"/>
  <c r="H64" i="6"/>
  <c r="K64" i="6" s="1"/>
  <c r="K63" i="6"/>
  <c r="D64" i="6"/>
  <c r="M11" i="10" l="1"/>
  <c r="N5" i="10" s="1"/>
  <c r="N7" i="10" s="1"/>
  <c r="Y26" i="5"/>
  <c r="AA170" i="2"/>
  <c r="AA175" i="2" s="1"/>
  <c r="K65" i="6"/>
  <c r="F59" i="6"/>
  <c r="G58" i="6"/>
  <c r="N8" i="10" l="1"/>
  <c r="N11" i="10"/>
  <c r="O5" i="10" s="1"/>
  <c r="O7" i="10" s="1"/>
  <c r="Z26" i="5"/>
  <c r="AB170" i="2"/>
  <c r="AB175" i="2" s="1"/>
  <c r="L58" i="6"/>
  <c r="F60" i="6"/>
  <c r="F61" i="6" s="1"/>
  <c r="G59" i="6"/>
  <c r="L59" i="6" s="1"/>
  <c r="O8" i="10" l="1"/>
  <c r="O11" i="10"/>
  <c r="AA26" i="5"/>
  <c r="AC170" i="2"/>
  <c r="AC175" i="2" s="1"/>
  <c r="G60" i="6"/>
  <c r="L60" i="6" s="1"/>
  <c r="AB26" i="5" l="1"/>
  <c r="AD170" i="2"/>
  <c r="AD175" i="2" s="1"/>
  <c r="AC26" i="5" s="1"/>
  <c r="F62" i="6"/>
  <c r="G61" i="6"/>
  <c r="L61" i="6" s="1"/>
  <c r="F63" i="6" l="1"/>
  <c r="G62" i="6"/>
  <c r="L62" i="6" s="1"/>
  <c r="F64" i="6" l="1"/>
  <c r="G63" i="6"/>
  <c r="L63" i="6" s="1"/>
  <c r="G64" i="6" l="1"/>
  <c r="F65" i="6"/>
  <c r="Y12" i="1" s="1"/>
  <c r="M7" i="9" s="1"/>
  <c r="L64" i="6" l="1"/>
  <c r="L65" i="6" s="1"/>
  <c r="G65" i="6"/>
  <c r="M65" i="6" l="1"/>
  <c r="N65" i="6" s="1"/>
  <c r="L66" i="6"/>
  <c r="L67" i="6" s="1"/>
  <c r="M67" i="6" l="1"/>
  <c r="N67" i="6" l="1"/>
  <c r="Y11" i="1" s="1"/>
  <c r="M5" i="9" s="1"/>
  <c r="Y16" i="1"/>
  <c r="M11" i="9" s="1"/>
  <c r="M14" i="9" l="1"/>
  <c r="D29" i="7"/>
  <c r="D24" i="7"/>
  <c r="D25" i="7" s="1"/>
  <c r="L23" i="7"/>
  <c r="L18" i="7"/>
  <c r="D19" i="7"/>
  <c r="D20" i="7" s="1"/>
  <c r="E17" i="7" s="1"/>
  <c r="D14" i="7"/>
  <c r="AT60" i="7"/>
  <c r="AO80" i="7"/>
  <c r="E29" i="7" s="1"/>
  <c r="AP60" i="7"/>
  <c r="AZ60" i="7" s="1"/>
  <c r="AJ60" i="7"/>
  <c r="AJ61" i="7" s="1"/>
  <c r="AJ62" i="7" s="1"/>
  <c r="AJ63" i="7" s="1"/>
  <c r="AJ64" i="7" s="1"/>
  <c r="AJ65" i="7" s="1"/>
  <c r="AJ66" i="7" s="1"/>
  <c r="AJ67" i="7" s="1"/>
  <c r="AJ68" i="7" s="1"/>
  <c r="AJ69" i="7" s="1"/>
  <c r="AJ70" i="7" s="1"/>
  <c r="AJ71" i="7" s="1"/>
  <c r="AJ72" i="7" s="1"/>
  <c r="AJ73" i="7" s="1"/>
  <c r="AJ74" i="7" s="1"/>
  <c r="AJ75" i="7" s="1"/>
  <c r="AJ76" i="7" s="1"/>
  <c r="AJ77" i="7" s="1"/>
  <c r="AJ78" i="7" s="1"/>
  <c r="AJ79" i="7" s="1"/>
  <c r="AJ80" i="7" s="1"/>
  <c r="AJ81" i="7" s="1"/>
  <c r="AJ82" i="7" s="1"/>
  <c r="AJ83" i="7" s="1"/>
  <c r="AJ84" i="7" s="1"/>
  <c r="AJ85" i="7" s="1"/>
  <c r="AJ86" i="7" s="1"/>
  <c r="AJ87" i="7" s="1"/>
  <c r="AJ88" i="7" s="1"/>
  <c r="AJ89" i="7" s="1"/>
  <c r="AJ90" i="7" s="1"/>
  <c r="AJ91" i="7" s="1"/>
  <c r="AJ92" i="7" s="1"/>
  <c r="AJ93" i="7" s="1"/>
  <c r="AJ94" i="7" s="1"/>
  <c r="AJ95" i="7" s="1"/>
  <c r="AJ96" i="7" s="1"/>
  <c r="AJ97" i="7" s="1"/>
  <c r="AJ98" i="7" s="1"/>
  <c r="AJ99" i="7" s="1"/>
  <c r="AJ100" i="7" s="1"/>
  <c r="AJ101" i="7" s="1"/>
  <c r="AJ102" i="7" s="1"/>
  <c r="AJ103" i="7" s="1"/>
  <c r="AJ104" i="7" s="1"/>
  <c r="AJ105" i="7" s="1"/>
  <c r="AJ106" i="7" s="1"/>
  <c r="AJ107" i="7" s="1"/>
  <c r="AJ108" i="7" s="1"/>
  <c r="AJ109" i="7" s="1"/>
  <c r="AJ110" i="7" s="1"/>
  <c r="AJ111" i="7" s="1"/>
  <c r="AJ112" i="7" s="1"/>
  <c r="AJ113" i="7" s="1"/>
  <c r="AJ114" i="7" s="1"/>
  <c r="AJ115" i="7" s="1"/>
  <c r="AJ116" i="7" s="1"/>
  <c r="AJ117" i="7" s="1"/>
  <c r="AJ118" i="7" s="1"/>
  <c r="AJ119" i="7" s="1"/>
  <c r="AJ120" i="7" s="1"/>
  <c r="AJ121" i="7" s="1"/>
  <c r="AJ122" i="7" s="1"/>
  <c r="AJ123" i="7" s="1"/>
  <c r="AJ124" i="7" s="1"/>
  <c r="AJ125" i="7" s="1"/>
  <c r="AJ126" i="7" s="1"/>
  <c r="AJ127" i="7" s="1"/>
  <c r="AJ128" i="7" s="1"/>
  <c r="AJ129" i="7" s="1"/>
  <c r="AJ130" i="7" s="1"/>
  <c r="AJ131" i="7" s="1"/>
  <c r="AJ132" i="7" s="1"/>
  <c r="AJ133" i="7" s="1"/>
  <c r="AJ134" i="7" s="1"/>
  <c r="AJ135" i="7" s="1"/>
  <c r="AJ136" i="7" s="1"/>
  <c r="AJ137" i="7" s="1"/>
  <c r="AJ138" i="7" s="1"/>
  <c r="AJ139" i="7" s="1"/>
  <c r="AJ140" i="7" s="1"/>
  <c r="AJ141" i="7" s="1"/>
  <c r="AJ142" i="7" s="1"/>
  <c r="AJ143" i="7" s="1"/>
  <c r="Q57" i="7"/>
  <c r="Q58" i="7" s="1"/>
  <c r="Q59" i="7" s="1"/>
  <c r="X61" i="7"/>
  <c r="AW61" i="7" s="1"/>
  <c r="X60" i="7"/>
  <c r="AW60" i="7" s="1"/>
  <c r="AG61" i="7"/>
  <c r="AX61" i="7" s="1"/>
  <c r="AF80" i="7"/>
  <c r="E24" i="7" s="1"/>
  <c r="AI61" i="7"/>
  <c r="AG62" i="7" s="1"/>
  <c r="AX62" i="7" s="1"/>
  <c r="AG60" i="7"/>
  <c r="AA60" i="7"/>
  <c r="AA61" i="7" s="1"/>
  <c r="AA62" i="7" s="1"/>
  <c r="AA63" i="7" s="1"/>
  <c r="AA64" i="7" s="1"/>
  <c r="AA65" i="7" s="1"/>
  <c r="AA66" i="7" s="1"/>
  <c r="AA67" i="7" s="1"/>
  <c r="AA68" i="7" s="1"/>
  <c r="AA69" i="7" s="1"/>
  <c r="AA70" i="7" s="1"/>
  <c r="AA71" i="7" s="1"/>
  <c r="AA72" i="7" s="1"/>
  <c r="AA73" i="7" s="1"/>
  <c r="AA74" i="7" s="1"/>
  <c r="AA75" i="7" s="1"/>
  <c r="AA76" i="7" s="1"/>
  <c r="AA77" i="7" s="1"/>
  <c r="AA78" i="7" s="1"/>
  <c r="AA79" i="7" s="1"/>
  <c r="AA80" i="7" s="1"/>
  <c r="AA81" i="7" s="1"/>
  <c r="AA82" i="7" s="1"/>
  <c r="AA83" i="7" s="1"/>
  <c r="AA84" i="7" s="1"/>
  <c r="AA85" i="7" s="1"/>
  <c r="AA86" i="7" s="1"/>
  <c r="AA87" i="7" s="1"/>
  <c r="AA88" i="7" s="1"/>
  <c r="AA89" i="7" s="1"/>
  <c r="AA90" i="7" s="1"/>
  <c r="AA91" i="7" s="1"/>
  <c r="AA92" i="7" s="1"/>
  <c r="AA93" i="7" s="1"/>
  <c r="AA94" i="7" s="1"/>
  <c r="AA95" i="7" s="1"/>
  <c r="AA96" i="7" s="1"/>
  <c r="AA97" i="7" s="1"/>
  <c r="AA98" i="7" s="1"/>
  <c r="AA99" i="7" s="1"/>
  <c r="AA100" i="7" s="1"/>
  <c r="AA101" i="7" s="1"/>
  <c r="AA102" i="7" s="1"/>
  <c r="AA103" i="7" s="1"/>
  <c r="AA104" i="7" s="1"/>
  <c r="AA105" i="7" s="1"/>
  <c r="AA106" i="7" s="1"/>
  <c r="AA107" i="7" s="1"/>
  <c r="AA108" i="7" s="1"/>
  <c r="AA109" i="7" s="1"/>
  <c r="AA110" i="7" s="1"/>
  <c r="AA111" i="7" s="1"/>
  <c r="AA112" i="7" s="1"/>
  <c r="AA113" i="7" s="1"/>
  <c r="AA114" i="7" s="1"/>
  <c r="AA115" i="7" s="1"/>
  <c r="AA116" i="7" s="1"/>
  <c r="AA117" i="7" s="1"/>
  <c r="AA118" i="7" s="1"/>
  <c r="AA119" i="7" s="1"/>
  <c r="AA120" i="7" s="1"/>
  <c r="AA121" i="7" s="1"/>
  <c r="AA122" i="7" s="1"/>
  <c r="AA123" i="7" s="1"/>
  <c r="AA124" i="7" s="1"/>
  <c r="AA125" i="7" s="1"/>
  <c r="AA126" i="7" s="1"/>
  <c r="AA127" i="7" s="1"/>
  <c r="AA128" i="7" s="1"/>
  <c r="AA129" i="7" s="1"/>
  <c r="AA130" i="7" s="1"/>
  <c r="AA131" i="7" s="1"/>
  <c r="AA132" i="7" s="1"/>
  <c r="AA133" i="7" s="1"/>
  <c r="AA134" i="7" s="1"/>
  <c r="AA135" i="7" s="1"/>
  <c r="AA136" i="7" s="1"/>
  <c r="AA137" i="7" s="1"/>
  <c r="AA138" i="7" s="1"/>
  <c r="AA139" i="7" s="1"/>
  <c r="AA140" i="7" s="1"/>
  <c r="AA141" i="7" s="1"/>
  <c r="AA142" i="7" s="1"/>
  <c r="AA143" i="7" s="1"/>
  <c r="E271" i="7"/>
  <c r="R60" i="7"/>
  <c r="R61" i="7" s="1"/>
  <c r="R62" i="7" s="1"/>
  <c r="R63" i="7" s="1"/>
  <c r="R64" i="7" s="1"/>
  <c r="R65" i="7" s="1"/>
  <c r="R66" i="7" s="1"/>
  <c r="R67" i="7" s="1"/>
  <c r="R68" i="7" s="1"/>
  <c r="R69" i="7" s="1"/>
  <c r="R70" i="7" s="1"/>
  <c r="R71" i="7" s="1"/>
  <c r="R72" i="7" s="1"/>
  <c r="R73" i="7" s="1"/>
  <c r="R74" i="7" s="1"/>
  <c r="R75" i="7" s="1"/>
  <c r="R76" i="7" s="1"/>
  <c r="R77" i="7" s="1"/>
  <c r="R78" i="7" s="1"/>
  <c r="R79" i="7" s="1"/>
  <c r="R80" i="7" s="1"/>
  <c r="R81" i="7" s="1"/>
  <c r="R82" i="7" s="1"/>
  <c r="R83" i="7" s="1"/>
  <c r="R84" i="7" s="1"/>
  <c r="R85" i="7" s="1"/>
  <c r="R86" i="7" s="1"/>
  <c r="R87" i="7" s="1"/>
  <c r="R88" i="7" s="1"/>
  <c r="R89" i="7" s="1"/>
  <c r="R90" i="7" s="1"/>
  <c r="R91" i="7" s="1"/>
  <c r="R92" i="7" s="1"/>
  <c r="R93" i="7" s="1"/>
  <c r="R94" i="7" s="1"/>
  <c r="R95" i="7" s="1"/>
  <c r="R96" i="7" s="1"/>
  <c r="R97" i="7" s="1"/>
  <c r="R98" i="7" s="1"/>
  <c r="R99" i="7" s="1"/>
  <c r="R100" i="7" s="1"/>
  <c r="R101" i="7" s="1"/>
  <c r="R102" i="7" s="1"/>
  <c r="R103" i="7" s="1"/>
  <c r="R104" i="7" s="1"/>
  <c r="R105" i="7" s="1"/>
  <c r="R106" i="7" s="1"/>
  <c r="R107" i="7" s="1"/>
  <c r="R108" i="7" s="1"/>
  <c r="R109" i="7" s="1"/>
  <c r="R110" i="7" s="1"/>
  <c r="R111" i="7" s="1"/>
  <c r="R112" i="7" s="1"/>
  <c r="R113" i="7" s="1"/>
  <c r="R114" i="7" s="1"/>
  <c r="R115" i="7" s="1"/>
  <c r="R116" i="7" s="1"/>
  <c r="R117" i="7" s="1"/>
  <c r="R118" i="7" s="1"/>
  <c r="R119" i="7" s="1"/>
  <c r="G52" i="7"/>
  <c r="H52" i="7" s="1"/>
  <c r="F53" i="7" s="1"/>
  <c r="O57" i="7"/>
  <c r="I61" i="7"/>
  <c r="I62" i="7" s="1"/>
  <c r="I63" i="7" s="1"/>
  <c r="I64" i="7" s="1"/>
  <c r="I65" i="7" s="1"/>
  <c r="I66" i="7" s="1"/>
  <c r="I67" i="7" s="1"/>
  <c r="I68" i="7" s="1"/>
  <c r="I69" i="7" s="1"/>
  <c r="I70" i="7" s="1"/>
  <c r="I71" i="7" s="1"/>
  <c r="I72" i="7" s="1"/>
  <c r="I73" i="7" s="1"/>
  <c r="I74" i="7" s="1"/>
  <c r="I75" i="7" s="1"/>
  <c r="I76" i="7" s="1"/>
  <c r="I77" i="7" s="1"/>
  <c r="I78" i="7" s="1"/>
  <c r="I79" i="7" s="1"/>
  <c r="I80" i="7" s="1"/>
  <c r="I81" i="7" s="1"/>
  <c r="I82" i="7" s="1"/>
  <c r="I83" i="7" s="1"/>
  <c r="I84" i="7" s="1"/>
  <c r="I85" i="7" s="1"/>
  <c r="I86" i="7" s="1"/>
  <c r="I87" i="7" s="1"/>
  <c r="I88" i="7" s="1"/>
  <c r="I89" i="7" s="1"/>
  <c r="I90" i="7" s="1"/>
  <c r="I91" i="7" s="1"/>
  <c r="I92" i="7" s="1"/>
  <c r="I93" i="7" s="1"/>
  <c r="I94" i="7" s="1"/>
  <c r="I95" i="7" s="1"/>
  <c r="I96" i="7" s="1"/>
  <c r="I97" i="7" s="1"/>
  <c r="I98" i="7" s="1"/>
  <c r="I99" i="7" s="1"/>
  <c r="I100" i="7" s="1"/>
  <c r="I101" i="7" s="1"/>
  <c r="I102" i="7" s="1"/>
  <c r="I103" i="7" s="1"/>
  <c r="I104" i="7" s="1"/>
  <c r="I105" i="7" s="1"/>
  <c r="I106" i="7" s="1"/>
  <c r="I107" i="7" s="1"/>
  <c r="I108" i="7" s="1"/>
  <c r="A61" i="7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G270" i="7"/>
  <c r="G261" i="7"/>
  <c r="G249" i="7"/>
  <c r="Q246" i="7"/>
  <c r="Q237" i="7"/>
  <c r="G237" i="7"/>
  <c r="Q225" i="7"/>
  <c r="G225" i="7"/>
  <c r="Q213" i="7"/>
  <c r="G213" i="7"/>
  <c r="Q201" i="7"/>
  <c r="G201" i="7"/>
  <c r="P199" i="7"/>
  <c r="F199" i="7"/>
  <c r="S197" i="7"/>
  <c r="S196" i="7"/>
  <c r="T196" i="7" s="1"/>
  <c r="J196" i="7"/>
  <c r="S195" i="7"/>
  <c r="T195" i="7" s="1"/>
  <c r="J195" i="7"/>
  <c r="AV57" i="7" l="1"/>
  <c r="D15" i="7"/>
  <c r="E12" i="7" s="1"/>
  <c r="I199" i="7"/>
  <c r="E22" i="7"/>
  <c r="E25" i="7" s="1"/>
  <c r="W67" i="2"/>
  <c r="O58" i="7"/>
  <c r="AV58" i="7" s="1"/>
  <c r="H9" i="7"/>
  <c r="Q60" i="7"/>
  <c r="Q61" i="7" s="1"/>
  <c r="O60" i="7"/>
  <c r="AV60" i="7" s="1"/>
  <c r="O59" i="7"/>
  <c r="AV59" i="7" s="1"/>
  <c r="AI62" i="7"/>
  <c r="G271" i="7"/>
  <c r="F200" i="7"/>
  <c r="Z61" i="7"/>
  <c r="X62" i="7" s="1"/>
  <c r="AW62" i="7" s="1"/>
  <c r="W80" i="7"/>
  <c r="E19" i="7" s="1"/>
  <c r="E20" i="7" s="1"/>
  <c r="F17" i="7" s="1"/>
  <c r="G53" i="7"/>
  <c r="H53" i="7" s="1"/>
  <c r="F54" i="7" s="1"/>
  <c r="P200" i="7"/>
  <c r="S199" i="7"/>
  <c r="AB64" i="1"/>
  <c r="AC60" i="1" s="1"/>
  <c r="AC64" i="1"/>
  <c r="AD60" i="1" s="1"/>
  <c r="AD64" i="1"/>
  <c r="AA64" i="1"/>
  <c r="AB60" i="1" s="1"/>
  <c r="AC66" i="3"/>
  <c r="AA47" i="3"/>
  <c r="AB47" i="3"/>
  <c r="AC47" i="3"/>
  <c r="Y47" i="3"/>
  <c r="AD85" i="1"/>
  <c r="AC85" i="1"/>
  <c r="AB85" i="1"/>
  <c r="AB88" i="1" s="1"/>
  <c r="P32" i="9" s="1"/>
  <c r="AA85" i="1"/>
  <c r="AA88" i="1" s="1"/>
  <c r="O32" i="9" s="1"/>
  <c r="Z85" i="1"/>
  <c r="Y85" i="1"/>
  <c r="Y14" i="5"/>
  <c r="Z14" i="5"/>
  <c r="X61" i="5"/>
  <c r="Y61" i="5"/>
  <c r="Z61" i="5"/>
  <c r="AA61" i="5"/>
  <c r="AB61" i="5"/>
  <c r="AC61" i="5"/>
  <c r="Y20" i="2"/>
  <c r="Z20" i="2"/>
  <c r="AA20" i="2"/>
  <c r="AB20" i="2"/>
  <c r="AC20" i="2"/>
  <c r="AD20" i="2"/>
  <c r="Y24" i="2"/>
  <c r="Z24" i="2"/>
  <c r="AA24" i="2"/>
  <c r="J41" i="11" s="1"/>
  <c r="AB24" i="2"/>
  <c r="K41" i="11" s="1"/>
  <c r="AC24" i="2"/>
  <c r="L41" i="11" s="1"/>
  <c r="AD24" i="2"/>
  <c r="M41" i="11" s="1"/>
  <c r="Y25" i="2"/>
  <c r="Y26" i="2"/>
  <c r="Z26" i="2"/>
  <c r="AA26" i="2"/>
  <c r="AB26" i="2"/>
  <c r="AC26" i="2"/>
  <c r="AD26" i="2"/>
  <c r="Y32" i="2"/>
  <c r="Z32" i="2"/>
  <c r="AA32" i="2"/>
  <c r="AB32" i="2"/>
  <c r="AC32" i="2"/>
  <c r="AD32" i="2"/>
  <c r="Y88" i="2"/>
  <c r="Z88" i="2"/>
  <c r="AA88" i="2"/>
  <c r="AB88" i="2"/>
  <c r="AC88" i="2"/>
  <c r="AD88" i="2"/>
  <c r="AA128" i="2"/>
  <c r="AB128" i="2"/>
  <c r="AC128" i="2"/>
  <c r="AD128" i="2"/>
  <c r="Y144" i="2"/>
  <c r="Z144" i="2"/>
  <c r="Y148" i="2"/>
  <c r="Z148" i="2"/>
  <c r="AA148" i="2"/>
  <c r="AB148" i="2"/>
  <c r="AC148" i="2"/>
  <c r="AD148" i="2"/>
  <c r="Y155" i="2"/>
  <c r="Z155" i="2"/>
  <c r="AA155" i="2"/>
  <c r="AB155" i="2"/>
  <c r="AC155" i="2"/>
  <c r="AD155" i="2"/>
  <c r="Y88" i="1"/>
  <c r="M32" i="9" s="1"/>
  <c r="Z88" i="1"/>
  <c r="N32" i="9" s="1"/>
  <c r="AC88" i="1"/>
  <c r="Q32" i="9" s="1"/>
  <c r="AD88" i="1"/>
  <c r="R32" i="9" s="1"/>
  <c r="Y81" i="1"/>
  <c r="Z81" i="1"/>
  <c r="AA81" i="1"/>
  <c r="AB81" i="1"/>
  <c r="AC81" i="1"/>
  <c r="AD81" i="1"/>
  <c r="Z64" i="1"/>
  <c r="AA60" i="1" s="1"/>
  <c r="Y64" i="1"/>
  <c r="Z60" i="1" s="1"/>
  <c r="Y29" i="1"/>
  <c r="Z29" i="1" s="1"/>
  <c r="AA29" i="1" s="1"/>
  <c r="AB29" i="1" s="1"/>
  <c r="AC29" i="1" s="1"/>
  <c r="AD29" i="1" s="1"/>
  <c r="Y42" i="1"/>
  <c r="Y33" i="1"/>
  <c r="Z33" i="1" s="1"/>
  <c r="AA33" i="1" s="1"/>
  <c r="AB33" i="1" s="1"/>
  <c r="AC33" i="1" s="1"/>
  <c r="AD33" i="1" s="1"/>
  <c r="Y13" i="1"/>
  <c r="N9" i="9" s="1"/>
  <c r="Z42" i="1" l="1"/>
  <c r="M29" i="9"/>
  <c r="P67" i="7"/>
  <c r="Z45" i="5"/>
  <c r="AC45" i="5"/>
  <c r="Y45" i="5"/>
  <c r="Z13" i="1"/>
  <c r="Y14" i="1"/>
  <c r="Y18" i="1" s="1"/>
  <c r="AB45" i="5"/>
  <c r="AA45" i="5"/>
  <c r="Y9" i="5"/>
  <c r="X9" i="5"/>
  <c r="F22" i="7"/>
  <c r="AC66" i="5"/>
  <c r="Y66" i="5"/>
  <c r="AA63" i="5"/>
  <c r="Z56" i="5"/>
  <c r="AA66" i="5"/>
  <c r="AC63" i="5"/>
  <c r="AA56" i="5"/>
  <c r="AA51" i="5"/>
  <c r="AC60" i="5"/>
  <c r="AB66" i="5"/>
  <c r="AC56" i="5"/>
  <c r="AA60" i="5"/>
  <c r="AC51" i="5"/>
  <c r="Z63" i="5"/>
  <c r="Z60" i="5"/>
  <c r="Z66" i="5"/>
  <c r="AF92" i="7"/>
  <c r="F24" i="7" s="1"/>
  <c r="X67" i="2" s="1"/>
  <c r="AI63" i="7"/>
  <c r="AG63" i="7"/>
  <c r="AX63" i="7" s="1"/>
  <c r="O62" i="7"/>
  <c r="AV62" i="7" s="1"/>
  <c r="Q62" i="7"/>
  <c r="O61" i="7"/>
  <c r="I200" i="7"/>
  <c r="F201" i="7"/>
  <c r="Z62" i="7"/>
  <c r="X63" i="7" s="1"/>
  <c r="AW63" i="7" s="1"/>
  <c r="V86" i="7"/>
  <c r="V87" i="7" s="1"/>
  <c r="V88" i="7" s="1"/>
  <c r="V89" i="7" s="1"/>
  <c r="V90" i="7" s="1"/>
  <c r="V91" i="7" s="1"/>
  <c r="V92" i="7" s="1"/>
  <c r="V93" i="7" s="1"/>
  <c r="G54" i="7"/>
  <c r="H54" i="7" s="1"/>
  <c r="F55" i="7" s="1"/>
  <c r="S200" i="7"/>
  <c r="P201" i="7"/>
  <c r="AB60" i="5"/>
  <c r="AB56" i="5"/>
  <c r="AB63" i="5"/>
  <c r="Z51" i="5"/>
  <c r="AB51" i="5"/>
  <c r="Y60" i="5"/>
  <c r="Y56" i="5"/>
  <c r="Y63" i="5"/>
  <c r="Y51" i="5"/>
  <c r="AA42" i="1" l="1"/>
  <c r="N29" i="9"/>
  <c r="AA13" i="1"/>
  <c r="O9" i="9"/>
  <c r="M18" i="9"/>
  <c r="M27" i="9"/>
  <c r="M21" i="9"/>
  <c r="M23" i="9"/>
  <c r="Y38" i="1"/>
  <c r="M25" i="9" s="1"/>
  <c r="AV61" i="7"/>
  <c r="F25" i="7"/>
  <c r="AI64" i="7"/>
  <c r="AG64" i="7"/>
  <c r="AX64" i="7" s="1"/>
  <c r="Q63" i="7"/>
  <c r="O63" i="7"/>
  <c r="AV63" i="7" s="1"/>
  <c r="AF104" i="7"/>
  <c r="G24" i="7" s="1"/>
  <c r="I201" i="7"/>
  <c r="J201" i="7" s="1"/>
  <c r="F202" i="7"/>
  <c r="W92" i="7"/>
  <c r="F19" i="7" s="1"/>
  <c r="F20" i="7" s="1"/>
  <c r="G17" i="7" s="1"/>
  <c r="Z63" i="7"/>
  <c r="V94" i="7"/>
  <c r="V95" i="7" s="1"/>
  <c r="V96" i="7" s="1"/>
  <c r="V97" i="7" s="1"/>
  <c r="V98" i="7" s="1"/>
  <c r="V99" i="7" s="1"/>
  <c r="V100" i="7" s="1"/>
  <c r="V101" i="7" s="1"/>
  <c r="V102" i="7" s="1"/>
  <c r="V103" i="7" s="1"/>
  <c r="V104" i="7" s="1"/>
  <c r="V105" i="7" s="1"/>
  <c r="G55" i="7"/>
  <c r="H55" i="7" s="1"/>
  <c r="F56" i="7" s="1"/>
  <c r="P202" i="7"/>
  <c r="S201" i="7"/>
  <c r="T201" i="7" s="1"/>
  <c r="AB42" i="1" l="1"/>
  <c r="O29" i="9"/>
  <c r="Z9" i="5"/>
  <c r="AB13" i="1"/>
  <c r="P9" i="9"/>
  <c r="G22" i="7"/>
  <c r="G25" i="7" s="1"/>
  <c r="Y67" i="2"/>
  <c r="Z64" i="7"/>
  <c r="X65" i="7" s="1"/>
  <c r="AW65" i="7" s="1"/>
  <c r="X64" i="7"/>
  <c r="AW64" i="7" s="1"/>
  <c r="AG65" i="7"/>
  <c r="AX65" i="7" s="1"/>
  <c r="AI65" i="7"/>
  <c r="Q64" i="7"/>
  <c r="O64" i="7"/>
  <c r="AF116" i="7"/>
  <c r="H24" i="7" s="1"/>
  <c r="V106" i="7"/>
  <c r="V107" i="7" s="1"/>
  <c r="V108" i="7" s="1"/>
  <c r="V109" i="7" s="1"/>
  <c r="V110" i="7" s="1"/>
  <c r="V111" i="7" s="1"/>
  <c r="V112" i="7" s="1"/>
  <c r="V113" i="7" s="1"/>
  <c r="V114" i="7" s="1"/>
  <c r="V115" i="7" s="1"/>
  <c r="V116" i="7" s="1"/>
  <c r="V117" i="7" s="1"/>
  <c r="F203" i="7"/>
  <c r="I202" i="7"/>
  <c r="W104" i="7"/>
  <c r="G19" i="7" s="1"/>
  <c r="G20" i="7" s="1"/>
  <c r="H17" i="7" s="1"/>
  <c r="P203" i="7"/>
  <c r="S202" i="7"/>
  <c r="AL68" i="1"/>
  <c r="V204" i="2"/>
  <c r="AC42" i="1" l="1"/>
  <c r="P29" i="9"/>
  <c r="AA9" i="5"/>
  <c r="AC13" i="1"/>
  <c r="Q9" i="9"/>
  <c r="AV64" i="7"/>
  <c r="V15" i="5"/>
  <c r="G56" i="7"/>
  <c r="H56" i="7" s="1"/>
  <c r="F57" i="7" s="1"/>
  <c r="AU57" i="7" s="1"/>
  <c r="H22" i="7"/>
  <c r="H25" i="7" s="1"/>
  <c r="Z67" i="2"/>
  <c r="Z65" i="7"/>
  <c r="X66" i="7" s="1"/>
  <c r="AW66" i="7" s="1"/>
  <c r="AG66" i="7"/>
  <c r="AX66" i="7" s="1"/>
  <c r="AI66" i="7"/>
  <c r="AF128" i="7"/>
  <c r="I24" i="7" s="1"/>
  <c r="Q65" i="7"/>
  <c r="O65" i="7"/>
  <c r="AV65" i="7" s="1"/>
  <c r="W116" i="7"/>
  <c r="H19" i="7" s="1"/>
  <c r="H20" i="7" s="1"/>
  <c r="I17" i="7" s="1"/>
  <c r="I203" i="7"/>
  <c r="F204" i="7"/>
  <c r="V118" i="7"/>
  <c r="W119" i="7" s="1"/>
  <c r="I19" i="7" s="1"/>
  <c r="P204" i="7"/>
  <c r="S203" i="7"/>
  <c r="AD42" i="1" l="1"/>
  <c r="Q29" i="9"/>
  <c r="AB9" i="5"/>
  <c r="AD13" i="1"/>
  <c r="R9" i="9"/>
  <c r="D7" i="7"/>
  <c r="D37" i="7" s="1"/>
  <c r="Z66" i="7"/>
  <c r="X67" i="7" s="1"/>
  <c r="AW67" i="7" s="1"/>
  <c r="I22" i="7"/>
  <c r="I25" i="7" s="1"/>
  <c r="AA67" i="2"/>
  <c r="G57" i="7"/>
  <c r="L19" i="7"/>
  <c r="I20" i="7"/>
  <c r="AF140" i="7"/>
  <c r="J24" i="7" s="1"/>
  <c r="AF143" i="7"/>
  <c r="K24" i="7" s="1"/>
  <c r="AG67" i="7"/>
  <c r="AX67" i="7" s="1"/>
  <c r="AI67" i="7"/>
  <c r="Q66" i="7"/>
  <c r="O66" i="7"/>
  <c r="AV66" i="7" s="1"/>
  <c r="I204" i="7"/>
  <c r="F205" i="7"/>
  <c r="P205" i="7"/>
  <c r="S204" i="7"/>
  <c r="AC9" i="5" l="1"/>
  <c r="R29" i="9"/>
  <c r="Z67" i="7"/>
  <c r="X68" i="7" s="1"/>
  <c r="AW68" i="7" s="1"/>
  <c r="L7" i="7"/>
  <c r="L37" i="7" s="1"/>
  <c r="J22" i="7"/>
  <c r="J25" i="7" s="1"/>
  <c r="AB67" i="2"/>
  <c r="H57" i="7"/>
  <c r="F58" i="7" s="1"/>
  <c r="AU58" i="7" s="1"/>
  <c r="L24" i="7"/>
  <c r="J17" i="7"/>
  <c r="J20" i="7" s="1"/>
  <c r="AG68" i="7"/>
  <c r="AX68" i="7" s="1"/>
  <c r="AI68" i="7"/>
  <c r="Q67" i="7"/>
  <c r="O67" i="7"/>
  <c r="AV67" i="7" s="1"/>
  <c r="I205" i="7"/>
  <c r="F206" i="7"/>
  <c r="P206" i="7"/>
  <c r="S205" i="7"/>
  <c r="Y68" i="7" l="1"/>
  <c r="D21" i="7" s="1"/>
  <c r="Z68" i="7"/>
  <c r="X69" i="7" s="1"/>
  <c r="AW69" i="7" s="1"/>
  <c r="G58" i="7"/>
  <c r="K22" i="7"/>
  <c r="K25" i="7" s="1"/>
  <c r="AC67" i="2"/>
  <c r="K17" i="7"/>
  <c r="K20" i="7" s="1"/>
  <c r="AH68" i="7"/>
  <c r="D26" i="7" s="1"/>
  <c r="AG69" i="7"/>
  <c r="AX69" i="7" s="1"/>
  <c r="AI69" i="7"/>
  <c r="Q68" i="7"/>
  <c r="O68" i="7"/>
  <c r="I206" i="7"/>
  <c r="F207" i="7"/>
  <c r="P207" i="7"/>
  <c r="S206" i="7"/>
  <c r="U74" i="6"/>
  <c r="AV68" i="7" l="1"/>
  <c r="P68" i="7"/>
  <c r="Z69" i="7"/>
  <c r="X70" i="7" s="1"/>
  <c r="AW70" i="7" s="1"/>
  <c r="H58" i="7"/>
  <c r="AG70" i="7"/>
  <c r="AX70" i="7" s="1"/>
  <c r="AI70" i="7"/>
  <c r="Q69" i="7"/>
  <c r="O69" i="7"/>
  <c r="AV69" i="7" s="1"/>
  <c r="F208" i="7"/>
  <c r="I207" i="7"/>
  <c r="P208" i="7"/>
  <c r="S207" i="7"/>
  <c r="W74" i="6"/>
  <c r="D16" i="7" l="1"/>
  <c r="F59" i="7"/>
  <c r="AU59" i="7" s="1"/>
  <c r="BA59" i="7" s="1"/>
  <c r="Z70" i="7"/>
  <c r="X71" i="7" s="1"/>
  <c r="AW71" i="7" s="1"/>
  <c r="AG71" i="7"/>
  <c r="AX71" i="7" s="1"/>
  <c r="AI71" i="7"/>
  <c r="Q70" i="7"/>
  <c r="O70" i="7"/>
  <c r="AV70" i="7" s="1"/>
  <c r="F209" i="7"/>
  <c r="I208" i="7"/>
  <c r="P209" i="7"/>
  <c r="S208" i="7"/>
  <c r="G59" i="7" l="1"/>
  <c r="Z71" i="7"/>
  <c r="X72" i="7" s="1"/>
  <c r="AW72" i="7" s="1"/>
  <c r="AG72" i="7"/>
  <c r="AX72" i="7" s="1"/>
  <c r="AI72" i="7"/>
  <c r="Q71" i="7"/>
  <c r="O71" i="7"/>
  <c r="AV71" i="7" s="1"/>
  <c r="F210" i="7"/>
  <c r="I209" i="7"/>
  <c r="P210" i="7"/>
  <c r="S209" i="7"/>
  <c r="Z72" i="7" l="1"/>
  <c r="X73" i="7" s="1"/>
  <c r="AW73" i="7" s="1"/>
  <c r="AR60" i="7"/>
  <c r="AP61" i="7" s="1"/>
  <c r="AZ61" i="7" s="1"/>
  <c r="H59" i="7"/>
  <c r="F60" i="7" s="1"/>
  <c r="AU60" i="7" s="1"/>
  <c r="AG73" i="7"/>
  <c r="AX73" i="7" s="1"/>
  <c r="AI73" i="7"/>
  <c r="Q72" i="7"/>
  <c r="O72" i="7"/>
  <c r="AV72" i="7" s="1"/>
  <c r="I210" i="7"/>
  <c r="F211" i="7"/>
  <c r="P211" i="7"/>
  <c r="S210" i="7"/>
  <c r="U43" i="1"/>
  <c r="T43" i="1"/>
  <c r="Z73" i="7" l="1"/>
  <c r="X74" i="7" s="1"/>
  <c r="AW74" i="7" s="1"/>
  <c r="G60" i="7"/>
  <c r="G67" i="7"/>
  <c r="O73" i="7"/>
  <c r="AV73" i="7" s="1"/>
  <c r="M73" i="7"/>
  <c r="Q73" i="7" s="1"/>
  <c r="O74" i="7" s="1"/>
  <c r="AV74" i="7" s="1"/>
  <c r="AG74" i="7"/>
  <c r="AX74" i="7" s="1"/>
  <c r="AI74" i="7"/>
  <c r="I211" i="7"/>
  <c r="F212" i="7"/>
  <c r="P212" i="7"/>
  <c r="S211" i="7"/>
  <c r="X24" i="2"/>
  <c r="Z74" i="7" l="1"/>
  <c r="X75" i="7" s="1"/>
  <c r="AW75" i="7" s="1"/>
  <c r="H60" i="7"/>
  <c r="F61" i="7" s="1"/>
  <c r="AU61" i="7" s="1"/>
  <c r="E68" i="7"/>
  <c r="D9" i="7" s="1"/>
  <c r="AR61" i="7"/>
  <c r="AP62" i="7" s="1"/>
  <c r="AZ62" i="7" s="1"/>
  <c r="M74" i="7"/>
  <c r="AG75" i="7"/>
  <c r="AX75" i="7" s="1"/>
  <c r="AI75" i="7"/>
  <c r="F213" i="7"/>
  <c r="I212" i="7"/>
  <c r="S212" i="7"/>
  <c r="P213" i="7"/>
  <c r="Z75" i="7" l="1"/>
  <c r="X76" i="7" s="1"/>
  <c r="AW76" i="7" s="1"/>
  <c r="H61" i="7"/>
  <c r="H62" i="7" s="1"/>
  <c r="D39" i="7"/>
  <c r="D10" i="7"/>
  <c r="E7" i="7" s="1"/>
  <c r="M75" i="7"/>
  <c r="M76" i="7" s="1"/>
  <c r="M77" i="7" s="1"/>
  <c r="M78" i="7" s="1"/>
  <c r="M79" i="7" s="1"/>
  <c r="M80" i="7" s="1"/>
  <c r="M81" i="7" s="1"/>
  <c r="Q74" i="7"/>
  <c r="AG76" i="7"/>
  <c r="AX76" i="7" s="1"/>
  <c r="AI76" i="7"/>
  <c r="I213" i="7"/>
  <c r="J213" i="7" s="1"/>
  <c r="F214" i="7"/>
  <c r="Z76" i="7"/>
  <c r="X77" i="7" s="1"/>
  <c r="AW77" i="7" s="1"/>
  <c r="S213" i="7"/>
  <c r="T213" i="7" s="1"/>
  <c r="P214" i="7"/>
  <c r="W14" i="5"/>
  <c r="W9" i="5"/>
  <c r="I14" i="6"/>
  <c r="I16" i="6" s="1"/>
  <c r="I17" i="6" s="1"/>
  <c r="I18" i="6" s="1"/>
  <c r="I20" i="6" s="1"/>
  <c r="I21" i="6" s="1"/>
  <c r="I22" i="6" s="1"/>
  <c r="I23" i="6" s="1"/>
  <c r="I24" i="6" s="1"/>
  <c r="H14" i="6"/>
  <c r="H15" i="6" s="1"/>
  <c r="H16" i="6" s="1"/>
  <c r="H17" i="6" s="1"/>
  <c r="H18" i="6" s="1"/>
  <c r="H19" i="6" s="1"/>
  <c r="H20" i="6" s="1"/>
  <c r="H21" i="6" s="1"/>
  <c r="H23" i="6" s="1"/>
  <c r="H24" i="6" s="1"/>
  <c r="F14" i="6"/>
  <c r="F15" i="6" s="1"/>
  <c r="F16" i="6" s="1"/>
  <c r="F17" i="6" s="1"/>
  <c r="F18" i="6" s="1"/>
  <c r="F19" i="6" s="1"/>
  <c r="F20" i="6" s="1"/>
  <c r="F21" i="6" s="1"/>
  <c r="F23" i="6" s="1"/>
  <c r="F24" i="6" s="1"/>
  <c r="E15" i="6"/>
  <c r="E17" i="6" s="1"/>
  <c r="E18" i="6" s="1"/>
  <c r="E20" i="6" s="1"/>
  <c r="E21" i="6" s="1"/>
  <c r="E22" i="6" s="1"/>
  <c r="E23" i="6" s="1"/>
  <c r="E24" i="6" s="1"/>
  <c r="D15" i="6"/>
  <c r="D17" i="6" s="1"/>
  <c r="H34" i="6"/>
  <c r="K34" i="6" s="1"/>
  <c r="F34" i="6"/>
  <c r="F35" i="6" s="1"/>
  <c r="F36" i="6" s="1"/>
  <c r="F37" i="6" s="1"/>
  <c r="F38" i="6" s="1"/>
  <c r="F39" i="6" s="1"/>
  <c r="F40" i="6" s="1"/>
  <c r="F41" i="6" s="1"/>
  <c r="F42" i="6" s="1"/>
  <c r="F43" i="6" s="1"/>
  <c r="F44" i="6" s="1"/>
  <c r="E34" i="6"/>
  <c r="E35" i="6" s="1"/>
  <c r="E36" i="6" s="1"/>
  <c r="E38" i="6" s="1"/>
  <c r="E39" i="6" s="1"/>
  <c r="E41" i="6" s="1"/>
  <c r="E42" i="6" s="1"/>
  <c r="E43" i="6" s="1"/>
  <c r="E44" i="6" s="1"/>
  <c r="D34" i="6"/>
  <c r="D35" i="6" s="1"/>
  <c r="K33" i="6"/>
  <c r="G33" i="6"/>
  <c r="X85" i="1"/>
  <c r="X88" i="1" s="1"/>
  <c r="L32" i="9" s="1"/>
  <c r="X81" i="1"/>
  <c r="X64" i="1"/>
  <c r="Y60" i="1" s="1"/>
  <c r="X155" i="2"/>
  <c r="X66" i="5" s="1"/>
  <c r="X153" i="2"/>
  <c r="X63" i="5" s="1"/>
  <c r="X148" i="2"/>
  <c r="X56" i="5" s="1"/>
  <c r="X144" i="2"/>
  <c r="X51" i="5" s="1"/>
  <c r="X60" i="5"/>
  <c r="X88" i="2"/>
  <c r="X32" i="2"/>
  <c r="X26" i="2"/>
  <c r="X20" i="2"/>
  <c r="X45" i="5" s="1"/>
  <c r="F62" i="7" l="1"/>
  <c r="AU62" i="7" s="1"/>
  <c r="AR62" i="7"/>
  <c r="AP63" i="7" s="1"/>
  <c r="AZ63" i="7" s="1"/>
  <c r="F63" i="7"/>
  <c r="AU63" i="7" s="1"/>
  <c r="H63" i="7"/>
  <c r="N80" i="7"/>
  <c r="E14" i="7" s="1"/>
  <c r="M82" i="7"/>
  <c r="M83" i="7" s="1"/>
  <c r="M84" i="7" s="1"/>
  <c r="M85" i="7" s="1"/>
  <c r="M86" i="7" s="1"/>
  <c r="M87" i="7" s="1"/>
  <c r="M88" i="7" s="1"/>
  <c r="M89" i="7" s="1"/>
  <c r="M90" i="7" s="1"/>
  <c r="M91" i="7" s="1"/>
  <c r="M92" i="7" s="1"/>
  <c r="M93" i="7" s="1"/>
  <c r="O75" i="7"/>
  <c r="AV75" i="7" s="1"/>
  <c r="Q75" i="7"/>
  <c r="AG77" i="7"/>
  <c r="AX77" i="7" s="1"/>
  <c r="AI77" i="7"/>
  <c r="I214" i="7"/>
  <c r="F215" i="7"/>
  <c r="Z77" i="7"/>
  <c r="X78" i="7" s="1"/>
  <c r="AW78" i="7" s="1"/>
  <c r="P215" i="7"/>
  <c r="S214" i="7"/>
  <c r="H35" i="6"/>
  <c r="D20" i="6"/>
  <c r="D21" i="6" s="1"/>
  <c r="D23" i="6" s="1"/>
  <c r="D24" i="6" s="1"/>
  <c r="D18" i="6"/>
  <c r="W60" i="5"/>
  <c r="F45" i="6"/>
  <c r="X12" i="1" s="1"/>
  <c r="L7" i="9" s="1"/>
  <c r="G34" i="6"/>
  <c r="L34" i="6" s="1"/>
  <c r="D36" i="6"/>
  <c r="G35" i="6"/>
  <c r="L33" i="6"/>
  <c r="AR63" i="7" l="1"/>
  <c r="AP64" i="7" s="1"/>
  <c r="AZ64" i="7" s="1"/>
  <c r="H64" i="7"/>
  <c r="F64" i="7"/>
  <c r="AU64" i="7" s="1"/>
  <c r="U73" i="3"/>
  <c r="W41" i="3"/>
  <c r="E15" i="7"/>
  <c r="N92" i="7"/>
  <c r="F14" i="7" s="1"/>
  <c r="M94" i="7"/>
  <c r="M95" i="7" s="1"/>
  <c r="M96" i="7" s="1"/>
  <c r="M97" i="7" s="1"/>
  <c r="M98" i="7" s="1"/>
  <c r="M99" i="7" s="1"/>
  <c r="M100" i="7" s="1"/>
  <c r="M101" i="7" s="1"/>
  <c r="M102" i="7" s="1"/>
  <c r="M103" i="7" s="1"/>
  <c r="M104" i="7" s="1"/>
  <c r="M105" i="7" s="1"/>
  <c r="O76" i="7"/>
  <c r="AV76" i="7" s="1"/>
  <c r="Q76" i="7"/>
  <c r="AG78" i="7"/>
  <c r="AX78" i="7" s="1"/>
  <c r="AI78" i="7"/>
  <c r="F216" i="7"/>
  <c r="I215" i="7"/>
  <c r="Z78" i="7"/>
  <c r="X79" i="7" s="1"/>
  <c r="AW79" i="7" s="1"/>
  <c r="P216" i="7"/>
  <c r="S215" i="7"/>
  <c r="K35" i="6"/>
  <c r="L35" i="6" s="1"/>
  <c r="H36" i="6"/>
  <c r="G36" i="6"/>
  <c r="D38" i="6"/>
  <c r="G37" i="6"/>
  <c r="V20" i="2"/>
  <c r="W64" i="1"/>
  <c r="X60" i="1" s="1"/>
  <c r="U66" i="5"/>
  <c r="U53" i="5"/>
  <c r="W52" i="1"/>
  <c r="U128" i="2"/>
  <c r="U60" i="5" s="1"/>
  <c r="F25" i="6"/>
  <c r="W12" i="1" s="1"/>
  <c r="U41" i="3"/>
  <c r="K24" i="6"/>
  <c r="G24" i="6"/>
  <c r="K23" i="6"/>
  <c r="G23" i="6"/>
  <c r="K22" i="6"/>
  <c r="G22" i="6"/>
  <c r="K21" i="6"/>
  <c r="G21" i="6"/>
  <c r="K20" i="6"/>
  <c r="G20" i="6"/>
  <c r="K19" i="6"/>
  <c r="G19" i="6"/>
  <c r="K18" i="6"/>
  <c r="G18" i="6"/>
  <c r="K17" i="6"/>
  <c r="G17" i="6"/>
  <c r="K16" i="6"/>
  <c r="G16" i="6"/>
  <c r="K15" i="6"/>
  <c r="G15" i="6"/>
  <c r="K14" i="6"/>
  <c r="G14" i="6"/>
  <c r="K13" i="6"/>
  <c r="G13" i="6"/>
  <c r="S26" i="5"/>
  <c r="T66" i="3"/>
  <c r="T47" i="3"/>
  <c r="T44" i="3"/>
  <c r="T39" i="3"/>
  <c r="T41" i="3" s="1"/>
  <c r="T35" i="3"/>
  <c r="T30" i="3"/>
  <c r="T27" i="3"/>
  <c r="T24" i="3"/>
  <c r="T25" i="3" s="1"/>
  <c r="T19" i="3"/>
  <c r="T20" i="3" s="1"/>
  <c r="T64" i="3"/>
  <c r="T62" i="3"/>
  <c r="T59" i="3"/>
  <c r="T58" i="3"/>
  <c r="U11" i="1"/>
  <c r="I5" i="9" s="1"/>
  <c r="U56" i="5"/>
  <c r="W60" i="1"/>
  <c r="W56" i="5"/>
  <c r="W32" i="2"/>
  <c r="W26" i="2"/>
  <c r="U63" i="5"/>
  <c r="U51" i="5"/>
  <c r="U20" i="2"/>
  <c r="W20" i="2"/>
  <c r="W45" i="5" s="1"/>
  <c r="T63" i="5"/>
  <c r="T61" i="5"/>
  <c r="AG36" i="1"/>
  <c r="AF40" i="1"/>
  <c r="AG40" i="1" s="1"/>
  <c r="AF68" i="1"/>
  <c r="AG68" i="1" s="1"/>
  <c r="AF33" i="1"/>
  <c r="AG33" i="1" s="1"/>
  <c r="T128" i="2"/>
  <c r="S35" i="3" s="1"/>
  <c r="T16" i="1"/>
  <c r="T11" i="1" s="1"/>
  <c r="T148" i="2"/>
  <c r="S30" i="3" s="1"/>
  <c r="T204" i="2"/>
  <c r="W90" i="2"/>
  <c r="X90" i="2" s="1"/>
  <c r="Y90" i="2" s="1"/>
  <c r="Z90" i="2" s="1"/>
  <c r="AA90" i="2" s="1"/>
  <c r="AB90" i="2" s="1"/>
  <c r="AC90" i="2" s="1"/>
  <c r="AD90" i="2" s="1"/>
  <c r="U52" i="1"/>
  <c r="S128" i="2"/>
  <c r="S176" i="2"/>
  <c r="S65" i="2"/>
  <c r="S80" i="2" s="1"/>
  <c r="S24" i="2"/>
  <c r="R58" i="3" s="1"/>
  <c r="U60" i="1"/>
  <c r="T60" i="1"/>
  <c r="T52" i="1"/>
  <c r="T54" i="1" s="1"/>
  <c r="T58" i="1" s="1"/>
  <c r="S126" i="2"/>
  <c r="R47" i="3" s="1"/>
  <c r="S36" i="2"/>
  <c r="R66" i="3" s="1"/>
  <c r="S92" i="1"/>
  <c r="V88" i="2"/>
  <c r="U88" i="2"/>
  <c r="T88" i="2"/>
  <c r="S88" i="2"/>
  <c r="S100" i="2" s="1"/>
  <c r="S210" i="2" s="1"/>
  <c r="S60" i="1"/>
  <c r="S52" i="1"/>
  <c r="S14" i="1"/>
  <c r="S18" i="1" s="1"/>
  <c r="R36" i="2"/>
  <c r="Q26" i="5"/>
  <c r="Q32" i="5" s="1"/>
  <c r="R128" i="2"/>
  <c r="Q60" i="5" s="1"/>
  <c r="R39" i="2"/>
  <c r="R24" i="2"/>
  <c r="Q58" i="3" s="1"/>
  <c r="Q65" i="2"/>
  <c r="Q80" i="2" s="1"/>
  <c r="Q146" i="2"/>
  <c r="Q53" i="5" s="1"/>
  <c r="Q66" i="5"/>
  <c r="Q63" i="5"/>
  <c r="R14" i="1"/>
  <c r="R18" i="1" s="1"/>
  <c r="P39" i="2"/>
  <c r="O66" i="3" s="1"/>
  <c r="P71" i="2"/>
  <c r="P80" i="2" s="1"/>
  <c r="O30" i="5"/>
  <c r="O32" i="5" s="1"/>
  <c r="P160" i="2"/>
  <c r="O47" i="3" s="1"/>
  <c r="V9" i="5"/>
  <c r="U9" i="5"/>
  <c r="R24" i="3"/>
  <c r="R25" i="3" s="1"/>
  <c r="P178" i="2"/>
  <c r="S204" i="2"/>
  <c r="S28" i="5" s="1"/>
  <c r="P47" i="3"/>
  <c r="S44" i="3"/>
  <c r="P44" i="3"/>
  <c r="P66" i="3"/>
  <c r="S64" i="3"/>
  <c r="R64" i="3"/>
  <c r="Q64" i="3"/>
  <c r="P64" i="3"/>
  <c r="O64" i="3"/>
  <c r="P58" i="3"/>
  <c r="O58" i="3"/>
  <c r="W88" i="2"/>
  <c r="R81" i="1"/>
  <c r="W85" i="1"/>
  <c r="W88" i="1" s="1"/>
  <c r="K32" i="9" s="1"/>
  <c r="V85" i="1"/>
  <c r="V88" i="1" s="1"/>
  <c r="J32" i="9" s="1"/>
  <c r="J34" i="9" s="1"/>
  <c r="J36" i="9" s="1"/>
  <c r="J38" i="9" s="1"/>
  <c r="J41" i="9" s="1"/>
  <c r="R9" i="5"/>
  <c r="P9" i="5"/>
  <c r="P43" i="1"/>
  <c r="O148" i="2"/>
  <c r="N30" i="3" s="1"/>
  <c r="M94" i="2"/>
  <c r="N94" i="2"/>
  <c r="O24" i="2"/>
  <c r="N58" i="3" s="1"/>
  <c r="M26" i="5"/>
  <c r="P24" i="3"/>
  <c r="P25" i="3" s="1"/>
  <c r="R204" i="2"/>
  <c r="P204" i="2"/>
  <c r="O195" i="2"/>
  <c r="O204" i="2" s="1"/>
  <c r="N195" i="2"/>
  <c r="M195" i="2"/>
  <c r="N189" i="2"/>
  <c r="M189" i="2"/>
  <c r="M204" i="2" s="1"/>
  <c r="Q204" i="2"/>
  <c r="O178" i="2"/>
  <c r="N173" i="2"/>
  <c r="N178" i="2" s="1"/>
  <c r="M170" i="2"/>
  <c r="N160" i="2"/>
  <c r="M160" i="2"/>
  <c r="N158" i="2"/>
  <c r="M158" i="2"/>
  <c r="O44" i="3"/>
  <c r="N44" i="3"/>
  <c r="R30" i="3"/>
  <c r="Q30" i="3"/>
  <c r="O30" i="3"/>
  <c r="R53" i="5"/>
  <c r="O146" i="2"/>
  <c r="O53" i="5" s="1"/>
  <c r="S19" i="3"/>
  <c r="S20" i="3" s="1"/>
  <c r="Q19" i="3"/>
  <c r="Q20" i="3" s="1"/>
  <c r="P19" i="3"/>
  <c r="P20" i="3" s="1"/>
  <c r="O19" i="3"/>
  <c r="R35" i="3"/>
  <c r="R36" i="3" s="1"/>
  <c r="N126" i="2"/>
  <c r="M126" i="2"/>
  <c r="N119" i="2"/>
  <c r="M119" i="2"/>
  <c r="R88" i="2"/>
  <c r="R100" i="2" s="1"/>
  <c r="R210" i="2" s="1"/>
  <c r="Q88" i="2"/>
  <c r="P88" i="2"/>
  <c r="O88" i="2"/>
  <c r="O100" i="2" s="1"/>
  <c r="O210" i="2" s="1"/>
  <c r="N88" i="2"/>
  <c r="N100" i="2" s="1"/>
  <c r="N210" i="2" s="1"/>
  <c r="M88" i="2"/>
  <c r="O80" i="2"/>
  <c r="N68" i="2"/>
  <c r="M68" i="2"/>
  <c r="R80" i="2"/>
  <c r="N65" i="2"/>
  <c r="M65" i="2"/>
  <c r="N39" i="2"/>
  <c r="M66" i="3" s="1"/>
  <c r="N32" i="2"/>
  <c r="T20" i="2"/>
  <c r="T45" i="5" s="1"/>
  <c r="S20" i="2"/>
  <c r="Q20" i="2"/>
  <c r="P45" i="5" s="1"/>
  <c r="U81" i="1"/>
  <c r="R60" i="1"/>
  <c r="Q52" i="1"/>
  <c r="N66" i="3"/>
  <c r="M39" i="2"/>
  <c r="M32" i="2"/>
  <c r="L64" i="3" s="1"/>
  <c r="P52" i="1"/>
  <c r="S59" i="3"/>
  <c r="R59" i="3"/>
  <c r="Q59" i="3"/>
  <c r="P59" i="3"/>
  <c r="O59" i="3"/>
  <c r="N59" i="3"/>
  <c r="N201" i="2"/>
  <c r="L119" i="2"/>
  <c r="I66" i="3"/>
  <c r="M22" i="2"/>
  <c r="L160" i="2"/>
  <c r="L201" i="2"/>
  <c r="L204" i="2" s="1"/>
  <c r="M146" i="2"/>
  <c r="L27" i="3" s="1"/>
  <c r="K30" i="5"/>
  <c r="K32" i="5"/>
  <c r="L39" i="2"/>
  <c r="L43" i="2" s="1"/>
  <c r="L173" i="2"/>
  <c r="L178" i="2" s="1"/>
  <c r="L195" i="2"/>
  <c r="L126" i="2"/>
  <c r="L65" i="2"/>
  <c r="L80" i="2" s="1"/>
  <c r="S39" i="3"/>
  <c r="S41" i="3" s="1"/>
  <c r="N51" i="5"/>
  <c r="Q14" i="1"/>
  <c r="Q18" i="1" s="1"/>
  <c r="N24" i="3"/>
  <c r="N25" i="3" s="1"/>
  <c r="N61" i="5"/>
  <c r="M39" i="3"/>
  <c r="M41" i="3" s="1"/>
  <c r="L39" i="3"/>
  <c r="L41" i="3" s="1"/>
  <c r="Q9" i="5"/>
  <c r="O9" i="5"/>
  <c r="N9" i="5"/>
  <c r="N64" i="3"/>
  <c r="S62" i="3"/>
  <c r="R62" i="3"/>
  <c r="Q62" i="3"/>
  <c r="P62" i="3"/>
  <c r="O62" i="3"/>
  <c r="N62" i="3"/>
  <c r="R44" i="3"/>
  <c r="P30" i="3"/>
  <c r="R20" i="2"/>
  <c r="P20" i="2"/>
  <c r="O20" i="2"/>
  <c r="K64" i="3"/>
  <c r="U85" i="1"/>
  <c r="U88" i="1" s="1"/>
  <c r="I32" i="9" s="1"/>
  <c r="T85" i="1"/>
  <c r="T88" i="1" s="1"/>
  <c r="S85" i="1"/>
  <c r="S88" i="1" s="1"/>
  <c r="R85" i="1"/>
  <c r="R88" i="1" s="1"/>
  <c r="Q85" i="1"/>
  <c r="Q88" i="1" s="1"/>
  <c r="P85" i="1"/>
  <c r="P88" i="1" s="1"/>
  <c r="O85" i="1"/>
  <c r="O88" i="1" s="1"/>
  <c r="Q81" i="1"/>
  <c r="O81" i="1"/>
  <c r="Q60" i="1"/>
  <c r="P60" i="1"/>
  <c r="O60" i="1"/>
  <c r="R52" i="1"/>
  <c r="O52" i="1"/>
  <c r="P14" i="1"/>
  <c r="P18" i="1" s="1"/>
  <c r="O14" i="1"/>
  <c r="O18" i="1" s="1"/>
  <c r="M62" i="3"/>
  <c r="M43" i="1"/>
  <c r="M52" i="1"/>
  <c r="M60" i="1"/>
  <c r="M14" i="1"/>
  <c r="M18" i="1" s="1"/>
  <c r="M85" i="1"/>
  <c r="M88" i="1" s="1"/>
  <c r="L14" i="1"/>
  <c r="L18" i="1" s="1"/>
  <c r="L52" i="1"/>
  <c r="L60" i="1"/>
  <c r="L85" i="1"/>
  <c r="L88" i="1" s="1"/>
  <c r="N14" i="1"/>
  <c r="N18" i="1" s="1"/>
  <c r="N43" i="1"/>
  <c r="N54" i="1" s="1"/>
  <c r="N58" i="1" s="1"/>
  <c r="N62" i="1" s="1"/>
  <c r="N66" i="1" s="1"/>
  <c r="N70" i="1" s="1"/>
  <c r="N85" i="1"/>
  <c r="N88" i="1" s="1"/>
  <c r="K71" i="2"/>
  <c r="K80" i="2" s="1"/>
  <c r="K24" i="3"/>
  <c r="K25" i="3" s="1"/>
  <c r="J28" i="5"/>
  <c r="J32" i="5" s="1"/>
  <c r="K160" i="2"/>
  <c r="K201" i="2"/>
  <c r="K204" i="2" s="1"/>
  <c r="K28" i="2"/>
  <c r="K43" i="2" s="1"/>
  <c r="K119" i="2"/>
  <c r="N146" i="2"/>
  <c r="M27" i="3" s="1"/>
  <c r="N148" i="2"/>
  <c r="M30" i="3" s="1"/>
  <c r="M148" i="2"/>
  <c r="L30" i="3" s="1"/>
  <c r="N20" i="2"/>
  <c r="M20" i="2"/>
  <c r="M9" i="5"/>
  <c r="M44" i="3"/>
  <c r="L19" i="3"/>
  <c r="L20" i="3" s="1"/>
  <c r="L44" i="3"/>
  <c r="L62" i="3"/>
  <c r="K14" i="1"/>
  <c r="K18" i="1" s="1"/>
  <c r="K43" i="1"/>
  <c r="K52" i="1"/>
  <c r="K60" i="1"/>
  <c r="K85" i="1"/>
  <c r="K88" i="1" s="1"/>
  <c r="N81" i="1"/>
  <c r="J24" i="3"/>
  <c r="J25" i="3" s="1"/>
  <c r="K58" i="3"/>
  <c r="K60" i="3" s="1"/>
  <c r="J128" i="2"/>
  <c r="J60" i="5" s="1"/>
  <c r="L51" i="5"/>
  <c r="L146" i="2"/>
  <c r="K27" i="3" s="1"/>
  <c r="L148" i="2"/>
  <c r="K30" i="3" s="1"/>
  <c r="L20" i="2"/>
  <c r="L9" i="5"/>
  <c r="K19" i="3"/>
  <c r="K20" i="3" s="1"/>
  <c r="K35" i="3"/>
  <c r="K36" i="3" s="1"/>
  <c r="K39" i="3"/>
  <c r="K41" i="3" s="1"/>
  <c r="K44" i="3"/>
  <c r="K62" i="3"/>
  <c r="M81" i="1"/>
  <c r="J71" i="2"/>
  <c r="J80" i="2" s="1"/>
  <c r="J201" i="2"/>
  <c r="J204" i="2" s="1"/>
  <c r="I204" i="2"/>
  <c r="I39" i="3"/>
  <c r="I41" i="3" s="1"/>
  <c r="J148" i="2"/>
  <c r="I56" i="5" s="1"/>
  <c r="J43" i="1"/>
  <c r="J52" i="1"/>
  <c r="J60" i="1"/>
  <c r="J146" i="2"/>
  <c r="I27" i="3" s="1"/>
  <c r="I24" i="3"/>
  <c r="I25" i="3" s="1"/>
  <c r="I19" i="3"/>
  <c r="I20" i="3" s="1"/>
  <c r="J126" i="2"/>
  <c r="I47" i="3" s="1"/>
  <c r="H14" i="1"/>
  <c r="H18" i="1" s="1"/>
  <c r="H43" i="1"/>
  <c r="H54" i="1" s="1"/>
  <c r="H58" i="1" s="1"/>
  <c r="H62" i="1" s="1"/>
  <c r="H66" i="1" s="1"/>
  <c r="H70" i="1" s="1"/>
  <c r="H85" i="1"/>
  <c r="H88" i="1" s="1"/>
  <c r="I14" i="1"/>
  <c r="I18" i="1"/>
  <c r="H48" i="5" s="1"/>
  <c r="I43" i="1"/>
  <c r="I52" i="1"/>
  <c r="I60" i="1"/>
  <c r="I85" i="1"/>
  <c r="I88" i="1" s="1"/>
  <c r="G56" i="1"/>
  <c r="G146" i="2" s="1"/>
  <c r="F27" i="3" s="1"/>
  <c r="G64" i="1"/>
  <c r="G148" i="2" s="1"/>
  <c r="F30" i="3" s="1"/>
  <c r="J14" i="1"/>
  <c r="J18" i="1" s="1"/>
  <c r="J85" i="1"/>
  <c r="J88" i="1" s="1"/>
  <c r="L81" i="1"/>
  <c r="K81" i="1"/>
  <c r="J81" i="1"/>
  <c r="G7" i="1"/>
  <c r="G30" i="1"/>
  <c r="G34" i="1"/>
  <c r="G36" i="1"/>
  <c r="G38" i="1"/>
  <c r="G40" i="1"/>
  <c r="G14" i="1"/>
  <c r="G18" i="1" s="1"/>
  <c r="G85" i="1"/>
  <c r="G88" i="1" s="1"/>
  <c r="I81" i="1"/>
  <c r="H81" i="1"/>
  <c r="E14" i="1"/>
  <c r="E18" i="1"/>
  <c r="E43" i="1"/>
  <c r="E54" i="1" s="1"/>
  <c r="E58" i="1" s="1"/>
  <c r="E62" i="1" s="1"/>
  <c r="E66" i="1" s="1"/>
  <c r="E70" i="1" s="1"/>
  <c r="E85" i="1"/>
  <c r="E88" i="1" s="1"/>
  <c r="F43" i="1"/>
  <c r="F52" i="1"/>
  <c r="F85" i="1"/>
  <c r="F88" i="1" s="1"/>
  <c r="G81" i="1"/>
  <c r="F81" i="1"/>
  <c r="E81" i="1"/>
  <c r="K178" i="2"/>
  <c r="K146" i="2"/>
  <c r="J27" i="3" s="1"/>
  <c r="K148" i="2"/>
  <c r="J30" i="3" s="1"/>
  <c r="J43" i="2"/>
  <c r="J20" i="2"/>
  <c r="J178" i="2"/>
  <c r="I178" i="2"/>
  <c r="I128" i="2"/>
  <c r="I163" i="2" s="1"/>
  <c r="I90" i="2"/>
  <c r="I100" i="2" s="1"/>
  <c r="I210" i="2" s="1"/>
  <c r="I71" i="2"/>
  <c r="I80" i="2" s="1"/>
  <c r="I39" i="2"/>
  <c r="I43" i="2" s="1"/>
  <c r="I20" i="2"/>
  <c r="H178" i="2"/>
  <c r="H163" i="2"/>
  <c r="H204" i="2"/>
  <c r="H90" i="2"/>
  <c r="H100" i="2" s="1"/>
  <c r="H210" i="2" s="1"/>
  <c r="H80" i="2"/>
  <c r="H39" i="2"/>
  <c r="H43" i="2" s="1"/>
  <c r="H20" i="2"/>
  <c r="K20" i="2"/>
  <c r="G116" i="2"/>
  <c r="G119" i="2"/>
  <c r="G126" i="2"/>
  <c r="G143" i="2"/>
  <c r="G144" i="2"/>
  <c r="F19" i="3" s="1"/>
  <c r="G153" i="2"/>
  <c r="F24" i="3" s="1"/>
  <c r="G155" i="2"/>
  <c r="F44" i="3" s="1"/>
  <c r="G20" i="2"/>
  <c r="G24" i="2"/>
  <c r="G43" i="2" s="1"/>
  <c r="G90" i="2"/>
  <c r="G96" i="2"/>
  <c r="G71" i="2"/>
  <c r="G80" i="2" s="1"/>
  <c r="G204" i="2"/>
  <c r="G176" i="2"/>
  <c r="G178" i="2" s="1"/>
  <c r="F20" i="2"/>
  <c r="F43" i="2"/>
  <c r="F80" i="2"/>
  <c r="F100" i="2"/>
  <c r="F210" i="2" s="1"/>
  <c r="E80" i="2"/>
  <c r="E20" i="2"/>
  <c r="E43" i="2"/>
  <c r="E100" i="2"/>
  <c r="E210" i="2" s="1"/>
  <c r="F143" i="2"/>
  <c r="F163" i="2" s="1"/>
  <c r="E160" i="2"/>
  <c r="E163" i="2" s="1"/>
  <c r="F178" i="2"/>
  <c r="F204" i="2"/>
  <c r="E178" i="2"/>
  <c r="E204" i="2"/>
  <c r="J100" i="2"/>
  <c r="J210" i="2" s="1"/>
  <c r="J58" i="3"/>
  <c r="J62" i="3"/>
  <c r="J64" i="3"/>
  <c r="I58" i="3"/>
  <c r="I62" i="3"/>
  <c r="I64" i="3"/>
  <c r="J35" i="3"/>
  <c r="J36" i="3" s="1"/>
  <c r="J39" i="3"/>
  <c r="J41" i="3" s="1"/>
  <c r="J19" i="3"/>
  <c r="J20" i="3" s="1"/>
  <c r="J44" i="3"/>
  <c r="I44" i="3"/>
  <c r="F54" i="3"/>
  <c r="F10" i="3"/>
  <c r="H19" i="3"/>
  <c r="H20" i="3" s="1"/>
  <c r="H24" i="3"/>
  <c r="H25" i="3" s="1"/>
  <c r="H27" i="3"/>
  <c r="H30" i="3"/>
  <c r="H39" i="3"/>
  <c r="H41" i="3" s="1"/>
  <c r="H44" i="3"/>
  <c r="H47" i="3"/>
  <c r="H58" i="3"/>
  <c r="H62" i="3"/>
  <c r="H64" i="3"/>
  <c r="G16" i="3"/>
  <c r="G19" i="3"/>
  <c r="G20" i="3" s="1"/>
  <c r="G24" i="3"/>
  <c r="G25" i="3" s="1"/>
  <c r="G27" i="3"/>
  <c r="G30" i="3"/>
  <c r="G35" i="3"/>
  <c r="G36" i="3" s="1"/>
  <c r="G39" i="3"/>
  <c r="G41" i="3" s="1"/>
  <c r="G44" i="3"/>
  <c r="G47" i="3"/>
  <c r="F35" i="3"/>
  <c r="F36" i="3" s="1"/>
  <c r="F39" i="3"/>
  <c r="F41" i="3" s="1"/>
  <c r="G58" i="3"/>
  <c r="G62" i="3"/>
  <c r="G64" i="3"/>
  <c r="F66" i="3"/>
  <c r="F64" i="3"/>
  <c r="F62" i="3"/>
  <c r="E36" i="3"/>
  <c r="D36" i="3"/>
  <c r="E73" i="3"/>
  <c r="D73" i="3"/>
  <c r="E50" i="3"/>
  <c r="D50" i="3"/>
  <c r="F10" i="4"/>
  <c r="E19" i="4"/>
  <c r="E32" i="4" s="1"/>
  <c r="D19" i="4"/>
  <c r="D32" i="4" s="1"/>
  <c r="I9" i="5"/>
  <c r="K51" i="5"/>
  <c r="K60" i="5"/>
  <c r="K61" i="5"/>
  <c r="K63" i="5"/>
  <c r="J61" i="5"/>
  <c r="J51" i="5"/>
  <c r="J63" i="5"/>
  <c r="I61" i="5"/>
  <c r="I51" i="5"/>
  <c r="I63" i="5"/>
  <c r="K9" i="5"/>
  <c r="J9" i="5"/>
  <c r="J20" i="5" s="1"/>
  <c r="F6" i="5"/>
  <c r="H30" i="5"/>
  <c r="H32" i="5" s="1"/>
  <c r="H51" i="5"/>
  <c r="H53" i="5"/>
  <c r="H56" i="5"/>
  <c r="H61" i="5"/>
  <c r="H63" i="5"/>
  <c r="H66" i="5"/>
  <c r="G68" i="5"/>
  <c r="H9" i="5"/>
  <c r="G9" i="5"/>
  <c r="G32" i="5"/>
  <c r="G40" i="5"/>
  <c r="F40" i="5"/>
  <c r="F9" i="5"/>
  <c r="F68" i="5"/>
  <c r="E68" i="5"/>
  <c r="D68" i="5"/>
  <c r="F32" i="5"/>
  <c r="E20" i="5"/>
  <c r="E32" i="5"/>
  <c r="E34" i="5" s="1"/>
  <c r="D20" i="5"/>
  <c r="D32" i="5"/>
  <c r="D40" i="5"/>
  <c r="K100" i="2"/>
  <c r="K210" i="2" s="1"/>
  <c r="L43" i="1"/>
  <c r="L61" i="5"/>
  <c r="L63" i="5"/>
  <c r="M61" i="5"/>
  <c r="L24" i="3"/>
  <c r="L25" i="3" s="1"/>
  <c r="L35" i="3"/>
  <c r="L36" i="3" s="1"/>
  <c r="L60" i="5"/>
  <c r="M176" i="2"/>
  <c r="L58" i="3"/>
  <c r="L60" i="3" s="1"/>
  <c r="M24" i="3"/>
  <c r="M25" i="3" s="1"/>
  <c r="M58" i="3"/>
  <c r="M60" i="3" s="1"/>
  <c r="M63" i="5"/>
  <c r="M51" i="5"/>
  <c r="M19" i="3"/>
  <c r="M20" i="3" s="1"/>
  <c r="M60" i="5"/>
  <c r="M35" i="3"/>
  <c r="M36" i="3" s="1"/>
  <c r="Q44" i="3"/>
  <c r="O43" i="1"/>
  <c r="N19" i="3"/>
  <c r="N20" i="3" s="1"/>
  <c r="N60" i="5"/>
  <c r="N63" i="5"/>
  <c r="P39" i="3"/>
  <c r="P41" i="3" s="1"/>
  <c r="P61" i="5"/>
  <c r="P35" i="3"/>
  <c r="P36" i="3" s="1"/>
  <c r="N39" i="3"/>
  <c r="N41" i="3" s="1"/>
  <c r="N35" i="3"/>
  <c r="N36" i="3" s="1"/>
  <c r="S81" i="1"/>
  <c r="R43" i="1"/>
  <c r="R54" i="1" s="1"/>
  <c r="R58" i="1" s="1"/>
  <c r="Q43" i="1"/>
  <c r="Q54" i="1" s="1"/>
  <c r="Q58" i="1" s="1"/>
  <c r="Q62" i="1" s="1"/>
  <c r="Q66" i="1" s="1"/>
  <c r="Q70" i="1" s="1"/>
  <c r="P81" i="1"/>
  <c r="O61" i="5"/>
  <c r="O60" i="5"/>
  <c r="O35" i="3"/>
  <c r="O36" i="3" s="1"/>
  <c r="Q27" i="3"/>
  <c r="T81" i="1"/>
  <c r="P63" i="5"/>
  <c r="O63" i="5"/>
  <c r="O24" i="3"/>
  <c r="O25" i="3" s="1"/>
  <c r="R56" i="5"/>
  <c r="Q56" i="5"/>
  <c r="O27" i="3"/>
  <c r="Q51" i="5"/>
  <c r="N47" i="3"/>
  <c r="L32" i="5"/>
  <c r="P100" i="2"/>
  <c r="P210" i="2" s="1"/>
  <c r="Q100" i="2"/>
  <c r="Q210" i="2" s="1"/>
  <c r="R43" i="2"/>
  <c r="P51" i="5"/>
  <c r="R51" i="5"/>
  <c r="P56" i="5"/>
  <c r="P60" i="5"/>
  <c r="Q43" i="2"/>
  <c r="Q45" i="2" s="1"/>
  <c r="O51" i="5"/>
  <c r="R27" i="3"/>
  <c r="W81" i="1"/>
  <c r="S43" i="1"/>
  <c r="S54" i="1" s="1"/>
  <c r="S58" i="1" s="1"/>
  <c r="S9" i="5"/>
  <c r="T9" i="5"/>
  <c r="Q24" i="3"/>
  <c r="Q25" i="3" s="1"/>
  <c r="Q178" i="2"/>
  <c r="O39" i="3"/>
  <c r="O41" i="3" s="1"/>
  <c r="S178" i="2"/>
  <c r="R178" i="2"/>
  <c r="S61" i="5"/>
  <c r="H66" i="3"/>
  <c r="G66" i="3"/>
  <c r="O43" i="2"/>
  <c r="O45" i="2" s="1"/>
  <c r="N45" i="5"/>
  <c r="M64" i="3"/>
  <c r="I66" i="5"/>
  <c r="Q39" i="3"/>
  <c r="Q41" i="3" s="1"/>
  <c r="R61" i="5"/>
  <c r="U50" i="3"/>
  <c r="U12" i="4" s="1"/>
  <c r="Q47" i="3"/>
  <c r="T66" i="5"/>
  <c r="R66" i="5"/>
  <c r="S58" i="3"/>
  <c r="R63" i="5"/>
  <c r="S63" i="5"/>
  <c r="S24" i="3"/>
  <c r="S25" i="3" s="1"/>
  <c r="R39" i="3"/>
  <c r="R41" i="3" s="1"/>
  <c r="R32" i="5"/>
  <c r="Q61" i="5"/>
  <c r="S163" i="2"/>
  <c r="S208" i="2" s="1"/>
  <c r="S51" i="5"/>
  <c r="R19" i="3"/>
  <c r="R20" i="3" s="1"/>
  <c r="T43" i="2"/>
  <c r="T45" i="2" s="1"/>
  <c r="S66" i="3"/>
  <c r="T146" i="2"/>
  <c r="T53" i="5" s="1"/>
  <c r="S47" i="3"/>
  <c r="T80" i="2"/>
  <c r="U204" i="2"/>
  <c r="T178" i="2"/>
  <c r="W176" i="2"/>
  <c r="U178" i="2"/>
  <c r="P43" i="2"/>
  <c r="P45" i="2" s="1"/>
  <c r="R163" i="2"/>
  <c r="U80" i="2"/>
  <c r="T51" i="5"/>
  <c r="U43" i="2"/>
  <c r="U45" i="2" s="1"/>
  <c r="U61" i="5"/>
  <c r="W132" i="2"/>
  <c r="D34" i="4"/>
  <c r="V60" i="5"/>
  <c r="T36" i="3"/>
  <c r="Q66" i="3"/>
  <c r="M54" i="1" l="1"/>
  <c r="M58" i="1" s="1"/>
  <c r="U54" i="1"/>
  <c r="U58" i="1" s="1"/>
  <c r="I20" i="9"/>
  <c r="I31" i="9" s="1"/>
  <c r="T14" i="1"/>
  <c r="T18" i="1" s="1"/>
  <c r="H5" i="9"/>
  <c r="H6" i="9" s="1"/>
  <c r="J54" i="1"/>
  <c r="J58" i="1" s="1"/>
  <c r="T62" i="1"/>
  <c r="T66" i="1" s="1"/>
  <c r="U14" i="1"/>
  <c r="U18" i="1" s="1"/>
  <c r="I6" i="9"/>
  <c r="I14" i="9"/>
  <c r="J6" i="9"/>
  <c r="X176" i="2"/>
  <c r="X178" i="2" s="1"/>
  <c r="W178" i="2"/>
  <c r="F6" i="11" s="1"/>
  <c r="V41" i="3"/>
  <c r="K7" i="9"/>
  <c r="AR64" i="7"/>
  <c r="AP65" i="7" s="1"/>
  <c r="AZ65" i="7" s="1"/>
  <c r="H65" i="7"/>
  <c r="F65" i="7"/>
  <c r="AU65" i="7" s="1"/>
  <c r="Q35" i="3"/>
  <c r="Q36" i="3" s="1"/>
  <c r="S66" i="5"/>
  <c r="U163" i="2"/>
  <c r="U208" i="2" s="1"/>
  <c r="R60" i="5"/>
  <c r="R68" i="5" s="1"/>
  <c r="P163" i="2"/>
  <c r="P208" i="2" s="1"/>
  <c r="I208" i="2"/>
  <c r="M45" i="5"/>
  <c r="I54" i="1"/>
  <c r="I58" i="1" s="1"/>
  <c r="I62" i="1" s="1"/>
  <c r="I66" i="1" s="1"/>
  <c r="I70" i="1" s="1"/>
  <c r="I72" i="1" s="1"/>
  <c r="I76" i="1" s="1"/>
  <c r="I90" i="1" s="1"/>
  <c r="I94" i="1" s="1"/>
  <c r="H8" i="5" s="1"/>
  <c r="H20" i="5" s="1"/>
  <c r="H34" i="5" s="1"/>
  <c r="Q45" i="5"/>
  <c r="S43" i="2"/>
  <c r="O54" i="1"/>
  <c r="O58" i="1" s="1"/>
  <c r="O62" i="1" s="1"/>
  <c r="O66" i="1" s="1"/>
  <c r="D34" i="5"/>
  <c r="D43" i="5" s="1"/>
  <c r="J34" i="5"/>
  <c r="E34" i="4"/>
  <c r="H45" i="5"/>
  <c r="J45" i="2"/>
  <c r="J83" i="2" s="1"/>
  <c r="J47" i="3"/>
  <c r="M80" i="2"/>
  <c r="M47" i="3"/>
  <c r="M50" i="3" s="1"/>
  <c r="H208" i="2"/>
  <c r="L66" i="5"/>
  <c r="H60" i="5"/>
  <c r="L47" i="3"/>
  <c r="L50" i="3" s="1"/>
  <c r="L12" i="4" s="1"/>
  <c r="L22" i="4" s="1"/>
  <c r="R45" i="2"/>
  <c r="R214" i="2" s="1"/>
  <c r="K45" i="5"/>
  <c r="K47" i="3"/>
  <c r="K50" i="3" s="1"/>
  <c r="K12" i="4" s="1"/>
  <c r="K22" i="4" s="1"/>
  <c r="N80" i="2"/>
  <c r="K66" i="3"/>
  <c r="I45" i="5"/>
  <c r="H35" i="3"/>
  <c r="H36" i="3" s="1"/>
  <c r="M178" i="2"/>
  <c r="E45" i="2"/>
  <c r="E211" i="2" s="1"/>
  <c r="J66" i="3"/>
  <c r="J73" i="3" s="1"/>
  <c r="J15" i="4" s="1"/>
  <c r="P66" i="5"/>
  <c r="F45" i="2"/>
  <c r="F83" i="2" s="1"/>
  <c r="J45" i="5"/>
  <c r="M43" i="2"/>
  <c r="T60" i="5"/>
  <c r="O66" i="5"/>
  <c r="K66" i="5"/>
  <c r="O45" i="5"/>
  <c r="I53" i="5"/>
  <c r="R62" i="1"/>
  <c r="R66" i="1" s="1"/>
  <c r="R70" i="1" s="1"/>
  <c r="L54" i="1"/>
  <c r="L58" i="1" s="1"/>
  <c r="L62" i="1" s="1"/>
  <c r="L66" i="1" s="1"/>
  <c r="L70" i="1" s="1"/>
  <c r="L72" i="1" s="1"/>
  <c r="L76" i="1" s="1"/>
  <c r="L90" i="1" s="1"/>
  <c r="L94" i="1" s="1"/>
  <c r="L100" i="1" s="1"/>
  <c r="M62" i="1"/>
  <c r="M66" i="1" s="1"/>
  <c r="M70" i="1" s="1"/>
  <c r="J62" i="1"/>
  <c r="J66" i="1" s="1"/>
  <c r="J70" i="1" s="1"/>
  <c r="J72" i="1" s="1"/>
  <c r="J76" i="1" s="1"/>
  <c r="J90" i="1" s="1"/>
  <c r="J94" i="1" s="1"/>
  <c r="S62" i="1"/>
  <c r="S66" i="1" s="1"/>
  <c r="S70" i="1" s="1"/>
  <c r="S72" i="1" s="1"/>
  <c r="S76" i="1" s="1"/>
  <c r="S90" i="1" s="1"/>
  <c r="S94" i="1" s="1"/>
  <c r="S100" i="1" s="1"/>
  <c r="R8" i="5" s="1"/>
  <c r="R20" i="5" s="1"/>
  <c r="R34" i="5" s="1"/>
  <c r="F54" i="1"/>
  <c r="F58" i="1" s="1"/>
  <c r="F62" i="1" s="1"/>
  <c r="F66" i="1" s="1"/>
  <c r="F70" i="1" s="1"/>
  <c r="F72" i="1" s="1"/>
  <c r="F76" i="1" s="1"/>
  <c r="F90" i="1" s="1"/>
  <c r="F94" i="1" s="1"/>
  <c r="F100" i="1" s="1"/>
  <c r="M23" i="5"/>
  <c r="T28" i="5"/>
  <c r="U15" i="5"/>
  <c r="L45" i="2"/>
  <c r="L83" i="2" s="1"/>
  <c r="P23" i="5"/>
  <c r="P32" i="5" s="1"/>
  <c r="N20" i="1"/>
  <c r="M48" i="5"/>
  <c r="P20" i="1"/>
  <c r="O48" i="5"/>
  <c r="M20" i="1"/>
  <c r="L48" i="5"/>
  <c r="O20" i="1"/>
  <c r="N48" i="5"/>
  <c r="P48" i="5"/>
  <c r="Q20" i="1"/>
  <c r="K48" i="5"/>
  <c r="L20" i="1"/>
  <c r="I20" i="1"/>
  <c r="Q72" i="1"/>
  <c r="Q76" i="1" s="1"/>
  <c r="Q90" i="1" s="1"/>
  <c r="Q94" i="1" s="1"/>
  <c r="Q100" i="1" s="1"/>
  <c r="Q112" i="1" s="1"/>
  <c r="E72" i="1"/>
  <c r="E76" i="1" s="1"/>
  <c r="E90" i="1" s="1"/>
  <c r="E94" i="1" s="1"/>
  <c r="E100" i="1" s="1"/>
  <c r="H72" i="1"/>
  <c r="H76" i="1" s="1"/>
  <c r="H90" i="1" s="1"/>
  <c r="H94" i="1" s="1"/>
  <c r="G8" i="5" s="1"/>
  <c r="G20" i="5" s="1"/>
  <c r="G34" i="5" s="1"/>
  <c r="G43" i="5" s="1"/>
  <c r="N72" i="1"/>
  <c r="N76" i="1" s="1"/>
  <c r="K54" i="1"/>
  <c r="K58" i="1" s="1"/>
  <c r="K62" i="1" s="1"/>
  <c r="K66" i="1" s="1"/>
  <c r="K70" i="1" s="1"/>
  <c r="K72" i="1" s="1"/>
  <c r="K76" i="1" s="1"/>
  <c r="K90" i="1" s="1"/>
  <c r="K94" i="1" s="1"/>
  <c r="K100" i="1" s="1"/>
  <c r="K112" i="1" s="1"/>
  <c r="K115" i="1" s="1"/>
  <c r="M72" i="1"/>
  <c r="M76" i="1" s="1"/>
  <c r="M90" i="1" s="1"/>
  <c r="M94" i="1" s="1"/>
  <c r="M100" i="1" s="1"/>
  <c r="M112" i="1" s="1"/>
  <c r="P54" i="1"/>
  <c r="P58" i="1" s="1"/>
  <c r="P62" i="1" s="1"/>
  <c r="P66" i="1" s="1"/>
  <c r="P70" i="1" s="1"/>
  <c r="P72" i="1" s="1"/>
  <c r="P76" i="1" s="1"/>
  <c r="P90" i="1" s="1"/>
  <c r="P94" i="1" s="1"/>
  <c r="P8" i="5"/>
  <c r="P20" i="5" s="1"/>
  <c r="N90" i="1"/>
  <c r="N94" i="1" s="1"/>
  <c r="K20" i="1"/>
  <c r="I48" i="5"/>
  <c r="J20" i="1"/>
  <c r="J48" i="5"/>
  <c r="R48" i="5"/>
  <c r="S20" i="1"/>
  <c r="R20" i="1"/>
  <c r="Q48" i="5"/>
  <c r="R72" i="1"/>
  <c r="R76" i="1" s="1"/>
  <c r="R90" i="1" s="1"/>
  <c r="R94" i="1" s="1"/>
  <c r="S48" i="5"/>
  <c r="T20" i="1"/>
  <c r="T48" i="5"/>
  <c r="U20" i="1"/>
  <c r="Q28" i="3"/>
  <c r="I28" i="3"/>
  <c r="L31" i="3"/>
  <c r="R31" i="3"/>
  <c r="M31" i="3"/>
  <c r="G31" i="3"/>
  <c r="K31" i="3"/>
  <c r="G28" i="3"/>
  <c r="J28" i="3"/>
  <c r="K28" i="3"/>
  <c r="M28" i="3"/>
  <c r="L28" i="3"/>
  <c r="O31" i="3"/>
  <c r="S36" i="3"/>
  <c r="R28" i="3"/>
  <c r="P31" i="3"/>
  <c r="E208" i="2"/>
  <c r="J66" i="5"/>
  <c r="R217" i="2"/>
  <c r="I217" i="2"/>
  <c r="N66" i="5"/>
  <c r="N204" i="2"/>
  <c r="N28" i="5" s="1"/>
  <c r="N32" i="5" s="1"/>
  <c r="R208" i="2"/>
  <c r="M45" i="2"/>
  <c r="M83" i="2" s="1"/>
  <c r="R45" i="5"/>
  <c r="H217" i="2"/>
  <c r="S27" i="3"/>
  <c r="S50" i="3" s="1"/>
  <c r="S12" i="4" s="1"/>
  <c r="S22" i="4" s="1"/>
  <c r="F20" i="3"/>
  <c r="S217" i="2"/>
  <c r="F208" i="2"/>
  <c r="R211" i="2"/>
  <c r="Q29" i="4" s="1"/>
  <c r="S45" i="5"/>
  <c r="N43" i="2"/>
  <c r="N45" i="2" s="1"/>
  <c r="N83" i="2" s="1"/>
  <c r="M66" i="5"/>
  <c r="L66" i="3"/>
  <c r="L73" i="3" s="1"/>
  <c r="L15" i="4" s="1"/>
  <c r="Q217" i="2"/>
  <c r="K45" i="2"/>
  <c r="M100" i="2"/>
  <c r="M210" i="2" s="1"/>
  <c r="M217" i="2" s="1"/>
  <c r="P27" i="3"/>
  <c r="P28" i="3" s="1"/>
  <c r="S45" i="2"/>
  <c r="S83" i="2" s="1"/>
  <c r="Q83" i="2"/>
  <c r="Q215" i="2" s="1"/>
  <c r="I60" i="5"/>
  <c r="N27" i="3"/>
  <c r="N217" i="2"/>
  <c r="K217" i="2"/>
  <c r="H45" i="2"/>
  <c r="H214" i="2" s="1"/>
  <c r="I45" i="2"/>
  <c r="I83" i="2" s="1"/>
  <c r="L45" i="5"/>
  <c r="I35" i="3"/>
  <c r="I36" i="3" s="1"/>
  <c r="S60" i="5"/>
  <c r="S53" i="5"/>
  <c r="T56" i="5"/>
  <c r="T68" i="5" s="1"/>
  <c r="S60" i="3"/>
  <c r="N163" i="2"/>
  <c r="Q163" i="2"/>
  <c r="P60" i="3"/>
  <c r="V80" i="2"/>
  <c r="U18" i="5" s="1"/>
  <c r="V56" i="5"/>
  <c r="Z12" i="1"/>
  <c r="N7" i="9" s="1"/>
  <c r="X41" i="3"/>
  <c r="F12" i="7"/>
  <c r="N104" i="7"/>
  <c r="G14" i="7" s="1"/>
  <c r="M106" i="7"/>
  <c r="M107" i="7" s="1"/>
  <c r="M108" i="7" s="1"/>
  <c r="O77" i="7"/>
  <c r="AV77" i="7" s="1"/>
  <c r="Q77" i="7"/>
  <c r="AG79" i="7"/>
  <c r="AX79" i="7" s="1"/>
  <c r="AI79" i="7"/>
  <c r="F217" i="7"/>
  <c r="I216" i="7"/>
  <c r="Z79" i="7"/>
  <c r="X80" i="7" s="1"/>
  <c r="AW80" i="7" s="1"/>
  <c r="S216" i="7"/>
  <c r="P217" i="7"/>
  <c r="P53" i="5"/>
  <c r="P68" i="5" s="1"/>
  <c r="I30" i="3"/>
  <c r="I31" i="3" s="1"/>
  <c r="T163" i="2"/>
  <c r="T208" i="2" s="1"/>
  <c r="F58" i="3"/>
  <c r="F60" i="3" s="1"/>
  <c r="M56" i="5"/>
  <c r="T50" i="3"/>
  <c r="U36" i="5" s="1"/>
  <c r="Q214" i="2"/>
  <c r="N56" i="5"/>
  <c r="O163" i="2"/>
  <c r="O208" i="2" s="1"/>
  <c r="J56" i="5"/>
  <c r="J163" i="2"/>
  <c r="N53" i="5"/>
  <c r="S56" i="5"/>
  <c r="O56" i="5"/>
  <c r="T60" i="3"/>
  <c r="K163" i="2"/>
  <c r="K214" i="2" s="1"/>
  <c r="L53" i="5"/>
  <c r="K53" i="5"/>
  <c r="M163" i="2"/>
  <c r="L56" i="5"/>
  <c r="L163" i="2"/>
  <c r="M53" i="5"/>
  <c r="J53" i="5"/>
  <c r="K56" i="5"/>
  <c r="Q60" i="3"/>
  <c r="P217" i="2"/>
  <c r="I23" i="5"/>
  <c r="O217" i="2"/>
  <c r="O83" i="2"/>
  <c r="J217" i="2"/>
  <c r="K83" i="2"/>
  <c r="X73" i="2"/>
  <c r="Y73" i="2" s="1"/>
  <c r="I214" i="2"/>
  <c r="I211" i="2"/>
  <c r="H29" i="4" s="1"/>
  <c r="P83" i="2"/>
  <c r="P214" i="2"/>
  <c r="P211" i="2"/>
  <c r="O29" i="4" s="1"/>
  <c r="I28" i="5"/>
  <c r="Q68" i="5"/>
  <c r="G45" i="2"/>
  <c r="G83" i="2" s="1"/>
  <c r="O60" i="3"/>
  <c r="S32" i="5"/>
  <c r="V61" i="5"/>
  <c r="W61" i="5"/>
  <c r="G100" i="2"/>
  <c r="G210" i="2" s="1"/>
  <c r="G217" i="2" s="1"/>
  <c r="V66" i="5"/>
  <c r="W66" i="5"/>
  <c r="H68" i="5"/>
  <c r="W25" i="2"/>
  <c r="Q73" i="3"/>
  <c r="Q15" i="4" s="1"/>
  <c r="K36" i="6"/>
  <c r="L36" i="6" s="1"/>
  <c r="G163" i="2"/>
  <c r="G208" i="2" s="1"/>
  <c r="F47" i="3"/>
  <c r="F50" i="3" s="1"/>
  <c r="F12" i="4" s="1"/>
  <c r="G43" i="1"/>
  <c r="G54" i="1" s="1"/>
  <c r="G58" i="1" s="1"/>
  <c r="G62" i="1" s="1"/>
  <c r="G66" i="1" s="1"/>
  <c r="G70" i="1" s="1"/>
  <c r="G72" i="1" s="1"/>
  <c r="G76" i="1" s="1"/>
  <c r="G90" i="1" s="1"/>
  <c r="G94" i="1" s="1"/>
  <c r="G100" i="1" s="1"/>
  <c r="S31" i="3"/>
  <c r="T70" i="1"/>
  <c r="T72" i="1" s="1"/>
  <c r="T76" i="1" s="1"/>
  <c r="T90" i="1" s="1"/>
  <c r="T94" i="1" s="1"/>
  <c r="U45" i="5"/>
  <c r="V45" i="5"/>
  <c r="V45" i="2"/>
  <c r="T83" i="2"/>
  <c r="S18" i="5"/>
  <c r="U83" i="2"/>
  <c r="T23" i="5"/>
  <c r="L13" i="6"/>
  <c r="L22" i="6"/>
  <c r="L24" i="6"/>
  <c r="L21" i="6"/>
  <c r="L23" i="6"/>
  <c r="L15" i="6"/>
  <c r="L17" i="6"/>
  <c r="L19" i="6"/>
  <c r="L14" i="6"/>
  <c r="L16" i="6"/>
  <c r="L18" i="6"/>
  <c r="L20" i="6"/>
  <c r="K25" i="6"/>
  <c r="G38" i="6"/>
  <c r="G25" i="6"/>
  <c r="T28" i="3"/>
  <c r="U62" i="1"/>
  <c r="U66" i="1" s="1"/>
  <c r="G73" i="3"/>
  <c r="G15" i="4" s="1"/>
  <c r="M73" i="3"/>
  <c r="M15" i="4" s="1"/>
  <c r="I73" i="3"/>
  <c r="I15" i="4" s="1"/>
  <c r="N73" i="3"/>
  <c r="R73" i="3"/>
  <c r="R15" i="4" s="1"/>
  <c r="P73" i="3"/>
  <c r="P15" i="4" s="1"/>
  <c r="O73" i="3"/>
  <c r="O15" i="4" s="1"/>
  <c r="T73" i="3"/>
  <c r="T15" i="4" s="1"/>
  <c r="H73" i="3"/>
  <c r="H15" i="4" s="1"/>
  <c r="N60" i="3"/>
  <c r="R60" i="3"/>
  <c r="K73" i="3"/>
  <c r="K15" i="4" s="1"/>
  <c r="V163" i="2"/>
  <c r="G50" i="3"/>
  <c r="G12" i="4" s="1"/>
  <c r="S73" i="3"/>
  <c r="J50" i="3"/>
  <c r="J12" i="4" s="1"/>
  <c r="J22" i="4" s="1"/>
  <c r="Q50" i="3"/>
  <c r="R50" i="3"/>
  <c r="R12" i="4" s="1"/>
  <c r="O50" i="3"/>
  <c r="O12" i="4" s="1"/>
  <c r="U15" i="4"/>
  <c r="U19" i="4" s="1"/>
  <c r="O20" i="3"/>
  <c r="U68" i="5"/>
  <c r="AF30" i="1"/>
  <c r="U22" i="4"/>
  <c r="F25" i="3"/>
  <c r="Y176" i="2" l="1"/>
  <c r="Z176" i="2" s="1"/>
  <c r="I34" i="9"/>
  <c r="I36" i="9" s="1"/>
  <c r="I38" i="9" s="1"/>
  <c r="I41" i="9" s="1"/>
  <c r="L94" i="2"/>
  <c r="L100" i="2" s="1"/>
  <c r="L210" i="2" s="1"/>
  <c r="L217" i="2" s="1"/>
  <c r="L112" i="1"/>
  <c r="K8" i="5"/>
  <c r="K20" i="5" s="1"/>
  <c r="K34" i="5" s="1"/>
  <c r="O28" i="3"/>
  <c r="T100" i="1"/>
  <c r="T106" i="1"/>
  <c r="J31" i="3"/>
  <c r="L8" i="5"/>
  <c r="L20" i="5" s="1"/>
  <c r="L34" i="5" s="1"/>
  <c r="H66" i="7"/>
  <c r="F66" i="7"/>
  <c r="AU66" i="7" s="1"/>
  <c r="D31" i="8"/>
  <c r="G6" i="11"/>
  <c r="O70" i="1"/>
  <c r="O72" i="1" s="1"/>
  <c r="O76" i="1" s="1"/>
  <c r="O90" i="1" s="1"/>
  <c r="O94" i="1" s="1"/>
  <c r="N31" i="3"/>
  <c r="E83" i="2"/>
  <c r="E215" i="2" s="1"/>
  <c r="H28" i="3"/>
  <c r="U211" i="2"/>
  <c r="T29" i="4" s="1"/>
  <c r="S214" i="2"/>
  <c r="J214" i="2"/>
  <c r="N28" i="3"/>
  <c r="R83" i="2"/>
  <c r="R102" i="2" s="1"/>
  <c r="Q31" i="3"/>
  <c r="U214" i="2"/>
  <c r="S211" i="2"/>
  <c r="R29" i="4" s="1"/>
  <c r="N208" i="2"/>
  <c r="E214" i="2"/>
  <c r="F214" i="2"/>
  <c r="H31" i="3"/>
  <c r="O68" i="5"/>
  <c r="P50" i="3"/>
  <c r="P36" i="5" s="1"/>
  <c r="N50" i="3"/>
  <c r="N12" i="4" s="1"/>
  <c r="N22" i="4" s="1"/>
  <c r="S28" i="3"/>
  <c r="H50" i="3"/>
  <c r="H12" i="4" s="1"/>
  <c r="H22" i="4" s="1"/>
  <c r="M102" i="2"/>
  <c r="R215" i="2"/>
  <c r="M211" i="2"/>
  <c r="L29" i="4" s="1"/>
  <c r="F102" i="2"/>
  <c r="F215" i="2"/>
  <c r="F211" i="2"/>
  <c r="T32" i="5"/>
  <c r="H211" i="2"/>
  <c r="G29" i="4" s="1"/>
  <c r="L215" i="2"/>
  <c r="M208" i="2"/>
  <c r="Q102" i="2"/>
  <c r="O211" i="2"/>
  <c r="N29" i="4" s="1"/>
  <c r="N68" i="5"/>
  <c r="I68" i="5"/>
  <c r="H100" i="1"/>
  <c r="I100" i="1"/>
  <c r="I112" i="1" s="1"/>
  <c r="M28" i="5"/>
  <c r="M32" i="5" s="1"/>
  <c r="P34" i="5"/>
  <c r="F15" i="7"/>
  <c r="G12" i="7" s="1"/>
  <c r="R100" i="1"/>
  <c r="R112" i="1" s="1"/>
  <c r="Q8" i="5"/>
  <c r="Q20" i="5" s="1"/>
  <c r="Q34" i="5" s="1"/>
  <c r="M8" i="5"/>
  <c r="M20" i="5" s="1"/>
  <c r="N100" i="1"/>
  <c r="N112" i="1" s="1"/>
  <c r="J100" i="1"/>
  <c r="J112" i="1" s="1"/>
  <c r="I8" i="5"/>
  <c r="I20" i="5" s="1"/>
  <c r="P100" i="1"/>
  <c r="P112" i="1" s="1"/>
  <c r="O8" i="5"/>
  <c r="O20" i="5" s="1"/>
  <c r="O34" i="5" s="1"/>
  <c r="R209" i="2"/>
  <c r="M68" i="5"/>
  <c r="N211" i="2"/>
  <c r="M29" i="4" s="1"/>
  <c r="N214" i="2"/>
  <c r="K208" i="2"/>
  <c r="F28" i="3"/>
  <c r="H83" i="2"/>
  <c r="H215" i="2" s="1"/>
  <c r="S68" i="5"/>
  <c r="N102" i="2"/>
  <c r="N209" i="2" s="1"/>
  <c r="N215" i="2"/>
  <c r="F8" i="5"/>
  <c r="F20" i="5" s="1"/>
  <c r="F34" i="5" s="1"/>
  <c r="F43" i="5" s="1"/>
  <c r="M214" i="2"/>
  <c r="O214" i="2"/>
  <c r="K68" i="5"/>
  <c r="Y178" i="2"/>
  <c r="Q211" i="2"/>
  <c r="P29" i="4" s="1"/>
  <c r="Q208" i="2"/>
  <c r="Q209" i="2" s="1"/>
  <c r="F73" i="3"/>
  <c r="F15" i="4" s="1"/>
  <c r="F19" i="4" s="1"/>
  <c r="Z73" i="2"/>
  <c r="AA12" i="1"/>
  <c r="O7" i="9" s="1"/>
  <c r="Y41" i="3"/>
  <c r="M36" i="5"/>
  <c r="I50" i="3"/>
  <c r="I36" i="5" s="1"/>
  <c r="T12" i="4"/>
  <c r="T19" i="4" s="1"/>
  <c r="G214" i="2"/>
  <c r="O78" i="7"/>
  <c r="AV78" i="7" s="1"/>
  <c r="Q78" i="7"/>
  <c r="N108" i="7"/>
  <c r="H14" i="7" s="1"/>
  <c r="AG80" i="7"/>
  <c r="AX80" i="7" s="1"/>
  <c r="BB80" i="7" s="1"/>
  <c r="AI80" i="7"/>
  <c r="F218" i="7"/>
  <c r="I217" i="7"/>
  <c r="Y80" i="7"/>
  <c r="E21" i="7" s="1"/>
  <c r="Z80" i="7"/>
  <c r="X81" i="7" s="1"/>
  <c r="AW81" i="7" s="1"/>
  <c r="P218" i="7"/>
  <c r="S217" i="7"/>
  <c r="G215" i="2"/>
  <c r="Y59" i="3"/>
  <c r="Z25" i="2" s="1"/>
  <c r="J211" i="2"/>
  <c r="I29" i="4" s="1"/>
  <c r="T211" i="2"/>
  <c r="S29" i="4" s="1"/>
  <c r="G102" i="2"/>
  <c r="G19" i="4"/>
  <c r="K211" i="2"/>
  <c r="J29" i="4" s="1"/>
  <c r="T214" i="2"/>
  <c r="J208" i="2"/>
  <c r="I32" i="5"/>
  <c r="J68" i="5"/>
  <c r="K19" i="4"/>
  <c r="K32" i="4" s="1"/>
  <c r="L211" i="2"/>
  <c r="K29" i="4" s="1"/>
  <c r="L208" i="2"/>
  <c r="L214" i="2"/>
  <c r="L68" i="5"/>
  <c r="L19" i="4"/>
  <c r="V208" i="2"/>
  <c r="P215" i="2"/>
  <c r="P102" i="2"/>
  <c r="P209" i="2" s="1"/>
  <c r="S215" i="2"/>
  <c r="S102" i="2"/>
  <c r="S209" i="2" s="1"/>
  <c r="K215" i="2"/>
  <c r="K102" i="2"/>
  <c r="O215" i="2"/>
  <c r="O102" i="2"/>
  <c r="O209" i="2" s="1"/>
  <c r="G211" i="2"/>
  <c r="F29" i="4" s="1"/>
  <c r="I102" i="2"/>
  <c r="I209" i="2" s="1"/>
  <c r="I215" i="2"/>
  <c r="J102" i="2"/>
  <c r="J215" i="2"/>
  <c r="M215" i="2"/>
  <c r="M38" i="5"/>
  <c r="X25" i="2"/>
  <c r="K37" i="6"/>
  <c r="L37" i="6" s="1"/>
  <c r="H38" i="6"/>
  <c r="F31" i="3"/>
  <c r="S8" i="5"/>
  <c r="S20" i="5" s="1"/>
  <c r="S34" i="5" s="1"/>
  <c r="T94" i="2"/>
  <c r="T100" i="2" s="1"/>
  <c r="L25" i="6"/>
  <c r="M25" i="6" s="1"/>
  <c r="N25" i="6" s="1"/>
  <c r="G39" i="6"/>
  <c r="U70" i="1"/>
  <c r="U72" i="1" s="1"/>
  <c r="U76" i="1" s="1"/>
  <c r="U90" i="1" s="1"/>
  <c r="U94" i="1" s="1"/>
  <c r="U100" i="1" s="1"/>
  <c r="T31" i="3"/>
  <c r="V214" i="2"/>
  <c r="U38" i="5"/>
  <c r="U40" i="5" s="1"/>
  <c r="R38" i="5"/>
  <c r="J38" i="5"/>
  <c r="O38" i="5"/>
  <c r="P38" i="5"/>
  <c r="Q38" i="5"/>
  <c r="H38" i="5"/>
  <c r="M12" i="4"/>
  <c r="M22" i="4" s="1"/>
  <c r="H19" i="4"/>
  <c r="V211" i="2"/>
  <c r="U29" i="4" s="1"/>
  <c r="U34" i="4" s="1"/>
  <c r="K38" i="5"/>
  <c r="L36" i="5"/>
  <c r="H36" i="5"/>
  <c r="I38" i="5"/>
  <c r="N15" i="4"/>
  <c r="L38" i="5"/>
  <c r="K36" i="5"/>
  <c r="N38" i="5"/>
  <c r="AF70" i="1"/>
  <c r="AG70" i="1" s="1"/>
  <c r="S36" i="5"/>
  <c r="J19" i="4"/>
  <c r="S15" i="4"/>
  <c r="S19" i="4" s="1"/>
  <c r="S32" i="4" s="1"/>
  <c r="S38" i="5"/>
  <c r="T38" i="5"/>
  <c r="T36" i="5"/>
  <c r="G22" i="4"/>
  <c r="Q12" i="4"/>
  <c r="Q36" i="5"/>
  <c r="R36" i="5"/>
  <c r="O22" i="4"/>
  <c r="O19" i="4"/>
  <c r="R19" i="4"/>
  <c r="R22" i="4"/>
  <c r="U32" i="4"/>
  <c r="F22" i="4"/>
  <c r="L102" i="2" l="1"/>
  <c r="L40" i="5"/>
  <c r="L43" i="5" s="1"/>
  <c r="AR65" i="7"/>
  <c r="H67" i="7"/>
  <c r="F67" i="7"/>
  <c r="AU67" i="7" s="1"/>
  <c r="E31" i="8"/>
  <c r="H6" i="11"/>
  <c r="N19" i="4"/>
  <c r="N34" i="4" s="1"/>
  <c r="N36" i="4" s="1"/>
  <c r="N39" i="4" s="1"/>
  <c r="E102" i="2"/>
  <c r="L209" i="2"/>
  <c r="G34" i="4"/>
  <c r="G39" i="4" s="1"/>
  <c r="M209" i="2"/>
  <c r="N8" i="5"/>
  <c r="N20" i="5" s="1"/>
  <c r="N34" i="5" s="1"/>
  <c r="O100" i="1"/>
  <c r="O112" i="1" s="1"/>
  <c r="M34" i="5"/>
  <c r="P12" i="4"/>
  <c r="P22" i="4" s="1"/>
  <c r="N36" i="5"/>
  <c r="N40" i="5" s="1"/>
  <c r="N43" i="5" s="1"/>
  <c r="O36" i="5"/>
  <c r="O40" i="5" s="1"/>
  <c r="O43" i="5" s="1"/>
  <c r="H102" i="2"/>
  <c r="H209" i="2" s="1"/>
  <c r="L34" i="4"/>
  <c r="L39" i="4" s="1"/>
  <c r="T22" i="4"/>
  <c r="T32" i="4" s="1"/>
  <c r="K209" i="2"/>
  <c r="I34" i="5"/>
  <c r="L14" i="7"/>
  <c r="G15" i="7"/>
  <c r="H12" i="7" s="1"/>
  <c r="J209" i="2"/>
  <c r="AA176" i="2"/>
  <c r="AA178" i="2" s="1"/>
  <c r="Z178" i="2"/>
  <c r="AH80" i="7"/>
  <c r="E26" i="7" s="1"/>
  <c r="AA73" i="2"/>
  <c r="AB12" i="1"/>
  <c r="P7" i="9" s="1"/>
  <c r="Z41" i="3"/>
  <c r="R40" i="5"/>
  <c r="R43" i="5" s="1"/>
  <c r="I12" i="4"/>
  <c r="I22" i="4" s="1"/>
  <c r="M40" i="5"/>
  <c r="J36" i="5"/>
  <c r="J40" i="5" s="1"/>
  <c r="J43" i="5" s="1"/>
  <c r="G32" i="4"/>
  <c r="P40" i="5"/>
  <c r="P43" i="5" s="1"/>
  <c r="Q40" i="5"/>
  <c r="Q43" i="5" s="1"/>
  <c r="O79" i="7"/>
  <c r="AV79" i="7" s="1"/>
  <c r="Q79" i="7"/>
  <c r="AG81" i="7"/>
  <c r="AX81" i="7" s="1"/>
  <c r="AI81" i="7"/>
  <c r="F219" i="7"/>
  <c r="I218" i="7"/>
  <c r="Z81" i="7"/>
  <c r="X82" i="7" s="1"/>
  <c r="AW82" i="7" s="1"/>
  <c r="S218" i="7"/>
  <c r="P219" i="7"/>
  <c r="K34" i="4"/>
  <c r="K39" i="4" s="1"/>
  <c r="S40" i="5"/>
  <c r="S43" i="5" s="1"/>
  <c r="Z59" i="3"/>
  <c r="AA25" i="2" s="1"/>
  <c r="J34" i="4"/>
  <c r="J39" i="4" s="1"/>
  <c r="M19" i="4"/>
  <c r="M32" i="4" s="1"/>
  <c r="I40" i="5"/>
  <c r="H40" i="5"/>
  <c r="H43" i="5" s="1"/>
  <c r="L32" i="4"/>
  <c r="K40" i="5"/>
  <c r="K43" i="5" s="1"/>
  <c r="S34" i="4"/>
  <c r="S37" i="4" s="1"/>
  <c r="S39" i="4" s="1"/>
  <c r="H39" i="6"/>
  <c r="K38" i="6"/>
  <c r="L38" i="6" s="1"/>
  <c r="T210" i="2"/>
  <c r="T102" i="2"/>
  <c r="T209" i="2" s="1"/>
  <c r="L26" i="6"/>
  <c r="L27" i="6" s="1"/>
  <c r="M27" i="6" s="1"/>
  <c r="W16" i="1" s="1"/>
  <c r="K11" i="9" s="1"/>
  <c r="G40" i="6"/>
  <c r="D41" i="6"/>
  <c r="D42" i="6" s="1"/>
  <c r="T8" i="5"/>
  <c r="T20" i="5" s="1"/>
  <c r="T34" i="5" s="1"/>
  <c r="U94" i="2"/>
  <c r="T40" i="5"/>
  <c r="J32" i="4"/>
  <c r="H32" i="4"/>
  <c r="H34" i="4"/>
  <c r="H39" i="4" s="1"/>
  <c r="N32" i="4"/>
  <c r="Q22" i="4"/>
  <c r="Q19" i="4"/>
  <c r="R32" i="4"/>
  <c r="R34" i="4"/>
  <c r="O34" i="4"/>
  <c r="O32" i="4"/>
  <c r="O36" i="4" s="1"/>
  <c r="T34" i="4"/>
  <c r="W51" i="5"/>
  <c r="U37" i="4"/>
  <c r="U39" i="4" s="1"/>
  <c r="F32" i="4"/>
  <c r="F34" i="4"/>
  <c r="F39" i="4" s="1"/>
  <c r="P19" i="4" l="1"/>
  <c r="U100" i="2"/>
  <c r="D27" i="11"/>
  <c r="D28" i="11" s="1"/>
  <c r="D45" i="11" s="1"/>
  <c r="AP66" i="7"/>
  <c r="AZ66" i="7" s="1"/>
  <c r="AR66" i="7"/>
  <c r="F68" i="7"/>
  <c r="AU68" i="7" s="1"/>
  <c r="H68" i="7"/>
  <c r="F31" i="8"/>
  <c r="I6" i="11"/>
  <c r="M43" i="5"/>
  <c r="I43" i="5"/>
  <c r="AB176" i="2"/>
  <c r="AB73" i="2"/>
  <c r="AC12" i="1"/>
  <c r="Q7" i="9" s="1"/>
  <c r="AA41" i="3"/>
  <c r="I19" i="4"/>
  <c r="I32" i="4" s="1"/>
  <c r="M34" i="4"/>
  <c r="M36" i="4" s="1"/>
  <c r="M39" i="4" s="1"/>
  <c r="H15" i="7"/>
  <c r="O80" i="7"/>
  <c r="AV80" i="7" s="1"/>
  <c r="Q80" i="7"/>
  <c r="AG82" i="7"/>
  <c r="AX82" i="7" s="1"/>
  <c r="F38" i="7" s="1"/>
  <c r="AI82" i="7"/>
  <c r="F220" i="7"/>
  <c r="I219" i="7"/>
  <c r="Z82" i="7"/>
  <c r="X83" i="7" s="1"/>
  <c r="AW83" i="7" s="1"/>
  <c r="P220" i="7"/>
  <c r="S219" i="7"/>
  <c r="AA59" i="3"/>
  <c r="AB25" i="2" s="1"/>
  <c r="K39" i="6"/>
  <c r="L39" i="6" s="1"/>
  <c r="T217" i="2"/>
  <c r="T215" i="2"/>
  <c r="N27" i="6"/>
  <c r="W11" i="1" s="1"/>
  <c r="G41" i="6"/>
  <c r="U36" i="3"/>
  <c r="T43" i="5"/>
  <c r="U102" i="2"/>
  <c r="U209" i="2" s="1"/>
  <c r="U210" i="2"/>
  <c r="T37" i="4"/>
  <c r="T39" i="4" s="1"/>
  <c r="Q32" i="4"/>
  <c r="Q34" i="4"/>
  <c r="P32" i="4"/>
  <c r="P34" i="4"/>
  <c r="O39" i="4"/>
  <c r="R37" i="4"/>
  <c r="R39" i="4" s="1"/>
  <c r="V51" i="5"/>
  <c r="V36" i="3" l="1"/>
  <c r="K5" i="9"/>
  <c r="G68" i="7"/>
  <c r="D72" i="7"/>
  <c r="D76" i="7"/>
  <c r="D80" i="7"/>
  <c r="D84" i="7"/>
  <c r="D88" i="7"/>
  <c r="D92" i="7"/>
  <c r="D96" i="7"/>
  <c r="D100" i="7"/>
  <c r="D104" i="7"/>
  <c r="D70" i="7"/>
  <c r="D86" i="7"/>
  <c r="D98" i="7"/>
  <c r="D73" i="7"/>
  <c r="D77" i="7"/>
  <c r="D81" i="7"/>
  <c r="D85" i="7"/>
  <c r="D89" i="7"/>
  <c r="D93" i="7"/>
  <c r="D97" i="7"/>
  <c r="D101" i="7"/>
  <c r="D69" i="7"/>
  <c r="H69" i="7" s="1"/>
  <c r="D78" i="7"/>
  <c r="D94" i="7"/>
  <c r="D71" i="7"/>
  <c r="D75" i="7"/>
  <c r="D79" i="7"/>
  <c r="D83" i="7"/>
  <c r="D87" i="7"/>
  <c r="D91" i="7"/>
  <c r="D95" i="7"/>
  <c r="D99" i="7"/>
  <c r="D103" i="7"/>
  <c r="D74" i="7"/>
  <c r="D82" i="7"/>
  <c r="D90" i="7"/>
  <c r="D102" i="7"/>
  <c r="AP67" i="7"/>
  <c r="AZ67" i="7" s="1"/>
  <c r="AR67" i="7"/>
  <c r="AP68" i="7" s="1"/>
  <c r="AZ68" i="7" s="1"/>
  <c r="F69" i="7"/>
  <c r="AU69" i="7" s="1"/>
  <c r="G31" i="8"/>
  <c r="J6" i="11"/>
  <c r="I34" i="4"/>
  <c r="I39" i="4" s="1"/>
  <c r="AB178" i="2"/>
  <c r="AC176" i="2"/>
  <c r="P80" i="7"/>
  <c r="AC73" i="2"/>
  <c r="AD12" i="1"/>
  <c r="AB41" i="3"/>
  <c r="I12" i="7"/>
  <c r="O81" i="7"/>
  <c r="AV81" i="7" s="1"/>
  <c r="Q81" i="7"/>
  <c r="AG83" i="7"/>
  <c r="AX83" i="7" s="1"/>
  <c r="AI83" i="7"/>
  <c r="F221" i="7"/>
  <c r="I220" i="7"/>
  <c r="Z83" i="7"/>
  <c r="X84" i="7" s="1"/>
  <c r="AW84" i="7" s="1"/>
  <c r="P221" i="7"/>
  <c r="S220" i="7"/>
  <c r="AA16" i="5"/>
  <c r="AB59" i="3"/>
  <c r="AC25" i="2" s="1"/>
  <c r="K40" i="6"/>
  <c r="H41" i="6"/>
  <c r="D43" i="6"/>
  <c r="G42" i="6"/>
  <c r="V20" i="1"/>
  <c r="U48" i="5"/>
  <c r="W14" i="1"/>
  <c r="W18" i="1" s="1"/>
  <c r="U217" i="2"/>
  <c r="U215" i="2"/>
  <c r="Q37" i="4"/>
  <c r="Q39" i="4" s="1"/>
  <c r="P37" i="4"/>
  <c r="P39" i="4" s="1"/>
  <c r="K23" i="9" l="1"/>
  <c r="W40" i="1"/>
  <c r="K27" i="9" s="1"/>
  <c r="K18" i="9"/>
  <c r="K21" i="9"/>
  <c r="AC41" i="3"/>
  <c r="R7" i="9"/>
  <c r="K6" i="9"/>
  <c r="K14" i="9"/>
  <c r="E16" i="7"/>
  <c r="BA68" i="7"/>
  <c r="BB68" i="7"/>
  <c r="BB153" i="7" s="1"/>
  <c r="E104" i="7"/>
  <c r="G9" i="7" s="1"/>
  <c r="AQ68" i="7"/>
  <c r="D31" i="7" s="1"/>
  <c r="E80" i="7"/>
  <c r="E9" i="7" s="1"/>
  <c r="D11" i="7"/>
  <c r="E92" i="7"/>
  <c r="F9" i="7" s="1"/>
  <c r="AR68" i="7"/>
  <c r="H70" i="7"/>
  <c r="F70" i="7"/>
  <c r="AU70" i="7" s="1"/>
  <c r="H31" i="8"/>
  <c r="K6" i="11"/>
  <c r="W30" i="1"/>
  <c r="K16" i="9" s="1"/>
  <c r="AD176" i="2"/>
  <c r="AD178" i="2" s="1"/>
  <c r="AC178" i="2"/>
  <c r="AD73" i="2"/>
  <c r="I15" i="7"/>
  <c r="O82" i="7"/>
  <c r="AV82" i="7" s="1"/>
  <c r="Q82" i="7"/>
  <c r="AG84" i="7"/>
  <c r="AX84" i="7" s="1"/>
  <c r="AI84" i="7"/>
  <c r="I221" i="7"/>
  <c r="F222" i="7"/>
  <c r="Z84" i="7"/>
  <c r="X85" i="7" s="1"/>
  <c r="AW85" i="7" s="1"/>
  <c r="P222" i="7"/>
  <c r="S221" i="7"/>
  <c r="AB16" i="5"/>
  <c r="AC59" i="3"/>
  <c r="AD25" i="2" s="1"/>
  <c r="AD43" i="2" s="1"/>
  <c r="AD45" i="2" s="1"/>
  <c r="W38" i="1"/>
  <c r="K25" i="9" s="1"/>
  <c r="K41" i="6"/>
  <c r="L41" i="6" s="1"/>
  <c r="H42" i="6"/>
  <c r="L40" i="6"/>
  <c r="U25" i="3"/>
  <c r="V43" i="1"/>
  <c r="V54" i="1" s="1"/>
  <c r="V58" i="1" s="1"/>
  <c r="D44" i="6"/>
  <c r="G44" i="6" s="1"/>
  <c r="G43" i="6"/>
  <c r="U20" i="3"/>
  <c r="U60" i="3"/>
  <c r="V48" i="5"/>
  <c r="W20" i="1"/>
  <c r="BC68" i="7" l="1"/>
  <c r="AR69" i="7"/>
  <c r="D28" i="7"/>
  <c r="AP69" i="7"/>
  <c r="AZ69" i="7" s="1"/>
  <c r="D41" i="7"/>
  <c r="D43" i="7" s="1"/>
  <c r="L9" i="7"/>
  <c r="E10" i="7"/>
  <c r="F7" i="7" s="1"/>
  <c r="F10" i="7" s="1"/>
  <c r="G7" i="7" s="1"/>
  <c r="G10" i="7" s="1"/>
  <c r="H7" i="7" s="1"/>
  <c r="H10" i="7" s="1"/>
  <c r="I7" i="7" s="1"/>
  <c r="I10" i="7" s="1"/>
  <c r="J7" i="7" s="1"/>
  <c r="J10" i="7" s="1"/>
  <c r="K7" i="7" s="1"/>
  <c r="K10" i="7" s="1"/>
  <c r="E39" i="7"/>
  <c r="H71" i="7"/>
  <c r="F71" i="7"/>
  <c r="AU71" i="7" s="1"/>
  <c r="J31" i="8"/>
  <c r="M6" i="11"/>
  <c r="I31" i="8"/>
  <c r="L6" i="11"/>
  <c r="V25" i="3"/>
  <c r="V20" i="3"/>
  <c r="J12" i="7"/>
  <c r="O83" i="7"/>
  <c r="AV83" i="7" s="1"/>
  <c r="Q83" i="7"/>
  <c r="AG85" i="7"/>
  <c r="AX85" i="7" s="1"/>
  <c r="AI85" i="7"/>
  <c r="F223" i="7"/>
  <c r="I222" i="7"/>
  <c r="Z85" i="7"/>
  <c r="X86" i="7" s="1"/>
  <c r="AW86" i="7" s="1"/>
  <c r="P223" i="7"/>
  <c r="S222" i="7"/>
  <c r="AC16" i="5"/>
  <c r="AC73" i="3"/>
  <c r="K42" i="6"/>
  <c r="L42" i="6" s="1"/>
  <c r="H43" i="6"/>
  <c r="W43" i="1"/>
  <c r="W54" i="1" s="1"/>
  <c r="G45" i="6"/>
  <c r="W153" i="2"/>
  <c r="V60" i="3" s="1"/>
  <c r="V62" i="1"/>
  <c r="V66" i="1" s="1"/>
  <c r="U28" i="3"/>
  <c r="C7" i="8" l="1"/>
  <c r="W108" i="1"/>
  <c r="K30" i="9"/>
  <c r="D38" i="7"/>
  <c r="D30" i="7"/>
  <c r="AP70" i="7"/>
  <c r="AZ70" i="7" s="1"/>
  <c r="AR70" i="7"/>
  <c r="D16" i="8"/>
  <c r="W36" i="2"/>
  <c r="F72" i="7"/>
  <c r="AU72" i="7" s="1"/>
  <c r="H72" i="7"/>
  <c r="J15" i="7"/>
  <c r="O84" i="7"/>
  <c r="AV84" i="7" s="1"/>
  <c r="Q84" i="7"/>
  <c r="AG86" i="7"/>
  <c r="AX86" i="7" s="1"/>
  <c r="AI86" i="7"/>
  <c r="F224" i="7"/>
  <c r="I223" i="7"/>
  <c r="Z86" i="7"/>
  <c r="X87" i="7" s="1"/>
  <c r="AW87" i="7" s="1"/>
  <c r="P224" i="7"/>
  <c r="S223" i="7"/>
  <c r="AC15" i="4"/>
  <c r="K43" i="6"/>
  <c r="L43" i="6" s="1"/>
  <c r="H44" i="6"/>
  <c r="K44" i="6" s="1"/>
  <c r="L44" i="6" s="1"/>
  <c r="W63" i="5"/>
  <c r="V63" i="5"/>
  <c r="V70" i="1"/>
  <c r="V72" i="1" s="1"/>
  <c r="V76" i="1" s="1"/>
  <c r="V90" i="1" s="1"/>
  <c r="V94" i="1" s="1"/>
  <c r="V100" i="1" s="1"/>
  <c r="V94" i="2" s="1"/>
  <c r="E27" i="11" s="1"/>
  <c r="E28" i="11" s="1"/>
  <c r="E45" i="11" s="1"/>
  <c r="U31" i="3"/>
  <c r="AR71" i="7" l="1"/>
  <c r="AP71" i="7"/>
  <c r="AZ71" i="7" s="1"/>
  <c r="V66" i="3"/>
  <c r="V73" i="3" s="1"/>
  <c r="F42" i="11"/>
  <c r="W43" i="2"/>
  <c r="W45" i="2" s="1"/>
  <c r="D40" i="7"/>
  <c r="W65" i="2" s="1"/>
  <c r="E27" i="7"/>
  <c r="E37" i="7" s="1"/>
  <c r="F73" i="7"/>
  <c r="AU73" i="7" s="1"/>
  <c r="H73" i="7"/>
  <c r="K12" i="7"/>
  <c r="O85" i="7"/>
  <c r="AV85" i="7" s="1"/>
  <c r="Q85" i="7"/>
  <c r="AG87" i="7"/>
  <c r="AX87" i="7" s="1"/>
  <c r="AI87" i="7"/>
  <c r="F225" i="7"/>
  <c r="I224" i="7"/>
  <c r="Z87" i="7"/>
  <c r="X88" i="7" s="1"/>
  <c r="AW88" i="7" s="1"/>
  <c r="S224" i="7"/>
  <c r="P225" i="7"/>
  <c r="K45" i="6"/>
  <c r="L45" i="6"/>
  <c r="U8" i="5"/>
  <c r="U20" i="5" s="1"/>
  <c r="V15" i="4" l="1"/>
  <c r="V38" i="5"/>
  <c r="F33" i="11"/>
  <c r="W80" i="2"/>
  <c r="AR72" i="7"/>
  <c r="AP72" i="7"/>
  <c r="AZ72" i="7" s="1"/>
  <c r="H74" i="7"/>
  <c r="F74" i="7"/>
  <c r="AU74" i="7" s="1"/>
  <c r="K15" i="7"/>
  <c r="O86" i="7"/>
  <c r="AV86" i="7" s="1"/>
  <c r="Q86" i="7"/>
  <c r="AG88" i="7"/>
  <c r="AX88" i="7" s="1"/>
  <c r="AI88" i="7"/>
  <c r="F226" i="7"/>
  <c r="I225" i="7"/>
  <c r="J225" i="7" s="1"/>
  <c r="Z88" i="7"/>
  <c r="X89" i="7" s="1"/>
  <c r="AW89" i="7" s="1"/>
  <c r="S225" i="7"/>
  <c r="T225" i="7" s="1"/>
  <c r="P226" i="7"/>
  <c r="M45" i="6"/>
  <c r="N45" i="6" s="1"/>
  <c r="X11" i="1" s="1"/>
  <c r="L5" i="9" s="1"/>
  <c r="L46" i="6"/>
  <c r="L47" i="6" s="1"/>
  <c r="V100" i="2"/>
  <c r="L6" i="9" l="1"/>
  <c r="M6" i="9"/>
  <c r="V18" i="5"/>
  <c r="W83" i="2"/>
  <c r="AR73" i="7"/>
  <c r="AP73" i="7"/>
  <c r="AZ73" i="7" s="1"/>
  <c r="H75" i="7"/>
  <c r="F75" i="7"/>
  <c r="AU75" i="7" s="1"/>
  <c r="W36" i="3"/>
  <c r="O87" i="7"/>
  <c r="AV87" i="7" s="1"/>
  <c r="Q87" i="7"/>
  <c r="AG89" i="7"/>
  <c r="AX89" i="7" s="1"/>
  <c r="AI89" i="7"/>
  <c r="F227" i="7"/>
  <c r="I226" i="7"/>
  <c r="Z89" i="7"/>
  <c r="X90" i="7" s="1"/>
  <c r="AW90" i="7" s="1"/>
  <c r="S226" i="7"/>
  <c r="P227" i="7"/>
  <c r="M47" i="6"/>
  <c r="X16" i="1" s="1"/>
  <c r="X14" i="1"/>
  <c r="Z14" i="1" s="1"/>
  <c r="AA14" i="1" s="1"/>
  <c r="AB14" i="1" s="1"/>
  <c r="AC14" i="1" s="1"/>
  <c r="AD14" i="1" s="1"/>
  <c r="V210" i="2"/>
  <c r="Z16" i="1" l="1"/>
  <c r="L11" i="9"/>
  <c r="L14" i="9" s="1"/>
  <c r="S6" i="9"/>
  <c r="N5" i="9" s="1"/>
  <c r="AP74" i="7"/>
  <c r="AZ74" i="7" s="1"/>
  <c r="AR74" i="7"/>
  <c r="F76" i="7"/>
  <c r="AU76" i="7" s="1"/>
  <c r="H76" i="7"/>
  <c r="X36" i="3"/>
  <c r="Z11" i="1"/>
  <c r="O88" i="7"/>
  <c r="AV88" i="7" s="1"/>
  <c r="Q88" i="7"/>
  <c r="AG90" i="7"/>
  <c r="AX90" i="7" s="1"/>
  <c r="AI90" i="7"/>
  <c r="I227" i="7"/>
  <c r="F228" i="7"/>
  <c r="Z90" i="7"/>
  <c r="X91" i="7" s="1"/>
  <c r="AW91" i="7" s="1"/>
  <c r="P228" i="7"/>
  <c r="S227" i="7"/>
  <c r="X18" i="1"/>
  <c r="N47" i="6"/>
  <c r="O5" i="9" l="1"/>
  <c r="N6" i="9"/>
  <c r="L21" i="9"/>
  <c r="L18" i="9"/>
  <c r="L27" i="9"/>
  <c r="X38" i="1"/>
  <c r="L25" i="9" s="1"/>
  <c r="L23" i="9"/>
  <c r="AA16" i="1"/>
  <c r="N11" i="9"/>
  <c r="N14" i="9" s="1"/>
  <c r="AR75" i="7"/>
  <c r="AP75" i="7"/>
  <c r="AZ75" i="7" s="1"/>
  <c r="F77" i="7"/>
  <c r="AU77" i="7" s="1"/>
  <c r="H77" i="7"/>
  <c r="W48" i="5"/>
  <c r="AA11" i="1"/>
  <c r="Y36" i="3"/>
  <c r="Z18" i="1"/>
  <c r="X48" i="5"/>
  <c r="O89" i="7"/>
  <c r="AV89" i="7" s="1"/>
  <c r="Q89" i="7"/>
  <c r="AG91" i="7"/>
  <c r="AX91" i="7" s="1"/>
  <c r="AI91" i="7"/>
  <c r="I228" i="7"/>
  <c r="F229" i="7"/>
  <c r="Z91" i="7"/>
  <c r="X92" i="7" s="1"/>
  <c r="AW92" i="7" s="1"/>
  <c r="P229" i="7"/>
  <c r="S228" i="7"/>
  <c r="X20" i="1"/>
  <c r="N23" i="9" l="1"/>
  <c r="Z38" i="1"/>
  <c r="N25" i="9" s="1"/>
  <c r="N27" i="9"/>
  <c r="AB16" i="1"/>
  <c r="O11" i="9"/>
  <c r="P5" i="9"/>
  <c r="O14" i="9"/>
  <c r="O6" i="9"/>
  <c r="AP76" i="7"/>
  <c r="AZ76" i="7" s="1"/>
  <c r="AR76" i="7"/>
  <c r="AP77" i="7" s="1"/>
  <c r="AZ77" i="7" s="1"/>
  <c r="F78" i="7"/>
  <c r="AU78" i="7" s="1"/>
  <c r="H78" i="7"/>
  <c r="N21" i="9"/>
  <c r="AA18" i="1"/>
  <c r="Y48" i="5"/>
  <c r="W25" i="3"/>
  <c r="AB11" i="1"/>
  <c r="Z36" i="3"/>
  <c r="O90" i="7"/>
  <c r="AV90" i="7" s="1"/>
  <c r="Q90" i="7"/>
  <c r="AG92" i="7"/>
  <c r="AX92" i="7" s="1"/>
  <c r="AI92" i="7"/>
  <c r="I229" i="7"/>
  <c r="F230" i="7"/>
  <c r="Z92" i="7"/>
  <c r="X93" i="7" s="1"/>
  <c r="AW93" i="7" s="1"/>
  <c r="Y92" i="7"/>
  <c r="F21" i="7" s="1"/>
  <c r="P230" i="7"/>
  <c r="S229" i="7"/>
  <c r="AC16" i="1" l="1"/>
  <c r="P11" i="9"/>
  <c r="P14" i="9" s="1"/>
  <c r="Q5" i="9"/>
  <c r="P6" i="9"/>
  <c r="AA68" i="1"/>
  <c r="AA38" i="1"/>
  <c r="O25" i="9" s="1"/>
  <c r="O27" i="9"/>
  <c r="AR77" i="7"/>
  <c r="H79" i="7"/>
  <c r="F79" i="7"/>
  <c r="AU79" i="7" s="1"/>
  <c r="O21" i="9"/>
  <c r="AH92" i="7"/>
  <c r="F26" i="7" s="1"/>
  <c r="AC11" i="1"/>
  <c r="AA36" i="3"/>
  <c r="N18" i="9"/>
  <c r="X25" i="3"/>
  <c r="AB18" i="1"/>
  <c r="Z48" i="5"/>
  <c r="O91" i="7"/>
  <c r="AV91" i="7" s="1"/>
  <c r="Q91" i="7"/>
  <c r="AG93" i="7"/>
  <c r="AX93" i="7" s="1"/>
  <c r="AI93" i="7"/>
  <c r="I230" i="7"/>
  <c r="F231" i="7"/>
  <c r="Z93" i="7"/>
  <c r="X94" i="7" s="1"/>
  <c r="AW94" i="7" s="1"/>
  <c r="P231" i="7"/>
  <c r="S230" i="7"/>
  <c r="O23" i="9" l="1"/>
  <c r="AA69" i="1"/>
  <c r="R5" i="9"/>
  <c r="Q6" i="9"/>
  <c r="P27" i="9"/>
  <c r="AB38" i="1"/>
  <c r="P25" i="9" s="1"/>
  <c r="AD16" i="1"/>
  <c r="R11" i="9" s="1"/>
  <c r="Q11" i="9"/>
  <c r="Q14" i="9" s="1"/>
  <c r="AR78" i="7"/>
  <c r="AP79" i="7" s="1"/>
  <c r="AZ79" i="7" s="1"/>
  <c r="AP78" i="7"/>
  <c r="AZ78" i="7" s="1"/>
  <c r="H80" i="7"/>
  <c r="F80" i="7"/>
  <c r="AU80" i="7" s="1"/>
  <c r="AB68" i="1"/>
  <c r="P23" i="9" s="1"/>
  <c r="P21" i="9"/>
  <c r="O18" i="9"/>
  <c r="Y25" i="3"/>
  <c r="AC18" i="1"/>
  <c r="AA48" i="5"/>
  <c r="AD11" i="1"/>
  <c r="AC36" i="3" s="1"/>
  <c r="AB36" i="3"/>
  <c r="O92" i="7"/>
  <c r="AV92" i="7" s="1"/>
  <c r="Q92" i="7"/>
  <c r="AG94" i="7"/>
  <c r="AX94" i="7" s="1"/>
  <c r="AI94" i="7"/>
  <c r="F232" i="7"/>
  <c r="I231" i="7"/>
  <c r="Z94" i="7"/>
  <c r="X95" i="7" s="1"/>
  <c r="AW95" i="7" s="1"/>
  <c r="P232" i="7"/>
  <c r="S231" i="7"/>
  <c r="Q27" i="9" l="1"/>
  <c r="AC38" i="1"/>
  <c r="Q25" i="9" s="1"/>
  <c r="R6" i="9"/>
  <c r="R14" i="9"/>
  <c r="AR79" i="7"/>
  <c r="F81" i="7"/>
  <c r="AU81" i="7" s="1"/>
  <c r="H81" i="7"/>
  <c r="G80" i="7"/>
  <c r="AC68" i="1"/>
  <c r="Q23" i="9" s="1"/>
  <c r="Q21" i="9"/>
  <c r="P92" i="7"/>
  <c r="AD18" i="1"/>
  <c r="AB48" i="5"/>
  <c r="P18" i="9"/>
  <c r="Z25" i="3"/>
  <c r="O93" i="7"/>
  <c r="AV93" i="7" s="1"/>
  <c r="Q93" i="7"/>
  <c r="AG95" i="7"/>
  <c r="AX95" i="7" s="1"/>
  <c r="AI95" i="7"/>
  <c r="I232" i="7"/>
  <c r="F233" i="7"/>
  <c r="Z95" i="7"/>
  <c r="X96" i="7" s="1"/>
  <c r="AW96" i="7" s="1"/>
  <c r="S232" i="7"/>
  <c r="P233" i="7"/>
  <c r="AD38" i="1" l="1"/>
  <c r="R25" i="9" s="1"/>
  <c r="R27" i="9"/>
  <c r="F16" i="7"/>
  <c r="E11" i="7"/>
  <c r="AP80" i="7"/>
  <c r="AR80" i="7"/>
  <c r="H82" i="7"/>
  <c r="F82" i="7"/>
  <c r="AU82" i="7" s="1"/>
  <c r="AD68" i="1"/>
  <c r="R23" i="9" s="1"/>
  <c r="R21" i="9"/>
  <c r="Q18" i="9"/>
  <c r="AA25" i="3"/>
  <c r="AC48" i="5"/>
  <c r="O94" i="7"/>
  <c r="AV94" i="7" s="1"/>
  <c r="Q94" i="7"/>
  <c r="AG96" i="7"/>
  <c r="AX96" i="7" s="1"/>
  <c r="AI96" i="7"/>
  <c r="F234" i="7"/>
  <c r="I233" i="7"/>
  <c r="Z96" i="7"/>
  <c r="X97" i="7" s="1"/>
  <c r="AW97" i="7" s="1"/>
  <c r="P234" i="7"/>
  <c r="S233" i="7"/>
  <c r="V32" i="5"/>
  <c r="U32" i="5"/>
  <c r="U34" i="5" s="1"/>
  <c r="U43" i="5" s="1"/>
  <c r="V83" i="2"/>
  <c r="V217" i="2"/>
  <c r="AR81" i="7" l="1"/>
  <c r="AR82" i="7" s="1"/>
  <c r="AR83" i="7" s="1"/>
  <c r="AN84" i="7" s="1"/>
  <c r="AP81" i="7"/>
  <c r="AZ81" i="7" s="1"/>
  <c r="E28" i="7"/>
  <c r="AZ80" i="7"/>
  <c r="BA80" i="7" s="1"/>
  <c r="AQ80" i="7"/>
  <c r="E31" i="7" s="1"/>
  <c r="E41" i="7" s="1"/>
  <c r="E43" i="7" s="1"/>
  <c r="H83" i="7"/>
  <c r="F83" i="7"/>
  <c r="AU83" i="7" s="1"/>
  <c r="AB25" i="3"/>
  <c r="O95" i="7"/>
  <c r="AV95" i="7" s="1"/>
  <c r="Q95" i="7"/>
  <c r="AG97" i="7"/>
  <c r="AX97" i="7" s="1"/>
  <c r="AI97" i="7"/>
  <c r="F235" i="7"/>
  <c r="I234" i="7"/>
  <c r="Z97" i="7"/>
  <c r="X98" i="7" s="1"/>
  <c r="AW98" i="7" s="1"/>
  <c r="S234" i="7"/>
  <c r="P235" i="7"/>
  <c r="V102" i="2"/>
  <c r="V209" i="2" s="1"/>
  <c r="V215" i="2"/>
  <c r="X108" i="1" l="1"/>
  <c r="D17" i="8" s="1"/>
  <c r="D7" i="8"/>
  <c r="BC80" i="7"/>
  <c r="E30" i="7"/>
  <c r="L28" i="7"/>
  <c r="L38" i="7" s="1"/>
  <c r="E38" i="7"/>
  <c r="AP83" i="7"/>
  <c r="AZ83" i="7" s="1"/>
  <c r="AP82" i="7"/>
  <c r="AZ82" i="7" s="1"/>
  <c r="AC25" i="3"/>
  <c r="R18" i="9"/>
  <c r="H84" i="7"/>
  <c r="F84" i="7"/>
  <c r="AU84" i="7" s="1"/>
  <c r="O96" i="7"/>
  <c r="AV96" i="7" s="1"/>
  <c r="Q96" i="7"/>
  <c r="AG98" i="7"/>
  <c r="AX98" i="7" s="1"/>
  <c r="AI98" i="7"/>
  <c r="F236" i="7"/>
  <c r="I235" i="7"/>
  <c r="Z98" i="7"/>
  <c r="X99" i="7" s="1"/>
  <c r="AW99" i="7" s="1"/>
  <c r="P236" i="7"/>
  <c r="S235" i="7"/>
  <c r="AN85" i="7" l="1"/>
  <c r="AN86" i="7" s="1"/>
  <c r="AN87" i="7" s="1"/>
  <c r="AN88" i="7" s="1"/>
  <c r="AN89" i="7" s="1"/>
  <c r="AN90" i="7" s="1"/>
  <c r="AN91" i="7" s="1"/>
  <c r="AN92" i="7" s="1"/>
  <c r="AN93" i="7" s="1"/>
  <c r="AN94" i="7" s="1"/>
  <c r="AN95" i="7" s="1"/>
  <c r="AN96" i="7" s="1"/>
  <c r="AN97" i="7" s="1"/>
  <c r="AN98" i="7" s="1"/>
  <c r="AN99" i="7" s="1"/>
  <c r="AN100" i="7" s="1"/>
  <c r="AN101" i="7" s="1"/>
  <c r="AN102" i="7" s="1"/>
  <c r="AN103" i="7" s="1"/>
  <c r="AN104" i="7" s="1"/>
  <c r="AN105" i="7" s="1"/>
  <c r="AN106" i="7" s="1"/>
  <c r="F27" i="7"/>
  <c r="F37" i="7" s="1"/>
  <c r="E40" i="7"/>
  <c r="D18" i="8"/>
  <c r="F85" i="7"/>
  <c r="AU85" i="7" s="1"/>
  <c r="H85" i="7"/>
  <c r="O97" i="7"/>
  <c r="AV97" i="7" s="1"/>
  <c r="Q97" i="7"/>
  <c r="AG99" i="7"/>
  <c r="AX99" i="7" s="1"/>
  <c r="AI99" i="7"/>
  <c r="F237" i="7"/>
  <c r="I236" i="7"/>
  <c r="Z99" i="7"/>
  <c r="X100" i="7" s="1"/>
  <c r="AW100" i="7" s="1"/>
  <c r="S236" i="7"/>
  <c r="P237" i="7"/>
  <c r="AR84" i="7" l="1"/>
  <c r="AO104" i="7"/>
  <c r="G29" i="7" s="1"/>
  <c r="G39" i="7" s="1"/>
  <c r="AP84" i="7"/>
  <c r="AZ84" i="7" s="1"/>
  <c r="L30" i="9"/>
  <c r="D26" i="8"/>
  <c r="AO92" i="7"/>
  <c r="F29" i="7" s="1"/>
  <c r="H86" i="7"/>
  <c r="F86" i="7"/>
  <c r="AU86" i="7" s="1"/>
  <c r="AN107" i="7"/>
  <c r="O98" i="7"/>
  <c r="AV98" i="7" s="1"/>
  <c r="Q98" i="7"/>
  <c r="AG100" i="7"/>
  <c r="AX100" i="7" s="1"/>
  <c r="AI100" i="7"/>
  <c r="F238" i="7"/>
  <c r="I237" i="7"/>
  <c r="J237" i="7" s="1"/>
  <c r="Z100" i="7"/>
  <c r="X101" i="7" s="1"/>
  <c r="AW101" i="7" s="1"/>
  <c r="P238" i="7"/>
  <c r="S237" i="7"/>
  <c r="T237" i="7" s="1"/>
  <c r="AP85" i="7" l="1"/>
  <c r="AZ85" i="7" s="1"/>
  <c r="AR85" i="7"/>
  <c r="F16" i="8"/>
  <c r="Y36" i="2"/>
  <c r="F39" i="7"/>
  <c r="F30" i="7"/>
  <c r="H87" i="7"/>
  <c r="F87" i="7"/>
  <c r="AU87" i="7" s="1"/>
  <c r="O99" i="7"/>
  <c r="AV99" i="7" s="1"/>
  <c r="Q99" i="7"/>
  <c r="AG101" i="7"/>
  <c r="AX101" i="7" s="1"/>
  <c r="AI101" i="7"/>
  <c r="F239" i="7"/>
  <c r="I238" i="7"/>
  <c r="Z101" i="7"/>
  <c r="X102" i="7" s="1"/>
  <c r="AW102" i="7" s="1"/>
  <c r="S238" i="7"/>
  <c r="P239" i="7"/>
  <c r="AR86" i="7" l="1"/>
  <c r="AP86" i="7"/>
  <c r="AZ86" i="7" s="1"/>
  <c r="F40" i="7"/>
  <c r="G27" i="7"/>
  <c r="E16" i="8"/>
  <c r="X36" i="2"/>
  <c r="H88" i="7"/>
  <c r="F88" i="7"/>
  <c r="AU88" i="7" s="1"/>
  <c r="H42" i="11"/>
  <c r="Y43" i="2"/>
  <c r="Y45" i="2" s="1"/>
  <c r="X66" i="3"/>
  <c r="X73" i="3" s="1"/>
  <c r="AO116" i="7"/>
  <c r="H29" i="7" s="1"/>
  <c r="H39" i="7" s="1"/>
  <c r="O100" i="7"/>
  <c r="AV100" i="7" s="1"/>
  <c r="Q100" i="7"/>
  <c r="AG102" i="7"/>
  <c r="AX102" i="7" s="1"/>
  <c r="AI102" i="7"/>
  <c r="I239" i="7"/>
  <c r="F240" i="7"/>
  <c r="Z102" i="7"/>
  <c r="X103" i="7" s="1"/>
  <c r="AW103" i="7" s="1"/>
  <c r="S239" i="7"/>
  <c r="P240" i="7"/>
  <c r="AR87" i="7" l="1"/>
  <c r="AP87" i="7"/>
  <c r="AZ87" i="7" s="1"/>
  <c r="G42" i="11"/>
  <c r="W66" i="3"/>
  <c r="W73" i="3" s="1"/>
  <c r="X43" i="2"/>
  <c r="X45" i="2" s="1"/>
  <c r="X65" i="2"/>
  <c r="G33" i="11" s="1"/>
  <c r="G16" i="8"/>
  <c r="Z36" i="2"/>
  <c r="I42" i="11" s="1"/>
  <c r="G37" i="7"/>
  <c r="G30" i="7"/>
  <c r="E26" i="8"/>
  <c r="Y65" i="2"/>
  <c r="Y80" i="2" s="1"/>
  <c r="Y83" i="2" s="1"/>
  <c r="H89" i="7"/>
  <c r="F89" i="7"/>
  <c r="AU89" i="7" s="1"/>
  <c r="X15" i="4"/>
  <c r="AO128" i="7"/>
  <c r="I29" i="7" s="1"/>
  <c r="O101" i="7"/>
  <c r="AV101" i="7" s="1"/>
  <c r="Q101" i="7"/>
  <c r="AG103" i="7"/>
  <c r="AX103" i="7" s="1"/>
  <c r="AI103" i="7"/>
  <c r="I240" i="7"/>
  <c r="F241" i="7"/>
  <c r="Z103" i="7"/>
  <c r="X104" i="7" s="1"/>
  <c r="AW104" i="7" s="1"/>
  <c r="P241" i="7"/>
  <c r="S240" i="7"/>
  <c r="AR88" i="7" l="1"/>
  <c r="AP88" i="7"/>
  <c r="AZ88" i="7" s="1"/>
  <c r="G40" i="7"/>
  <c r="H27" i="7"/>
  <c r="W38" i="5"/>
  <c r="W15" i="4"/>
  <c r="H33" i="11"/>
  <c r="X38" i="5"/>
  <c r="H90" i="7"/>
  <c r="F90" i="7"/>
  <c r="AU90" i="7" s="1"/>
  <c r="I39" i="7"/>
  <c r="AO140" i="7"/>
  <c r="J29" i="7" s="1"/>
  <c r="Y66" i="3"/>
  <c r="Y73" i="3" s="1"/>
  <c r="Z43" i="2"/>
  <c r="Z45" i="2" s="1"/>
  <c r="AN144" i="7"/>
  <c r="O102" i="7"/>
  <c r="AV102" i="7" s="1"/>
  <c r="Q102" i="7"/>
  <c r="AG104" i="7"/>
  <c r="AX104" i="7" s="1"/>
  <c r="AI104" i="7"/>
  <c r="F242" i="7"/>
  <c r="I241" i="7"/>
  <c r="Y104" i="7"/>
  <c r="G21" i="7" s="1"/>
  <c r="Z104" i="7"/>
  <c r="X105" i="7" s="1"/>
  <c r="AW105" i="7" s="1"/>
  <c r="S241" i="7"/>
  <c r="P242" i="7"/>
  <c r="AR89" i="7" l="1"/>
  <c r="AP89" i="7"/>
  <c r="AZ89" i="7" s="1"/>
  <c r="H37" i="7"/>
  <c r="H30" i="7"/>
  <c r="H16" i="8"/>
  <c r="AA36" i="2"/>
  <c r="Z66" i="3" s="1"/>
  <c r="Z73" i="3" s="1"/>
  <c r="Z15" i="4" s="1"/>
  <c r="F26" i="8"/>
  <c r="Z65" i="2"/>
  <c r="I33" i="11" s="1"/>
  <c r="H91" i="7"/>
  <c r="F91" i="7"/>
  <c r="AU91" i="7" s="1"/>
  <c r="J39" i="7"/>
  <c r="AO143" i="7"/>
  <c r="K29" i="7" s="1"/>
  <c r="K39" i="7" s="1"/>
  <c r="AH104" i="7"/>
  <c r="G26" i="7" s="1"/>
  <c r="Y15" i="4"/>
  <c r="Y38" i="5"/>
  <c r="O103" i="7"/>
  <c r="AV103" i="7" s="1"/>
  <c r="Q103" i="7"/>
  <c r="AG105" i="7"/>
  <c r="AX105" i="7" s="1"/>
  <c r="AI105" i="7"/>
  <c r="I242" i="7"/>
  <c r="F243" i="7"/>
  <c r="Z105" i="7"/>
  <c r="X106" i="7" s="1"/>
  <c r="AW106" i="7" s="1"/>
  <c r="P243" i="7"/>
  <c r="S242" i="7"/>
  <c r="AR90" i="7" l="1"/>
  <c r="AP90" i="7"/>
  <c r="AZ90" i="7" s="1"/>
  <c r="Z80" i="2"/>
  <c r="Z83" i="2" s="1"/>
  <c r="H40" i="7"/>
  <c r="I27" i="7"/>
  <c r="J16" i="8"/>
  <c r="AC36" i="2"/>
  <c r="L42" i="11" s="1"/>
  <c r="I16" i="8"/>
  <c r="AB36" i="2"/>
  <c r="H92" i="7"/>
  <c r="F92" i="7"/>
  <c r="AU92" i="7" s="1"/>
  <c r="AA43" i="2"/>
  <c r="AA45" i="2" s="1"/>
  <c r="J42" i="11"/>
  <c r="Z38" i="5"/>
  <c r="L29" i="7"/>
  <c r="L39" i="7" s="1"/>
  <c r="O104" i="7"/>
  <c r="AV104" i="7" s="1"/>
  <c r="Q104" i="7"/>
  <c r="AG106" i="7"/>
  <c r="AX106" i="7" s="1"/>
  <c r="AI106" i="7"/>
  <c r="F244" i="7"/>
  <c r="I243" i="7"/>
  <c r="Z106" i="7"/>
  <c r="X107" i="7" s="1"/>
  <c r="AW107" i="7" s="1"/>
  <c r="S243" i="7"/>
  <c r="P244" i="7"/>
  <c r="K16" i="8" l="1"/>
  <c r="Y23" i="5"/>
  <c r="Y32" i="5" s="1"/>
  <c r="AR91" i="7"/>
  <c r="AP91" i="7"/>
  <c r="AZ91" i="7" s="1"/>
  <c r="I37" i="7"/>
  <c r="I30" i="7"/>
  <c r="G26" i="8"/>
  <c r="AA65" i="2"/>
  <c r="AA80" i="2" s="1"/>
  <c r="G92" i="7"/>
  <c r="F93" i="7"/>
  <c r="AU93" i="7" s="1"/>
  <c r="H93" i="7"/>
  <c r="AA66" i="3"/>
  <c r="AA73" i="3" s="1"/>
  <c r="AA38" i="5" s="1"/>
  <c r="K42" i="11"/>
  <c r="AB43" i="2"/>
  <c r="AB45" i="2" s="1"/>
  <c r="AE36" i="2"/>
  <c r="AB66" i="3"/>
  <c r="AB73" i="3" s="1"/>
  <c r="AC43" i="2"/>
  <c r="AC45" i="2" s="1"/>
  <c r="P104" i="7"/>
  <c r="G16" i="7" s="1"/>
  <c r="O105" i="7"/>
  <c r="AV105" i="7" s="1"/>
  <c r="Q105" i="7"/>
  <c r="AG107" i="7"/>
  <c r="AX107" i="7" s="1"/>
  <c r="AI107" i="7"/>
  <c r="F245" i="7"/>
  <c r="I244" i="7"/>
  <c r="Z107" i="7"/>
  <c r="X108" i="7" s="1"/>
  <c r="AW108" i="7" s="1"/>
  <c r="S244" i="7"/>
  <c r="P245" i="7"/>
  <c r="X80" i="2"/>
  <c r="AP92" i="7" l="1"/>
  <c r="AR92" i="7"/>
  <c r="J33" i="11"/>
  <c r="F11" i="7"/>
  <c r="I40" i="7"/>
  <c r="J27" i="7"/>
  <c r="H94" i="7"/>
  <c r="F94" i="7"/>
  <c r="AU94" i="7" s="1"/>
  <c r="AA15" i="4"/>
  <c r="AA83" i="2"/>
  <c r="Z23" i="5"/>
  <c r="Z32" i="5" s="1"/>
  <c r="X23" i="5"/>
  <c r="X32" i="5" s="1"/>
  <c r="AB38" i="5"/>
  <c r="AB15" i="4"/>
  <c r="AC38" i="5"/>
  <c r="O106" i="7"/>
  <c r="AV106" i="7" s="1"/>
  <c r="Q106" i="7"/>
  <c r="AG108" i="7"/>
  <c r="AI108" i="7"/>
  <c r="I245" i="7"/>
  <c r="F246" i="7"/>
  <c r="Z108" i="7"/>
  <c r="X109" i="7" s="1"/>
  <c r="AW109" i="7" s="1"/>
  <c r="S245" i="7"/>
  <c r="P246" i="7"/>
  <c r="S246" i="7" s="1"/>
  <c r="X83" i="2"/>
  <c r="W23" i="5"/>
  <c r="W32" i="5" s="1"/>
  <c r="AY153" i="7" l="1"/>
  <c r="AX108" i="7"/>
  <c r="AZ92" i="7"/>
  <c r="BA92" i="7" s="1"/>
  <c r="AQ92" i="7"/>
  <c r="F31" i="7" s="1"/>
  <c r="F41" i="7" s="1"/>
  <c r="F43" i="7" s="1"/>
  <c r="AP93" i="7"/>
  <c r="AZ93" i="7" s="1"/>
  <c r="AR93" i="7"/>
  <c r="H26" i="8"/>
  <c r="AB65" i="2"/>
  <c r="J37" i="7"/>
  <c r="J30" i="7"/>
  <c r="F95" i="7"/>
  <c r="AU95" i="7" s="1"/>
  <c r="H95" i="7"/>
  <c r="O107" i="7"/>
  <c r="AV107" i="7" s="1"/>
  <c r="Q107" i="7"/>
  <c r="AG109" i="7"/>
  <c r="AX109" i="7" s="1"/>
  <c r="AI109" i="7"/>
  <c r="T246" i="7"/>
  <c r="I246" i="7"/>
  <c r="F247" i="7"/>
  <c r="Z109" i="7"/>
  <c r="X110" i="7" s="1"/>
  <c r="AW110" i="7" s="1"/>
  <c r="Y108" i="1" l="1"/>
  <c r="E17" i="8" s="1"/>
  <c r="E7" i="8"/>
  <c r="AP94" i="7"/>
  <c r="AZ94" i="7" s="1"/>
  <c r="AR94" i="7"/>
  <c r="BC92" i="7"/>
  <c r="J40" i="7"/>
  <c r="K27" i="7"/>
  <c r="K33" i="11"/>
  <c r="AB80" i="2"/>
  <c r="H96" i="7"/>
  <c r="F96" i="7"/>
  <c r="AU96" i="7" s="1"/>
  <c r="O108" i="7"/>
  <c r="AV108" i="7" s="1"/>
  <c r="Q108" i="7"/>
  <c r="AG110" i="7"/>
  <c r="AX110" i="7" s="1"/>
  <c r="AI110" i="7"/>
  <c r="F248" i="7"/>
  <c r="I247" i="7"/>
  <c r="Z110" i="7"/>
  <c r="X111" i="7" s="1"/>
  <c r="AW111" i="7" s="1"/>
  <c r="E18" i="8" l="1"/>
  <c r="AR95" i="7"/>
  <c r="AP95" i="7"/>
  <c r="AZ95" i="7" s="1"/>
  <c r="AB83" i="2"/>
  <c r="AA23" i="5"/>
  <c r="AA32" i="5" s="1"/>
  <c r="K37" i="7"/>
  <c r="K30" i="7"/>
  <c r="K40" i="7" s="1"/>
  <c r="AC65" i="2"/>
  <c r="I26" i="8"/>
  <c r="F97" i="7"/>
  <c r="AU97" i="7" s="1"/>
  <c r="H97" i="7"/>
  <c r="P108" i="7"/>
  <c r="AG111" i="7"/>
  <c r="AX111" i="7" s="1"/>
  <c r="AI111" i="7"/>
  <c r="I248" i="7"/>
  <c r="F249" i="7"/>
  <c r="Z111" i="7"/>
  <c r="X112" i="7" s="1"/>
  <c r="AW112" i="7" s="1"/>
  <c r="H16" i="7" l="1"/>
  <c r="L16" i="7" s="1"/>
  <c r="P109" i="7"/>
  <c r="AP96" i="7"/>
  <c r="AZ96" i="7" s="1"/>
  <c r="AR96" i="7"/>
  <c r="M30" i="9"/>
  <c r="J26" i="8"/>
  <c r="AD65" i="2"/>
  <c r="L33" i="11"/>
  <c r="AC80" i="2"/>
  <c r="F98" i="7"/>
  <c r="AU98" i="7" s="1"/>
  <c r="H98" i="7"/>
  <c r="AG112" i="7"/>
  <c r="AX112" i="7" s="1"/>
  <c r="AI112" i="7"/>
  <c r="F250" i="7"/>
  <c r="I249" i="7"/>
  <c r="J249" i="7" s="1"/>
  <c r="Z112" i="7"/>
  <c r="X113" i="7" s="1"/>
  <c r="AW113" i="7" s="1"/>
  <c r="AP97" i="7" l="1"/>
  <c r="AZ97" i="7" s="1"/>
  <c r="AR97" i="7"/>
  <c r="AC83" i="2"/>
  <c r="AB23" i="5"/>
  <c r="AB32" i="5" s="1"/>
  <c r="M33" i="11"/>
  <c r="AD80" i="2"/>
  <c r="AD83" i="2" s="1"/>
  <c r="H99" i="7"/>
  <c r="F99" i="7"/>
  <c r="AU99" i="7" s="1"/>
  <c r="AG113" i="7"/>
  <c r="AX113" i="7" s="1"/>
  <c r="AI113" i="7"/>
  <c r="F251" i="7"/>
  <c r="I250" i="7"/>
  <c r="Z113" i="7"/>
  <c r="X114" i="7" s="1"/>
  <c r="AW114" i="7" s="1"/>
  <c r="AP98" i="7" l="1"/>
  <c r="AZ98" i="7" s="1"/>
  <c r="AR98" i="7"/>
  <c r="AC23" i="5"/>
  <c r="AC32" i="5" s="1"/>
  <c r="H100" i="7"/>
  <c r="F100" i="7"/>
  <c r="AU100" i="7" s="1"/>
  <c r="AG114" i="7"/>
  <c r="AX114" i="7" s="1"/>
  <c r="AI114" i="7"/>
  <c r="I251" i="7"/>
  <c r="F252" i="7"/>
  <c r="Z114" i="7"/>
  <c r="X115" i="7" s="1"/>
  <c r="AW115" i="7" s="1"/>
  <c r="AP99" i="7" l="1"/>
  <c r="AZ99" i="7" s="1"/>
  <c r="AR99" i="7"/>
  <c r="F101" i="7"/>
  <c r="AU101" i="7" s="1"/>
  <c r="H101" i="7"/>
  <c r="AV153" i="7"/>
  <c r="AG115" i="7"/>
  <c r="AX115" i="7" s="1"/>
  <c r="AI115" i="7"/>
  <c r="F253" i="7"/>
  <c r="I252" i="7"/>
  <c r="Z115" i="7"/>
  <c r="X116" i="7" s="1"/>
  <c r="AW116" i="7" s="1"/>
  <c r="AR100" i="7" l="1"/>
  <c r="AP100" i="7"/>
  <c r="AZ100" i="7" s="1"/>
  <c r="H102" i="7"/>
  <c r="F102" i="7"/>
  <c r="AU102" i="7" s="1"/>
  <c r="AG116" i="7"/>
  <c r="AX116" i="7" s="1"/>
  <c r="AI116" i="7"/>
  <c r="I253" i="7"/>
  <c r="F254" i="7"/>
  <c r="Z116" i="7"/>
  <c r="X117" i="7" s="1"/>
  <c r="AW117" i="7" s="1"/>
  <c r="Y116" i="7"/>
  <c r="H21" i="7" s="1"/>
  <c r="AR101" i="7" l="1"/>
  <c r="AP101" i="7"/>
  <c r="AZ101" i="7" s="1"/>
  <c r="H103" i="7"/>
  <c r="F103" i="7"/>
  <c r="AU103" i="7" s="1"/>
  <c r="AH116" i="7"/>
  <c r="H26" i="7" s="1"/>
  <c r="G108" i="7"/>
  <c r="H11" i="7" s="1"/>
  <c r="AG117" i="7"/>
  <c r="AX117" i="7" s="1"/>
  <c r="AI117" i="7"/>
  <c r="F255" i="7"/>
  <c r="I254" i="7"/>
  <c r="Z117" i="7"/>
  <c r="X118" i="7" s="1"/>
  <c r="AW118" i="7" s="1"/>
  <c r="AP102" i="7" l="1"/>
  <c r="AZ102" i="7" s="1"/>
  <c r="AR102" i="7"/>
  <c r="H104" i="7"/>
  <c r="H105" i="7" s="1"/>
  <c r="H106" i="7" s="1"/>
  <c r="H107" i="7" s="1"/>
  <c r="H108" i="7" s="1"/>
  <c r="F104" i="7"/>
  <c r="AG118" i="7"/>
  <c r="AX118" i="7" s="1"/>
  <c r="AI118" i="7"/>
  <c r="I255" i="7"/>
  <c r="F256" i="7"/>
  <c r="Z118" i="7"/>
  <c r="X119" i="7" s="1"/>
  <c r="AU104" i="7" l="1"/>
  <c r="AU153" i="7" s="1"/>
  <c r="AW119" i="7"/>
  <c r="AW153" i="7" s="1"/>
  <c r="AR103" i="7"/>
  <c r="AP103" i="7"/>
  <c r="AZ103" i="7" s="1"/>
  <c r="G104" i="7"/>
  <c r="AG119" i="7"/>
  <c r="AX119" i="7" s="1"/>
  <c r="AI119" i="7"/>
  <c r="F257" i="7"/>
  <c r="I256" i="7"/>
  <c r="Y119" i="7"/>
  <c r="Z119" i="7"/>
  <c r="I21" i="7" l="1"/>
  <c r="L21" i="7" s="1"/>
  <c r="Y120" i="7"/>
  <c r="AR104" i="7"/>
  <c r="AP104" i="7"/>
  <c r="AZ104" i="7" s="1"/>
  <c r="BA104" i="7" s="1"/>
  <c r="G11" i="7"/>
  <c r="G109" i="7"/>
  <c r="AG120" i="7"/>
  <c r="AX120" i="7" s="1"/>
  <c r="AI120" i="7"/>
  <c r="I257" i="7"/>
  <c r="F258" i="7"/>
  <c r="AQ104" i="7" l="1"/>
  <c r="G31" i="7" s="1"/>
  <c r="G41" i="7" s="1"/>
  <c r="G43" i="7" s="1"/>
  <c r="BC104" i="7"/>
  <c r="AP105" i="7"/>
  <c r="AZ105" i="7" s="1"/>
  <c r="AR105" i="7"/>
  <c r="L11" i="7"/>
  <c r="AI121" i="7"/>
  <c r="AG121" i="7"/>
  <c r="AX121" i="7" s="1"/>
  <c r="I258" i="7"/>
  <c r="F259" i="7"/>
  <c r="Z108" i="1" l="1"/>
  <c r="F17" i="8" s="1"/>
  <c r="F7" i="8"/>
  <c r="N30" i="9"/>
  <c r="AR106" i="7"/>
  <c r="AP106" i="7"/>
  <c r="AZ106" i="7" s="1"/>
  <c r="AI122" i="7"/>
  <c r="AG122" i="7"/>
  <c r="AX122" i="7" s="1"/>
  <c r="I259" i="7"/>
  <c r="F260" i="7"/>
  <c r="F18" i="8" l="1"/>
  <c r="AR107" i="7"/>
  <c r="AP107" i="7"/>
  <c r="AZ107" i="7" s="1"/>
  <c r="AI123" i="7"/>
  <c r="AG123" i="7"/>
  <c r="AX123" i="7" s="1"/>
  <c r="I260" i="7"/>
  <c r="F261" i="7"/>
  <c r="AP108" i="7" l="1"/>
  <c r="AZ108" i="7" s="1"/>
  <c r="AR108" i="7"/>
  <c r="AI124" i="7"/>
  <c r="AG124" i="7"/>
  <c r="AX124" i="7" s="1"/>
  <c r="F262" i="7"/>
  <c r="I261" i="7"/>
  <c r="J261" i="7" s="1"/>
  <c r="AR109" i="7" l="1"/>
  <c r="AP109" i="7"/>
  <c r="AZ109" i="7" s="1"/>
  <c r="AI125" i="7"/>
  <c r="AG125" i="7"/>
  <c r="AX125" i="7" s="1"/>
  <c r="F263" i="7"/>
  <c r="I262" i="7"/>
  <c r="AP110" i="7" l="1"/>
  <c r="AZ110" i="7" s="1"/>
  <c r="AR110" i="7"/>
  <c r="AI126" i="7"/>
  <c r="AG126" i="7"/>
  <c r="AX126" i="7" s="1"/>
  <c r="F264" i="7"/>
  <c r="I263" i="7"/>
  <c r="AR111" i="7" l="1"/>
  <c r="AP111" i="7"/>
  <c r="AZ111" i="7" s="1"/>
  <c r="AI127" i="7"/>
  <c r="AG127" i="7"/>
  <c r="AX127" i="7" s="1"/>
  <c r="F265" i="7"/>
  <c r="I264" i="7"/>
  <c r="AP112" i="7" l="1"/>
  <c r="AZ112" i="7" s="1"/>
  <c r="AR112" i="7"/>
  <c r="AI128" i="7"/>
  <c r="AG128" i="7"/>
  <c r="AX128" i="7" s="1"/>
  <c r="F266" i="7"/>
  <c r="I265" i="7"/>
  <c r="AP113" i="7" l="1"/>
  <c r="AZ113" i="7" s="1"/>
  <c r="AR113" i="7"/>
  <c r="AH128" i="7"/>
  <c r="I26" i="7" s="1"/>
  <c r="AI129" i="7"/>
  <c r="AG129" i="7"/>
  <c r="AX129" i="7" s="1"/>
  <c r="I266" i="7"/>
  <c r="F267" i="7"/>
  <c r="AR114" i="7" l="1"/>
  <c r="AP114" i="7"/>
  <c r="AZ114" i="7" s="1"/>
  <c r="AI130" i="7"/>
  <c r="AG130" i="7"/>
  <c r="AX130" i="7" s="1"/>
  <c r="F268" i="7"/>
  <c r="I267" i="7"/>
  <c r="AP115" i="7" l="1"/>
  <c r="AZ115" i="7" s="1"/>
  <c r="AR115" i="7"/>
  <c r="AI131" i="7"/>
  <c r="AG131" i="7"/>
  <c r="AX131" i="7" s="1"/>
  <c r="I268" i="7"/>
  <c r="F269" i="7"/>
  <c r="AP116" i="7" l="1"/>
  <c r="AZ116" i="7" s="1"/>
  <c r="BA116" i="7" s="1"/>
  <c r="AR116" i="7"/>
  <c r="AI132" i="7"/>
  <c r="AG132" i="7"/>
  <c r="AX132" i="7" s="1"/>
  <c r="F270" i="7"/>
  <c r="I270" i="7" s="1"/>
  <c r="I269" i="7"/>
  <c r="BC116" i="7" l="1"/>
  <c r="AP117" i="7"/>
  <c r="AZ117" i="7" s="1"/>
  <c r="AR117" i="7"/>
  <c r="AQ116" i="7"/>
  <c r="H31" i="7" s="1"/>
  <c r="H41" i="7" s="1"/>
  <c r="H43" i="7" s="1"/>
  <c r="AI133" i="7"/>
  <c r="AG133" i="7"/>
  <c r="AX133" i="7" s="1"/>
  <c r="J270" i="7"/>
  <c r="G7" i="8" l="1"/>
  <c r="AA108" i="1"/>
  <c r="G17" i="8" s="1"/>
  <c r="AR118" i="7"/>
  <c r="AP118" i="7"/>
  <c r="AZ118" i="7" s="1"/>
  <c r="G18" i="8"/>
  <c r="AI134" i="7"/>
  <c r="AG134" i="7"/>
  <c r="AX134" i="7" s="1"/>
  <c r="O30" i="9" l="1"/>
  <c r="AR119" i="7"/>
  <c r="AP119" i="7"/>
  <c r="AZ119" i="7" s="1"/>
  <c r="AI135" i="7"/>
  <c r="AG135" i="7"/>
  <c r="AX135" i="7" s="1"/>
  <c r="AR120" i="7" l="1"/>
  <c r="AP120" i="7"/>
  <c r="AZ120" i="7" s="1"/>
  <c r="AI136" i="7"/>
  <c r="AG136" i="7"/>
  <c r="AX136" i="7" s="1"/>
  <c r="AR121" i="7" l="1"/>
  <c r="AP121" i="7"/>
  <c r="AZ121" i="7" s="1"/>
  <c r="AI137" i="7"/>
  <c r="AG137" i="7"/>
  <c r="AX137" i="7" s="1"/>
  <c r="AR122" i="7" l="1"/>
  <c r="AP122" i="7"/>
  <c r="AZ122" i="7" s="1"/>
  <c r="AI138" i="7"/>
  <c r="AG138" i="7"/>
  <c r="AX138" i="7" s="1"/>
  <c r="AR123" i="7" l="1"/>
  <c r="AP123" i="7"/>
  <c r="AZ123" i="7" s="1"/>
  <c r="AI139" i="7"/>
  <c r="AG139" i="7"/>
  <c r="AX139" i="7" s="1"/>
  <c r="AR124" i="7" l="1"/>
  <c r="AP124" i="7"/>
  <c r="AZ124" i="7" s="1"/>
  <c r="AI140" i="7"/>
  <c r="AG140" i="7"/>
  <c r="AX140" i="7" s="1"/>
  <c r="AP125" i="7" l="1"/>
  <c r="AZ125" i="7" s="1"/>
  <c r="AR125" i="7"/>
  <c r="AH140" i="7"/>
  <c r="J26" i="7" s="1"/>
  <c r="AI141" i="7"/>
  <c r="AG141" i="7"/>
  <c r="AX141" i="7" s="1"/>
  <c r="AP126" i="7" l="1"/>
  <c r="AZ126" i="7" s="1"/>
  <c r="AR126" i="7"/>
  <c r="AI142" i="7"/>
  <c r="AG142" i="7"/>
  <c r="AX142" i="7" s="1"/>
  <c r="AR127" i="7" l="1"/>
  <c r="AP127" i="7"/>
  <c r="AZ127" i="7" s="1"/>
  <c r="AG143" i="7"/>
  <c r="AX143" i="7" s="1"/>
  <c r="AI143" i="7"/>
  <c r="AR128" i="7" l="1"/>
  <c r="AP128" i="7"/>
  <c r="AH143" i="7"/>
  <c r="AX153" i="7"/>
  <c r="K26" i="7" l="1"/>
  <c r="L26" i="7" s="1"/>
  <c r="AH144" i="7"/>
  <c r="AZ128" i="7"/>
  <c r="BA128" i="7" s="1"/>
  <c r="AQ128" i="7"/>
  <c r="I31" i="7" s="1"/>
  <c r="I41" i="7" s="1"/>
  <c r="I43" i="7" s="1"/>
  <c r="AR129" i="7"/>
  <c r="AP129" i="7"/>
  <c r="AZ129" i="7" s="1"/>
  <c r="AB108" i="1" l="1"/>
  <c r="H17" i="8" s="1"/>
  <c r="H7" i="8"/>
  <c r="AR130" i="7"/>
  <c r="AP130" i="7"/>
  <c r="AZ130" i="7" s="1"/>
  <c r="BC128" i="7"/>
  <c r="H18" i="8" l="1"/>
  <c r="AP131" i="7"/>
  <c r="AZ131" i="7" s="1"/>
  <c r="AR131" i="7"/>
  <c r="AR132" i="7" l="1"/>
  <c r="AP132" i="7"/>
  <c r="AZ132" i="7" s="1"/>
  <c r="P30" i="9"/>
  <c r="AP133" i="7" l="1"/>
  <c r="AZ133" i="7" s="1"/>
  <c r="AR133" i="7"/>
  <c r="AP134" i="7" l="1"/>
  <c r="AZ134" i="7" s="1"/>
  <c r="AR134" i="7"/>
  <c r="AR135" i="7" l="1"/>
  <c r="AP135" i="7"/>
  <c r="AZ135" i="7" s="1"/>
  <c r="AR136" i="7" l="1"/>
  <c r="AP136" i="7"/>
  <c r="AZ136" i="7" s="1"/>
  <c r="AR137" i="7" l="1"/>
  <c r="AP137" i="7"/>
  <c r="AZ137" i="7" s="1"/>
  <c r="AP138" i="7" l="1"/>
  <c r="AZ138" i="7" s="1"/>
  <c r="AR138" i="7"/>
  <c r="AP139" i="7" l="1"/>
  <c r="AZ139" i="7" s="1"/>
  <c r="AR139" i="7"/>
  <c r="AP140" i="7" l="1"/>
  <c r="AR140" i="7"/>
  <c r="AR141" i="7" l="1"/>
  <c r="AP141" i="7"/>
  <c r="AZ141" i="7" s="1"/>
  <c r="AZ140" i="7"/>
  <c r="BA140" i="7" s="1"/>
  <c r="AQ140" i="7"/>
  <c r="J31" i="7" s="1"/>
  <c r="J41" i="7" s="1"/>
  <c r="J43" i="7" s="1"/>
  <c r="AC108" i="1" l="1"/>
  <c r="I17" i="8" s="1"/>
  <c r="I7" i="8"/>
  <c r="BC140" i="7"/>
  <c r="AR142" i="7"/>
  <c r="AP142" i="7"/>
  <c r="AZ142" i="7" s="1"/>
  <c r="AR143" i="7" l="1"/>
  <c r="AP143" i="7"/>
  <c r="AZ143" i="7" s="1"/>
  <c r="AZ153" i="7" s="1"/>
  <c r="AZ154" i="7" s="1"/>
  <c r="I18" i="8"/>
  <c r="AQ143" i="7" l="1"/>
  <c r="Q30" i="9"/>
  <c r="BA152" i="7"/>
  <c r="BC152" i="7" l="1"/>
  <c r="BC153" i="7" s="1"/>
  <c r="BA153" i="7"/>
  <c r="K31" i="7"/>
  <c r="AQ144" i="7"/>
  <c r="L31" i="7" l="1"/>
  <c r="L41" i="7" s="1"/>
  <c r="L43" i="7" s="1"/>
  <c r="K41" i="7"/>
  <c r="K43" i="7" s="1"/>
  <c r="AD56" i="1"/>
  <c r="Z56" i="1"/>
  <c r="AA52" i="1" s="1"/>
  <c r="AJ64" i="1" s="1"/>
  <c r="AA56" i="1"/>
  <c r="AB52" i="1" s="1"/>
  <c r="P20" i="9" s="1"/>
  <c r="AB56" i="1"/>
  <c r="AC52" i="1" s="1"/>
  <c r="V50" i="3"/>
  <c r="V36" i="5" s="1"/>
  <c r="V40" i="5" s="1"/>
  <c r="X50" i="3"/>
  <c r="X12" i="4" s="1"/>
  <c r="X22" i="4" s="1"/>
  <c r="AA50" i="3"/>
  <c r="Z50" i="3"/>
  <c r="Z146" i="2"/>
  <c r="I14" i="11" s="1"/>
  <c r="Y50" i="3"/>
  <c r="AB50" i="3"/>
  <c r="AB12" i="4" s="1"/>
  <c r="AB22" i="4" s="1"/>
  <c r="W50" i="3"/>
  <c r="W12" i="4" s="1"/>
  <c r="Y146" i="2"/>
  <c r="Y56" i="1"/>
  <c r="Z52" i="1" s="1"/>
  <c r="AC146" i="2"/>
  <c r="AC56" i="1"/>
  <c r="AD52" i="1"/>
  <c r="AB146" i="2"/>
  <c r="AB163" i="2"/>
  <c r="AC50" i="3"/>
  <c r="AA146" i="2"/>
  <c r="AA163" i="2"/>
  <c r="AD146" i="2"/>
  <c r="AD163" i="2" s="1"/>
  <c r="W146" i="2"/>
  <c r="W56" i="1"/>
  <c r="W58" i="1" s="1"/>
  <c r="X146" i="2"/>
  <c r="X56" i="1"/>
  <c r="Y52" i="1" s="1"/>
  <c r="AD108" i="1" l="1"/>
  <c r="J17" i="8" s="1"/>
  <c r="K17" i="8" s="1"/>
  <c r="J7" i="8"/>
  <c r="AL64" i="1"/>
  <c r="Q20" i="9"/>
  <c r="O20" i="9"/>
  <c r="R30" i="9"/>
  <c r="AC36" i="5"/>
  <c r="AC40" i="5" s="1"/>
  <c r="AC12" i="4"/>
  <c r="AC22" i="4" s="1"/>
  <c r="Z36" i="5"/>
  <c r="Z40" i="5" s="1"/>
  <c r="Y36" i="5"/>
  <c r="Y40" i="5" s="1"/>
  <c r="W36" i="5"/>
  <c r="W40" i="5" s="1"/>
  <c r="AB36" i="5"/>
  <c r="AB40" i="5" s="1"/>
  <c r="AB208" i="2"/>
  <c r="AA208" i="2"/>
  <c r="AA36" i="5"/>
  <c r="AA40" i="5" s="1"/>
  <c r="V28" i="3"/>
  <c r="W62" i="1"/>
  <c r="W66" i="1" s="1"/>
  <c r="N20" i="9"/>
  <c r="AI64" i="1"/>
  <c r="M20" i="9"/>
  <c r="AI30" i="1"/>
  <c r="AD214" i="2"/>
  <c r="J13" i="8"/>
  <c r="J37" i="8" s="1"/>
  <c r="AD211" i="2"/>
  <c r="AC29" i="4" s="1"/>
  <c r="AD208" i="2"/>
  <c r="W53" i="5"/>
  <c r="W68" i="5" s="1"/>
  <c r="G14" i="11"/>
  <c r="AA53" i="5"/>
  <c r="AA68" i="5" s="1"/>
  <c r="K14" i="11"/>
  <c r="K22" i="11" s="1"/>
  <c r="X53" i="5"/>
  <c r="X68" i="5" s="1"/>
  <c r="H14" i="11"/>
  <c r="Y163" i="2"/>
  <c r="K20" i="9"/>
  <c r="K31" i="9" s="1"/>
  <c r="K34" i="9" s="1"/>
  <c r="K36" i="9" s="1"/>
  <c r="K38" i="9" s="1"/>
  <c r="K41" i="9" s="1"/>
  <c r="AG30" i="1"/>
  <c r="AC53" i="5"/>
  <c r="AC68" i="5" s="1"/>
  <c r="M14" i="11"/>
  <c r="M22" i="11" s="1"/>
  <c r="AB53" i="5"/>
  <c r="AB68" i="5" s="1"/>
  <c r="L14" i="11"/>
  <c r="L22" i="11" s="1"/>
  <c r="X163" i="2"/>
  <c r="AA214" i="2"/>
  <c r="AA211" i="2"/>
  <c r="Z29" i="4" s="1"/>
  <c r="G13" i="8"/>
  <c r="G37" i="8" s="1"/>
  <c r="X52" i="1"/>
  <c r="V53" i="5"/>
  <c r="V68" i="5" s="1"/>
  <c r="W163" i="2"/>
  <c r="F14" i="11"/>
  <c r="F22" i="11" s="1"/>
  <c r="Z53" i="5"/>
  <c r="Z68" i="5" s="1"/>
  <c r="J14" i="11"/>
  <c r="J22" i="11" s="1"/>
  <c r="H13" i="8"/>
  <c r="H37" i="8" s="1"/>
  <c r="AB211" i="2"/>
  <c r="AA29" i="4" s="1"/>
  <c r="AB214" i="2"/>
  <c r="R20" i="9"/>
  <c r="AM64" i="1"/>
  <c r="AC163" i="2"/>
  <c r="W22" i="4"/>
  <c r="W19" i="4"/>
  <c r="Y12" i="4"/>
  <c r="Z12" i="4"/>
  <c r="AA12" i="4"/>
  <c r="X19" i="4"/>
  <c r="Z163" i="2"/>
  <c r="AK64" i="1"/>
  <c r="AB19" i="4"/>
  <c r="V12" i="4"/>
  <c r="Y53" i="5"/>
  <c r="Y68" i="5" s="1"/>
  <c r="J18" i="8" l="1"/>
  <c r="K18" i="8" s="1"/>
  <c r="AC19" i="4"/>
  <c r="AC32" i="4" s="1"/>
  <c r="Y19" i="4"/>
  <c r="Y22" i="4"/>
  <c r="V19" i="4"/>
  <c r="V22" i="4"/>
  <c r="W32" i="4"/>
  <c r="W208" i="2"/>
  <c r="W214" i="2"/>
  <c r="W211" i="2"/>
  <c r="V29" i="4" s="1"/>
  <c r="C13" i="8"/>
  <c r="C37" i="8" s="1"/>
  <c r="X20" i="3"/>
  <c r="X60" i="3"/>
  <c r="Y43" i="1"/>
  <c r="Y54" i="1" s="1"/>
  <c r="Y58" i="1" s="1"/>
  <c r="M16" i="9"/>
  <c r="M31" i="9" s="1"/>
  <c r="M34" i="9" s="1"/>
  <c r="AA19" i="4"/>
  <c r="AA22" i="4"/>
  <c r="V31" i="3"/>
  <c r="W70" i="1"/>
  <c r="W72" i="1" s="1"/>
  <c r="W76" i="1" s="1"/>
  <c r="W90" i="1" s="1"/>
  <c r="W94" i="1" s="1"/>
  <c r="X32" i="4"/>
  <c r="AB32" i="4"/>
  <c r="E13" i="8"/>
  <c r="E37" i="8" s="1"/>
  <c r="Y211" i="2"/>
  <c r="X29" i="4" s="1"/>
  <c r="X34" i="4" s="1"/>
  <c r="X36" i="5"/>
  <c r="X40" i="5" s="1"/>
  <c r="Y214" i="2"/>
  <c r="Z19" i="4"/>
  <c r="Z22" i="4"/>
  <c r="I13" i="8"/>
  <c r="I37" i="8" s="1"/>
  <c r="AC214" i="2"/>
  <c r="AC211" i="2"/>
  <c r="AB29" i="4" s="1"/>
  <c r="AB34" i="4" s="1"/>
  <c r="AC208" i="2"/>
  <c r="L20" i="9"/>
  <c r="AH30" i="1"/>
  <c r="X211" i="2"/>
  <c r="W29" i="4" s="1"/>
  <c r="W34" i="4" s="1"/>
  <c r="D13" i="8"/>
  <c r="D37" i="8" s="1"/>
  <c r="X214" i="2"/>
  <c r="Z211" i="2"/>
  <c r="Y29" i="4" s="1"/>
  <c r="Z214" i="2"/>
  <c r="F13" i="8"/>
  <c r="F37" i="8" s="1"/>
  <c r="AC34" i="4" l="1"/>
  <c r="W100" i="1"/>
  <c r="V8" i="5" s="1"/>
  <c r="V20" i="5" s="1"/>
  <c r="V34" i="5" s="1"/>
  <c r="V43" i="5" s="1"/>
  <c r="W106" i="1"/>
  <c r="W110" i="1" s="1"/>
  <c r="C8" i="8" s="1"/>
  <c r="C6" i="8" s="1"/>
  <c r="Z34" i="4"/>
  <c r="Z32" i="4"/>
  <c r="X37" i="4"/>
  <c r="X39" i="4" s="1"/>
  <c r="X28" i="3"/>
  <c r="Y62" i="1"/>
  <c r="Y66" i="1" s="1"/>
  <c r="AC37" i="4"/>
  <c r="AC39" i="4" s="1"/>
  <c r="W60" i="3"/>
  <c r="W20" i="3"/>
  <c r="L16" i="9"/>
  <c r="L31" i="9" s="1"/>
  <c r="L34" i="9" s="1"/>
  <c r="X43" i="1"/>
  <c r="X54" i="1" s="1"/>
  <c r="X58" i="1" s="1"/>
  <c r="AA32" i="4"/>
  <c r="AA34" i="4"/>
  <c r="V34" i="4"/>
  <c r="V32" i="4"/>
  <c r="AB37" i="4"/>
  <c r="AB39" i="4" s="1"/>
  <c r="Y60" i="3"/>
  <c r="Y20" i="3"/>
  <c r="N16" i="9"/>
  <c r="N31" i="9" s="1"/>
  <c r="N34" i="9" s="1"/>
  <c r="Z43" i="1"/>
  <c r="Z54" i="1" s="1"/>
  <c r="Z58" i="1" s="1"/>
  <c r="W37" i="4"/>
  <c r="W39" i="4" s="1"/>
  <c r="Y32" i="4"/>
  <c r="Y34" i="4"/>
  <c r="C36" i="8" l="1"/>
  <c r="W94" i="2"/>
  <c r="W100" i="2" s="1"/>
  <c r="V37" i="4"/>
  <c r="V39" i="4" s="1"/>
  <c r="AA37" i="4"/>
  <c r="AA39" i="4" s="1"/>
  <c r="Z37" i="4"/>
  <c r="Z39" i="4" s="1"/>
  <c r="Y37" i="4"/>
  <c r="Y39" i="4" s="1"/>
  <c r="Y28" i="3"/>
  <c r="Z62" i="1"/>
  <c r="Z66" i="1" s="1"/>
  <c r="Z60" i="3"/>
  <c r="Z20" i="3"/>
  <c r="AA43" i="1"/>
  <c r="AA54" i="1" s="1"/>
  <c r="AA58" i="1" s="1"/>
  <c r="O16" i="9"/>
  <c r="O31" i="9" s="1"/>
  <c r="O34" i="9" s="1"/>
  <c r="F27" i="11"/>
  <c r="F28" i="11" s="1"/>
  <c r="F45" i="11" s="1"/>
  <c r="X31" i="3"/>
  <c r="Y70" i="1"/>
  <c r="Y72" i="1" s="1"/>
  <c r="Y76" i="1" s="1"/>
  <c r="Y90" i="1" s="1"/>
  <c r="Y92" i="1" s="1"/>
  <c r="Y107" i="1" s="1"/>
  <c r="W28" i="3"/>
  <c r="X62" i="1"/>
  <c r="X66" i="1" s="1"/>
  <c r="W210" i="2" l="1"/>
  <c r="W102" i="2"/>
  <c r="W209" i="2" s="1"/>
  <c r="W31" i="3"/>
  <c r="X70" i="1"/>
  <c r="X72" i="1" s="1"/>
  <c r="X76" i="1" s="1"/>
  <c r="X90" i="1" s="1"/>
  <c r="X92" i="1" s="1"/>
  <c r="X107" i="1" s="1"/>
  <c r="M35" i="9"/>
  <c r="M36" i="9" s="1"/>
  <c r="M38" i="9" s="1"/>
  <c r="M41" i="9" s="1"/>
  <c r="AA60" i="3"/>
  <c r="AA20" i="3"/>
  <c r="AB43" i="1"/>
  <c r="AB54" i="1" s="1"/>
  <c r="AB58" i="1" s="1"/>
  <c r="P16" i="9"/>
  <c r="P31" i="9" s="1"/>
  <c r="P34" i="9" s="1"/>
  <c r="Y31" i="3"/>
  <c r="Z70" i="1"/>
  <c r="Z72" i="1" s="1"/>
  <c r="Z76" i="1" s="1"/>
  <c r="Z90" i="1" s="1"/>
  <c r="Z92" i="1" s="1"/>
  <c r="Z107" i="1" s="1"/>
  <c r="Z28" i="3"/>
  <c r="AA62" i="1"/>
  <c r="AA66" i="1" s="1"/>
  <c r="Y94" i="1" l="1"/>
  <c r="N35" i="9"/>
  <c r="N36" i="9" s="1"/>
  <c r="N38" i="9" s="1"/>
  <c r="N41" i="9" s="1"/>
  <c r="Z31" i="3"/>
  <c r="AA70" i="1"/>
  <c r="AA72" i="1" s="1"/>
  <c r="AA76" i="1" s="1"/>
  <c r="AA90" i="1" s="1"/>
  <c r="AA92" i="1" s="1"/>
  <c r="AA107" i="1" s="1"/>
  <c r="AB20" i="3"/>
  <c r="AB60" i="3"/>
  <c r="AC43" i="1"/>
  <c r="AC54" i="1" s="1"/>
  <c r="AC58" i="1" s="1"/>
  <c r="Q16" i="9"/>
  <c r="Q31" i="9" s="1"/>
  <c r="Q34" i="9" s="1"/>
  <c r="AA28" i="3"/>
  <c r="AB62" i="1"/>
  <c r="AB66" i="1" s="1"/>
  <c r="W215" i="2"/>
  <c r="W217" i="2"/>
  <c r="Y100" i="1" l="1"/>
  <c r="X8" i="5" s="1"/>
  <c r="Y106" i="1"/>
  <c r="Y110" i="1" s="1"/>
  <c r="E8" i="8" s="1"/>
  <c r="L35" i="9"/>
  <c r="L36" i="9" s="1"/>
  <c r="L38" i="9" s="1"/>
  <c r="L41" i="9" s="1"/>
  <c r="X201" i="2"/>
  <c r="AC60" i="3"/>
  <c r="AC20" i="3"/>
  <c r="AD43" i="1"/>
  <c r="AD54" i="1" s="1"/>
  <c r="AD58" i="1" s="1"/>
  <c r="R16" i="9"/>
  <c r="R31" i="9" s="1"/>
  <c r="R34" i="9" s="1"/>
  <c r="X94" i="1"/>
  <c r="O35" i="9"/>
  <c r="O36" i="9" s="1"/>
  <c r="O38" i="9" s="1"/>
  <c r="O41" i="9" s="1"/>
  <c r="AA31" i="3"/>
  <c r="AB70" i="1"/>
  <c r="AB72" i="1" s="1"/>
  <c r="AB76" i="1" s="1"/>
  <c r="AB90" i="1" s="1"/>
  <c r="AB92" i="1" s="1"/>
  <c r="AB107" i="1" s="1"/>
  <c r="AB28" i="3"/>
  <c r="AC62" i="1"/>
  <c r="AC66" i="1" s="1"/>
  <c r="Z94" i="1"/>
  <c r="X100" i="1" l="1"/>
  <c r="W8" i="5" s="1"/>
  <c r="X106" i="1"/>
  <c r="X110" i="1" s="1"/>
  <c r="D8" i="8" s="1"/>
  <c r="D27" i="8" s="1"/>
  <c r="D25" i="8" s="1"/>
  <c r="Z100" i="1"/>
  <c r="Y8" i="5" s="1"/>
  <c r="Z106" i="1"/>
  <c r="Z110" i="1" s="1"/>
  <c r="F8" i="8" s="1"/>
  <c r="E6" i="8"/>
  <c r="E19" i="8"/>
  <c r="E15" i="8" s="1"/>
  <c r="E38" i="8" s="1"/>
  <c r="E27" i="8"/>
  <c r="E25" i="8" s="1"/>
  <c r="P35" i="9"/>
  <c r="P36" i="9" s="1"/>
  <c r="P38" i="9" s="1"/>
  <c r="P41" i="9" s="1"/>
  <c r="AB31" i="3"/>
  <c r="AC70" i="1"/>
  <c r="AC72" i="1" s="1"/>
  <c r="AC76" i="1" s="1"/>
  <c r="AC90" i="1" s="1"/>
  <c r="AC92" i="1" s="1"/>
  <c r="AC107" i="1" s="1"/>
  <c r="AA94" i="1"/>
  <c r="X204" i="2"/>
  <c r="G10" i="11"/>
  <c r="G22" i="11" s="1"/>
  <c r="Y201" i="2"/>
  <c r="AC28" i="3"/>
  <c r="AD62" i="1"/>
  <c r="AD66" i="1" s="1"/>
  <c r="E36" i="8" l="1"/>
  <c r="D6" i="8"/>
  <c r="D19" i="8"/>
  <c r="X94" i="2"/>
  <c r="Y94" i="2" s="1"/>
  <c r="F6" i="8"/>
  <c r="F19" i="8"/>
  <c r="F15" i="8" s="1"/>
  <c r="F38" i="8" s="1"/>
  <c r="F27" i="8"/>
  <c r="F25" i="8" s="1"/>
  <c r="AA100" i="1"/>
  <c r="Z8" i="5" s="1"/>
  <c r="AA106" i="1"/>
  <c r="AA110" i="1" s="1"/>
  <c r="G8" i="8" s="1"/>
  <c r="Q35" i="9"/>
  <c r="Q36" i="9" s="1"/>
  <c r="Q38" i="9" s="1"/>
  <c r="Q41" i="9" s="1"/>
  <c r="D15" i="8"/>
  <c r="AC31" i="3"/>
  <c r="AD70" i="1"/>
  <c r="AD72" i="1" s="1"/>
  <c r="AD76" i="1" s="1"/>
  <c r="AD90" i="1" s="1"/>
  <c r="AD92" i="1" s="1"/>
  <c r="AD107" i="1" s="1"/>
  <c r="W15" i="5"/>
  <c r="W20" i="5" s="1"/>
  <c r="W34" i="5" s="1"/>
  <c r="W43" i="5" s="1"/>
  <c r="X208" i="2"/>
  <c r="AB94" i="1"/>
  <c r="H10" i="11"/>
  <c r="H22" i="11" s="1"/>
  <c r="Y204" i="2"/>
  <c r="X15" i="5" s="1"/>
  <c r="X20" i="5" s="1"/>
  <c r="X34" i="5" s="1"/>
  <c r="X43" i="5" s="1"/>
  <c r="Z201" i="2"/>
  <c r="F36" i="8" l="1"/>
  <c r="X100" i="2"/>
  <c r="X210" i="2" s="1"/>
  <c r="G27" i="11"/>
  <c r="G28" i="11" s="1"/>
  <c r="G45" i="11" s="1"/>
  <c r="D36" i="8"/>
  <c r="AB100" i="1"/>
  <c r="AA8" i="5" s="1"/>
  <c r="AA20" i="5" s="1"/>
  <c r="AA34" i="5" s="1"/>
  <c r="AA43" i="5" s="1"/>
  <c r="AB106" i="1"/>
  <c r="AB110" i="1" s="1"/>
  <c r="H8" i="8" s="1"/>
  <c r="G6" i="8"/>
  <c r="G27" i="8"/>
  <c r="G25" i="8" s="1"/>
  <c r="G19" i="8"/>
  <c r="G15" i="8" s="1"/>
  <c r="G38" i="8" s="1"/>
  <c r="Y100" i="2"/>
  <c r="H27" i="11"/>
  <c r="H28" i="11" s="1"/>
  <c r="H45" i="11" s="1"/>
  <c r="Z94" i="2"/>
  <c r="Y208" i="2"/>
  <c r="D38" i="8"/>
  <c r="R35" i="9"/>
  <c r="R36" i="9" s="1"/>
  <c r="R38" i="9" s="1"/>
  <c r="R41" i="9" s="1"/>
  <c r="AC94" i="1"/>
  <c r="I10" i="11"/>
  <c r="I22" i="11" s="1"/>
  <c r="Z204" i="2"/>
  <c r="Y15" i="5" s="1"/>
  <c r="Y20" i="5" s="1"/>
  <c r="Y34" i="5" s="1"/>
  <c r="Y43" i="5" s="1"/>
  <c r="G36" i="8" l="1"/>
  <c r="X102" i="2"/>
  <c r="X209" i="2" s="1"/>
  <c r="AC100" i="1"/>
  <c r="AB8" i="5" s="1"/>
  <c r="AB20" i="5" s="1"/>
  <c r="AB34" i="5" s="1"/>
  <c r="AB43" i="5" s="1"/>
  <c r="AC106" i="1"/>
  <c r="AC110" i="1" s="1"/>
  <c r="I8" i="8" s="1"/>
  <c r="H27" i="8"/>
  <c r="H25" i="8" s="1"/>
  <c r="H6" i="8"/>
  <c r="H19" i="8"/>
  <c r="H15" i="8" s="1"/>
  <c r="H38" i="8" s="1"/>
  <c r="Z100" i="2"/>
  <c r="I27" i="11"/>
  <c r="I28" i="11" s="1"/>
  <c r="I45" i="11" s="1"/>
  <c r="AA94" i="2"/>
  <c r="Z15" i="5"/>
  <c r="Z20" i="5" s="1"/>
  <c r="Z34" i="5" s="1"/>
  <c r="Z43" i="5" s="1"/>
  <c r="Z208" i="2"/>
  <c r="X215" i="2"/>
  <c r="X217" i="2"/>
  <c r="AD94" i="1"/>
  <c r="Y210" i="2"/>
  <c r="Y102" i="2"/>
  <c r="Y209" i="2" s="1"/>
  <c r="H36" i="8" l="1"/>
  <c r="I27" i="8"/>
  <c r="I25" i="8" s="1"/>
  <c r="I19" i="8"/>
  <c r="I15" i="8" s="1"/>
  <c r="I38" i="8" s="1"/>
  <c r="I6" i="8"/>
  <c r="AD100" i="1"/>
  <c r="AC8" i="5" s="1"/>
  <c r="AC20" i="5" s="1"/>
  <c r="AC34" i="5" s="1"/>
  <c r="AC43" i="5" s="1"/>
  <c r="AD106" i="1"/>
  <c r="AD110" i="1" s="1"/>
  <c r="J8" i="8" s="1"/>
  <c r="Y215" i="2"/>
  <c r="Y217" i="2"/>
  <c r="Z102" i="2"/>
  <c r="Z209" i="2" s="1"/>
  <c r="Z210" i="2"/>
  <c r="AA100" i="2"/>
  <c r="J27" i="11"/>
  <c r="J28" i="11" s="1"/>
  <c r="J45" i="11" s="1"/>
  <c r="AB94" i="2"/>
  <c r="I36" i="8" l="1"/>
  <c r="J27" i="8"/>
  <c r="J6" i="8"/>
  <c r="J19" i="8"/>
  <c r="AA210" i="2"/>
  <c r="AA102" i="2"/>
  <c r="AA209" i="2" s="1"/>
  <c r="K27" i="11"/>
  <c r="K28" i="11" s="1"/>
  <c r="K45" i="11" s="1"/>
  <c r="AB100" i="2"/>
  <c r="AC94" i="2"/>
  <c r="Z215" i="2"/>
  <c r="Z217" i="2"/>
  <c r="J36" i="8" l="1"/>
  <c r="J15" i="8"/>
  <c r="K19" i="8"/>
  <c r="AB102" i="2"/>
  <c r="AB209" i="2" s="1"/>
  <c r="AB210" i="2"/>
  <c r="L27" i="11"/>
  <c r="L28" i="11" s="1"/>
  <c r="L45" i="11" s="1"/>
  <c r="AD94" i="2"/>
  <c r="AC100" i="2"/>
  <c r="AA215" i="2"/>
  <c r="AA217" i="2"/>
  <c r="K15" i="8" l="1"/>
  <c r="D21" i="8"/>
  <c r="J38" i="8"/>
  <c r="D23" i="8"/>
  <c r="D22" i="8"/>
  <c r="M27" i="11"/>
  <c r="M28" i="11" s="1"/>
  <c r="M45" i="11" s="1"/>
  <c r="AD100" i="2"/>
  <c r="AB217" i="2"/>
  <c r="AB215" i="2"/>
  <c r="AC102" i="2"/>
  <c r="AC209" i="2" s="1"/>
  <c r="AC210" i="2"/>
  <c r="AC215" i="2" l="1"/>
  <c r="AC217" i="2"/>
  <c r="AD210" i="2"/>
  <c r="AD102" i="2"/>
  <c r="AD209" i="2" s="1"/>
  <c r="AD215" i="2" l="1"/>
  <c r="AD217" i="2"/>
</calcChain>
</file>

<file path=xl/sharedStrings.xml><?xml version="1.0" encoding="utf-8"?>
<sst xmlns="http://schemas.openxmlformats.org/spreadsheetml/2006/main" count="930" uniqueCount="527">
  <si>
    <t>-</t>
  </si>
  <si>
    <t xml:space="preserve"> 31-03-03</t>
  </si>
  <si>
    <t>31-3-04</t>
  </si>
  <si>
    <t>Audited</t>
  </si>
  <si>
    <t xml:space="preserve"> 1.</t>
  </si>
  <si>
    <t xml:space="preserve"> GROSS SALES</t>
  </si>
  <si>
    <t xml:space="preserve"> i)   Domestic Sales</t>
  </si>
  <si>
    <t xml:space="preserve"> ii)  Export Sales</t>
  </si>
  <si>
    <t xml:space="preserve">     TOTAL SALES  :</t>
  </si>
  <si>
    <t xml:space="preserve"> 2.</t>
  </si>
  <si>
    <t xml:space="preserve"> 3.</t>
  </si>
  <si>
    <t>Net Income ( 1 - 2)</t>
  </si>
  <si>
    <t xml:space="preserve"> 4.</t>
  </si>
  <si>
    <t xml:space="preserve"> 5.</t>
  </si>
  <si>
    <t>COST OF SALES</t>
  </si>
  <si>
    <t xml:space="preserve">     a) Imported</t>
  </si>
  <si>
    <t xml:space="preserve">     b) Indigenous</t>
  </si>
  <si>
    <t>ii)  Consumable stores &amp; spares</t>
  </si>
  <si>
    <t>iii) Power &amp; Fuel</t>
  </si>
  <si>
    <t>v)   Other Mfg. expenses</t>
  </si>
  <si>
    <t>vi)  Depreciation</t>
  </si>
  <si>
    <t>vii)SUB-TOTAL (i to vi)</t>
  </si>
  <si>
    <t>viii)Add: Opening Stocks-in-process</t>
  </si>
  <si>
    <t>SUB TOTAL</t>
  </si>
  <si>
    <t>ix)  Deduct: Closing Stocks-in-Process</t>
  </si>
  <si>
    <t>x)   Cost of Production</t>
  </si>
  <si>
    <t>SUB-TOTAL</t>
  </si>
  <si>
    <t xml:space="preserve"> 6.</t>
  </si>
  <si>
    <t>Selling, general and admn. exp.</t>
  </si>
  <si>
    <t xml:space="preserve"> 7.</t>
  </si>
  <si>
    <t>SUB-TOTAL (5+6)</t>
  </si>
  <si>
    <t xml:space="preserve"> 8.</t>
  </si>
  <si>
    <t xml:space="preserve"> 9.</t>
  </si>
  <si>
    <t>Interest</t>
  </si>
  <si>
    <t xml:space="preserve"> 10.</t>
  </si>
  <si>
    <t xml:space="preserve"> 11.</t>
  </si>
  <si>
    <t>i)   Add: Other non operating income:</t>
  </si>
  <si>
    <t xml:space="preserve">          Interest Commission etc.</t>
  </si>
  <si>
    <t>ii)  Deduct other non-operating exp.</t>
  </si>
  <si>
    <t>SUB TOTAL (Expenses)</t>
  </si>
  <si>
    <t>iii) Net of other non-operating</t>
  </si>
  <si>
    <t xml:space="preserve"> 12.</t>
  </si>
  <si>
    <t xml:space="preserve"> 13.</t>
  </si>
  <si>
    <t xml:space="preserve"> 14.</t>
  </si>
  <si>
    <t xml:space="preserve"> 15.</t>
  </si>
  <si>
    <t xml:space="preserve"> 16.</t>
  </si>
  <si>
    <t>Deffred Tax</t>
  </si>
  <si>
    <t xml:space="preserve"> 17.</t>
  </si>
  <si>
    <t>xii) Deduct closing stock of finished goods</t>
  </si>
  <si>
    <t>xi)  Add: Opening stock of finished goods</t>
  </si>
  <si>
    <t>iv) Direct Labour (Factory Wages &amp; Salaries)</t>
  </si>
  <si>
    <t>Short-term borrowings from Banks</t>
  </si>
  <si>
    <t>(incld.bills purchased, discounted</t>
  </si>
  <si>
    <t>&amp; excess borrowings placed on</t>
  </si>
  <si>
    <t>repayment basis)</t>
  </si>
  <si>
    <t>i)    From Applicant Bank</t>
  </si>
  <si>
    <t>ii)   From other Banks</t>
  </si>
  <si>
    <t>iii)  (of which BP &amp; BD)</t>
  </si>
  <si>
    <t>SUB TOTAL (A)</t>
  </si>
  <si>
    <t>Short Term borrowing from others.</t>
  </si>
  <si>
    <t>Advance payments from customers/</t>
  </si>
  <si>
    <t>Provision for taxation</t>
  </si>
  <si>
    <t>Dividend payable</t>
  </si>
  <si>
    <t>Other statutory liabilities</t>
  </si>
  <si>
    <t>(due within one year)</t>
  </si>
  <si>
    <t>Deposits/Instalments of Term Loans/</t>
  </si>
  <si>
    <t>DPGs/Debentures, etc. (due within</t>
  </si>
  <si>
    <t>one year)</t>
  </si>
  <si>
    <t>Other current liabilities &amp;</t>
  </si>
  <si>
    <t>Provisions (due within one year)</t>
  </si>
  <si>
    <t>(Specify major items)</t>
  </si>
  <si>
    <t>SUB TOTAL (B)</t>
  </si>
  <si>
    <t>TOTAL CURRENT LIABILITIES</t>
  </si>
  <si>
    <t>(Total of 1 to 9)</t>
  </si>
  <si>
    <t>TERM LIABILITIES</t>
  </si>
  <si>
    <t>Debentures (not maturing</t>
  </si>
  <si>
    <t>within one year)</t>
  </si>
  <si>
    <t>Preference Shares</t>
  </si>
  <si>
    <t>(redeemable after one year)</t>
  </si>
  <si>
    <t>Term Loans (excldg. instalments</t>
  </si>
  <si>
    <t>payable within one year)</t>
  </si>
  <si>
    <t>after one year)</t>
  </si>
  <si>
    <t>Unsecured loans</t>
  </si>
  <si>
    <t>TOTAL TERM LIABILITIES</t>
  </si>
  <si>
    <t xml:space="preserve"> 18.</t>
  </si>
  <si>
    <t>NET WORTH</t>
  </si>
  <si>
    <t xml:space="preserve"> 19.</t>
  </si>
  <si>
    <t>Ordinary Share Capital</t>
  </si>
  <si>
    <t xml:space="preserve"> 20</t>
  </si>
  <si>
    <t>General Reserve</t>
  </si>
  <si>
    <t xml:space="preserve"> 21.</t>
  </si>
  <si>
    <t>Revaluation Reserve</t>
  </si>
  <si>
    <t xml:space="preserve"> 22.</t>
  </si>
  <si>
    <t>Other Reserve (excldg. Provisions)</t>
  </si>
  <si>
    <t xml:space="preserve">Deffred Tax </t>
  </si>
  <si>
    <t xml:space="preserve"> 25.</t>
  </si>
  <si>
    <t>CURRENT ASSETS</t>
  </si>
  <si>
    <t xml:space="preserve"> 26.</t>
  </si>
  <si>
    <t>Cash and Bank Balances</t>
  </si>
  <si>
    <t xml:space="preserve"> 27.</t>
  </si>
  <si>
    <t>Investments (other than long</t>
  </si>
  <si>
    <t>term investments):</t>
  </si>
  <si>
    <t>ii)   Fixed Deposits with Banks</t>
  </si>
  <si>
    <t xml:space="preserve"> 28.</t>
  </si>
  <si>
    <t>i)    Receivables other than deferred</t>
  </si>
  <si>
    <t xml:space="preserve">      &amp; exports (incldg. bills pur-</t>
  </si>
  <si>
    <t xml:space="preserve">      chased &amp; discounted by Banks)</t>
  </si>
  <si>
    <t>ii)   Export receivables (incld.bills</t>
  </si>
  <si>
    <t xml:space="preserve">      purchased/discounted by Banks)</t>
  </si>
  <si>
    <t xml:space="preserve"> 29.</t>
  </si>
  <si>
    <t>Instalments of deferred receivables</t>
  </si>
  <si>
    <t xml:space="preserve"> 30.</t>
  </si>
  <si>
    <t>Inventory:</t>
  </si>
  <si>
    <t>i)    Raw materials (incld.Stores &amp;</t>
  </si>
  <si>
    <t xml:space="preserve">      other items used in the process</t>
  </si>
  <si>
    <t xml:space="preserve">      of manufacture)</t>
  </si>
  <si>
    <t xml:space="preserve">      a)  Imported</t>
  </si>
  <si>
    <t xml:space="preserve">      b)  Indigenous</t>
  </si>
  <si>
    <t>ii)   Stocks-in-Process</t>
  </si>
  <si>
    <t>iii)  Finished Goods</t>
  </si>
  <si>
    <t>iv)   Other Consumable Spares:</t>
  </si>
  <si>
    <t xml:space="preserve"> 31.</t>
  </si>
  <si>
    <t>Advances to suppliers of raw</t>
  </si>
  <si>
    <t>materials &amp; stores/spares</t>
  </si>
  <si>
    <t xml:space="preserve"> 32.</t>
  </si>
  <si>
    <t>Advance payment of taxes</t>
  </si>
  <si>
    <t xml:space="preserve"> 33.</t>
  </si>
  <si>
    <t>Other current assets</t>
  </si>
  <si>
    <t xml:space="preserve"> 34.</t>
  </si>
  <si>
    <t>TOTAL CURRENT ASSETS</t>
  </si>
  <si>
    <t>FIXED ASSETS</t>
  </si>
  <si>
    <t xml:space="preserve"> 35.</t>
  </si>
  <si>
    <t>Machinery, Work-in-Progress)</t>
  </si>
  <si>
    <t xml:space="preserve"> 36.</t>
  </si>
  <si>
    <t>Depreciation to date</t>
  </si>
  <si>
    <t xml:space="preserve"> 37.</t>
  </si>
  <si>
    <t>NET BLOCK (35 - 36)</t>
  </si>
  <si>
    <t>OTHER NON-CURRENT ASSETS</t>
  </si>
  <si>
    <t xml:space="preserve"> 38</t>
  </si>
  <si>
    <t>Investment/book debts/advances/</t>
  </si>
  <si>
    <t>i)  (a)  Investments in subsidiary</t>
  </si>
  <si>
    <t xml:space="preserve">         companies/affiliates</t>
  </si>
  <si>
    <t xml:space="preserve"> 39.</t>
  </si>
  <si>
    <t>Non-consumable stores &amp; spares</t>
  </si>
  <si>
    <t xml:space="preserve"> 40.</t>
  </si>
  <si>
    <t xml:space="preserve"> 41.</t>
  </si>
  <si>
    <t>(Total of 38 to 40)</t>
  </si>
  <si>
    <t xml:space="preserve"> 42.</t>
  </si>
  <si>
    <t xml:space="preserve"> 43.</t>
  </si>
  <si>
    <t xml:space="preserve"> 44.</t>
  </si>
  <si>
    <t>TANGIBLE NET WORTH (24 - 42)</t>
  </si>
  <si>
    <t xml:space="preserve"> 45.</t>
  </si>
  <si>
    <t>TO TALLY WITH (34 - 10)</t>
  </si>
  <si>
    <t xml:space="preserve"> 46.</t>
  </si>
  <si>
    <t>A.</t>
  </si>
  <si>
    <t>Raw materials (incldg. stores &amp;</t>
  </si>
  <si>
    <t>other items used in the process</t>
  </si>
  <si>
    <t>of manufacture).</t>
  </si>
  <si>
    <t>a)  Imported:</t>
  </si>
  <si>
    <t xml:space="preserve">    (Month's consumption)</t>
  </si>
  <si>
    <t>b)  Indigenous:</t>
  </si>
  <si>
    <t>Other consumable spares, excldg.</t>
  </si>
  <si>
    <t>those included in 1 above:</t>
  </si>
  <si>
    <t>a)  Indigenous</t>
  </si>
  <si>
    <t>Work in Process</t>
  </si>
  <si>
    <t>Month's cost of production</t>
  </si>
  <si>
    <t>Finished Goods</t>
  </si>
  <si>
    <t>Month's cost of sales</t>
  </si>
  <si>
    <t>Receivables other than export &amp;</t>
  </si>
  <si>
    <t>deferred receivables (incld.bills</t>
  </si>
  <si>
    <t>purchased &amp; discounted by Bankers)</t>
  </si>
  <si>
    <t>Month's domestic sales excld.</t>
  </si>
  <si>
    <t>deferred payment sales</t>
  </si>
  <si>
    <t>Export receivables (incld.bills</t>
  </si>
  <si>
    <t>Purchased &amp; discounted)</t>
  </si>
  <si>
    <t>Month's export sales</t>
  </si>
  <si>
    <t>&amp; stores/spares, consumables</t>
  </si>
  <si>
    <t>Other current assets incldg. Cash &amp;</t>
  </si>
  <si>
    <t>Bank balances and deferred receivab-</t>
  </si>
  <si>
    <t xml:space="preserve">les due within one year   (specify </t>
  </si>
  <si>
    <t>major items)</t>
  </si>
  <si>
    <t>(To agree with item 34 in Form-III)</t>
  </si>
  <si>
    <t xml:space="preserve"> B.</t>
  </si>
  <si>
    <t>CURRENT LIABILITIES</t>
  </si>
  <si>
    <t>(Other than Bank borrowings for</t>
  </si>
  <si>
    <t>Working Capital)</t>
  </si>
  <si>
    <t xml:space="preserve">Creditors for purchase of raw </t>
  </si>
  <si>
    <t>Month's Purchase:</t>
  </si>
  <si>
    <t>Advances from customers</t>
  </si>
  <si>
    <t>Statutory Liabilities</t>
  </si>
  <si>
    <t>Other Current Liabilities:</t>
  </si>
  <si>
    <t>(Instalment due)</t>
  </si>
  <si>
    <t>Short Term Borrowings, Unsecured</t>
  </si>
  <si>
    <t>Loans,dividend payable,instalments</t>
  </si>
  <si>
    <t>of TL,DPG, Public Deposits, Deben-</t>
  </si>
  <si>
    <t>tures, etc</t>
  </si>
  <si>
    <t>TOTAL    :</t>
  </si>
  <si>
    <t>Total Current Assets</t>
  </si>
  <si>
    <t>(9 in Form-IV)</t>
  </si>
  <si>
    <t>Other Current Liabilities</t>
  </si>
  <si>
    <t>(Other than Bank Borrowing)</t>
  </si>
  <si>
    <t>(14 of Form-IV)</t>
  </si>
  <si>
    <t>Working Capital Gap (WCG)</t>
  </si>
  <si>
    <t>(1 - 2)</t>
  </si>
  <si>
    <t>Min.stipulated net Working Capital</t>
  </si>
  <si>
    <t>i.e. 25% WCG/25% of total Current</t>
  </si>
  <si>
    <t>Assets as the case may be depending</t>
  </si>
  <si>
    <t>upon the method of lending being</t>
  </si>
  <si>
    <t>applied.(Export receivables to be</t>
  </si>
  <si>
    <t>excluded under both methods)</t>
  </si>
  <si>
    <t xml:space="preserve">Actual/Projected Net Working </t>
  </si>
  <si>
    <t>Capital (45 in Form-III)</t>
  </si>
  <si>
    <t>Item 3 Minus item 4</t>
  </si>
  <si>
    <t>Item 3 Minus item 5</t>
  </si>
  <si>
    <t>Maximum permissible bank finance</t>
  </si>
  <si>
    <t>(Item 6 or 7 whichever is lower)</t>
  </si>
  <si>
    <t>Excess borrowings representing</t>
  </si>
  <si>
    <t>short fall in NWC (4 - 5)</t>
  </si>
  <si>
    <t>S O U R C E S</t>
  </si>
  <si>
    <t>b)  Depreciation</t>
  </si>
  <si>
    <t xml:space="preserve">    i)  Fixed Assets</t>
  </si>
  <si>
    <t xml:space="preserve">    ii) Other non-current assets</t>
  </si>
  <si>
    <t>h)  TOTAL   :</t>
  </si>
  <si>
    <t>U S E S</t>
  </si>
  <si>
    <t>a)  Net Loss</t>
  </si>
  <si>
    <t>b)  Decrease in Term Liabilities</t>
  </si>
  <si>
    <t xml:space="preserve">    (Incldg. Public Deposits)</t>
  </si>
  <si>
    <t>c)  Increase in:</t>
  </si>
  <si>
    <t xml:space="preserve">   ii) Capital Work in progress </t>
  </si>
  <si>
    <t>d)  Dividend payments</t>
  </si>
  <si>
    <t>e)  Others:</t>
  </si>
  <si>
    <t>f)  Payment of Unsecured Loan</t>
  </si>
  <si>
    <t>g)  TOTAL  :</t>
  </si>
  <si>
    <t>Increase/decrease in current assets *</t>
  </si>
  <si>
    <t>(as per details given below)</t>
  </si>
  <si>
    <t>Increase/decrease in current</t>
  </si>
  <si>
    <t>liabilities other than Bank</t>
  </si>
  <si>
    <t>borrowings.</t>
  </si>
  <si>
    <t>Increase/decrease in Working</t>
  </si>
  <si>
    <t>Capital gap.</t>
  </si>
  <si>
    <t>Net Surplus (+)/Deficit (-)</t>
  </si>
  <si>
    <t>(Difference of 3 &amp; 6)</t>
  </si>
  <si>
    <t>Increase/decrease in Bank</t>
  </si>
  <si>
    <t>borrowings</t>
  </si>
  <si>
    <t>INCREASE/DECREASE IN NET SALES  :</t>
  </si>
  <si>
    <t>*BREAK-UP OF (4)</t>
  </si>
  <si>
    <t>i)    Increase/Decrease in raw</t>
  </si>
  <si>
    <t xml:space="preserve">      Materials</t>
  </si>
  <si>
    <t>ii)   Increase/Decrease in</t>
  </si>
  <si>
    <t xml:space="preserve">      Stocks-in-Process.</t>
  </si>
  <si>
    <t>iii)  Increase/Decrease in</t>
  </si>
  <si>
    <t xml:space="preserve">      Finished Goods</t>
  </si>
  <si>
    <t xml:space="preserve">iv)   Increase/Decrease in </t>
  </si>
  <si>
    <t xml:space="preserve">      Receivables:</t>
  </si>
  <si>
    <t xml:space="preserve">      (a) Domestic</t>
  </si>
  <si>
    <t xml:space="preserve">      (b) Export</t>
  </si>
  <si>
    <t>v)    Increase/Decrease in</t>
  </si>
  <si>
    <t xml:space="preserve">       Stores &amp; Spares</t>
  </si>
  <si>
    <t>vi)    Increase/Decrease in</t>
  </si>
  <si>
    <t xml:space="preserve">       other current assets.</t>
  </si>
  <si>
    <t>(including Provision for taxes)</t>
  </si>
  <si>
    <t>iii)  Other Income</t>
  </si>
  <si>
    <t>iv) Security Deposit</t>
  </si>
  <si>
    <t>v) Others</t>
  </si>
  <si>
    <t>Deferred Payment Credits</t>
  </si>
  <si>
    <t>(Excl.inst.Due within 1 year)</t>
  </si>
  <si>
    <t>Retained Profit/Net Profit (%)</t>
  </si>
  <si>
    <t>ASSESSMENT OF WORKING CAPITAL RQUIREMETS</t>
  </si>
  <si>
    <t>(11 TO 16)</t>
  </si>
  <si>
    <t>TOTAL LIABILITIES  (18+24)</t>
  </si>
  <si>
    <t>CURRENT RATIO (34/10)</t>
  </si>
  <si>
    <t>NET WORTH        (18/44)</t>
  </si>
  <si>
    <t>TOTAL TERM LIABILITIES/TANIGBLE</t>
  </si>
  <si>
    <t>NET WORTH       (17/44)</t>
  </si>
  <si>
    <t>CURRENT ASSETS &amp; CURRENT LIABILITIES</t>
  </si>
  <si>
    <t>(To agree with sub total B- Form-III)</t>
  </si>
  <si>
    <t>FORM - V</t>
  </si>
  <si>
    <t>as compared to previous year</t>
  </si>
  <si>
    <t>%age rise (+) or fall (-) in net sales</t>
  </si>
  <si>
    <t>i)   Raw materials (including stores &amp;</t>
  </si>
  <si>
    <t xml:space="preserve">     of manufacture)</t>
  </si>
  <si>
    <t xml:space="preserve">     other items used in  the process </t>
  </si>
  <si>
    <t>Operating profit before intt.</t>
  </si>
  <si>
    <t xml:space="preserve">             ( 3-7 )</t>
  </si>
  <si>
    <t xml:space="preserve">Net Profit/loss after Tax </t>
  </si>
  <si>
    <t xml:space="preserve">   ( 12 -13 )</t>
  </si>
  <si>
    <t xml:space="preserve">   ( 10+11 (iii) )</t>
  </si>
  <si>
    <t xml:space="preserve">Profit beforetax/loss </t>
  </si>
  <si>
    <t xml:space="preserve">    (10  +  17  )</t>
  </si>
  <si>
    <t xml:space="preserve">TOTAL OUTSIDE LIABILITIES </t>
  </si>
  <si>
    <t>TOTAL OTHER NON-CURR.ASSETS</t>
  </si>
  <si>
    <t xml:space="preserve">  32 , 37 ,41 ,42 )</t>
  </si>
  <si>
    <t xml:space="preserve">TOTAL ASSETS (Total of </t>
  </si>
  <si>
    <t>NET WORKING CAPITAL{(17+24)-(37</t>
  </si>
  <si>
    <t>Intangible assets (patents goodwill, prem.</t>
  </si>
  <si>
    <t>exp.bad/doubtful debts,not provided ect.</t>
  </si>
  <si>
    <t xml:space="preserve"> + 41 + 42 }) TO TALLY WITH (34-10)</t>
  </si>
  <si>
    <t xml:space="preserve">TOTAL OUTSIDE LIAB./TANIGIBLE </t>
  </si>
  <si>
    <t>TOTAL CURRENT ASSETS (Total of 26</t>
  </si>
  <si>
    <t>to 39 )</t>
  </si>
  <si>
    <t xml:space="preserve">         G.S.AUTO INTERNATIONAL LIMITED</t>
  </si>
  <si>
    <t xml:space="preserve">       TOTAL  </t>
  </si>
  <si>
    <t>G.S.AUTO INTERNATIONAL LIMITED,LUDHIANA</t>
  </si>
  <si>
    <t>Projected</t>
  </si>
  <si>
    <t>INSURANCE CLAIM</t>
  </si>
  <si>
    <t>DIFF IN EXCH.</t>
  </si>
  <si>
    <t>e)  Increase in Unsecured Loan</t>
  </si>
  <si>
    <t>f)  Decrease in -</t>
  </si>
  <si>
    <t>h)  Deffred Tax</t>
  </si>
  <si>
    <t>i)  Increase in term liabilities</t>
  </si>
  <si>
    <t xml:space="preserve">      (AMOUNT : IN LACS)</t>
  </si>
  <si>
    <t xml:space="preserve">d)  Increase in Share Capital </t>
  </si>
  <si>
    <t>c)  Share/warrant  Application Money</t>
  </si>
  <si>
    <t xml:space="preserve">COMPARATIVE STATEMENT OF </t>
  </si>
  <si>
    <t>Equity Dividend Paid (Including DDT )</t>
  </si>
  <si>
    <t xml:space="preserve">Provision for taxes/Deffered Tax </t>
  </si>
  <si>
    <t>FORM II,OPERATING STATEMENT</t>
  </si>
  <si>
    <t>FORM-III (CONTINUED)</t>
  </si>
  <si>
    <t>ANALYASIS OF BALANCE SHEET</t>
  </si>
  <si>
    <t>Surplus (+) or Deficit (-) in Profit &amp; Loss A/c</t>
  </si>
  <si>
    <t>deposits which are not Current Assets</t>
  </si>
  <si>
    <t>ASSESSMENT OF WORKING CAPITAL</t>
  </si>
  <si>
    <t>COMPUTATION OF MAXIMUM PERMISSIBLE BANK FINANCE FOR WORKING CAPITAL</t>
  </si>
  <si>
    <t>Long Term Surplus (+)/Deficit (-) (1-2)</t>
  </si>
  <si>
    <t xml:space="preserve">g)  Others: </t>
  </si>
  <si>
    <t>LC Creditors</t>
  </si>
  <si>
    <t>Sundry Creditors</t>
  </si>
  <si>
    <t>LC Creditors (Trade)</t>
  </si>
  <si>
    <t xml:space="preserve">      (Amount : In Lacs)</t>
  </si>
  <si>
    <t xml:space="preserve"> </t>
  </si>
  <si>
    <t>Operating profit after intt. (8-9)</t>
  </si>
  <si>
    <t xml:space="preserve">     income/expenses:  (net of 11(i) &amp; 11(ii)</t>
  </si>
  <si>
    <t>Balance Carried To Balance Sheet</t>
  </si>
  <si>
    <t>i)    Government &amp; Other Trustee Sec.</t>
  </si>
  <si>
    <t>xii) SUB-TOTAL (Total Cost of Sales)</t>
  </si>
  <si>
    <r>
      <t>NOTE</t>
    </r>
    <r>
      <rPr>
        <sz val="10"/>
        <rFont val="Arial"/>
        <family val="2"/>
      </rPr>
      <t xml:space="preserve">:-Increase /Decrease under item 4 to 8, as also under break up of (4) should </t>
    </r>
  </si>
  <si>
    <t xml:space="preserve">                 </t>
  </si>
  <si>
    <t>(Rs.in Lacs)</t>
  </si>
  <si>
    <t xml:space="preserve">    Capital goods &amp; Contractors</t>
  </si>
  <si>
    <t>Gross Block (Land &amp; Building),</t>
  </si>
  <si>
    <t>a)  Net Profit/Loss (after income tax)</t>
  </si>
  <si>
    <t>G.S.AUTO INTERNATIONAL LIMITED,</t>
  </si>
  <si>
    <t xml:space="preserve">    i)  Fixed Assets &amp; Others</t>
  </si>
  <si>
    <t>Other Comprehensive Income</t>
  </si>
  <si>
    <t xml:space="preserve">          </t>
  </si>
  <si>
    <t xml:space="preserve">    (Maturity exceeding one year)</t>
  </si>
  <si>
    <t>iii) Deferred receivables</t>
  </si>
  <si>
    <t>ii)  Advances to suppliers of</t>
  </si>
  <si>
    <t>Term Deposits (repayable after three years)</t>
  </si>
  <si>
    <t xml:space="preserve">Creditors for Fixed Assets/Non Current </t>
  </si>
  <si>
    <t>Liabilities</t>
  </si>
  <si>
    <t xml:space="preserve">    (b)  Investments-Others (Surplus Cash)</t>
  </si>
  <si>
    <t xml:space="preserve">           be indicated by (+) or (-).</t>
  </si>
  <si>
    <t>Less: Excise Duty/GST</t>
  </si>
  <si>
    <t>Admn</t>
  </si>
  <si>
    <t>OEM</t>
  </si>
  <si>
    <t>Replacement</t>
  </si>
  <si>
    <t>2020-21</t>
  </si>
  <si>
    <t>2021-22</t>
  </si>
  <si>
    <t>Estimated</t>
  </si>
  <si>
    <t>FORM VI---FUND FLOW STATEMENT</t>
  </si>
  <si>
    <t>Ludhiana</t>
  </si>
  <si>
    <t>Exp</t>
  </si>
  <si>
    <t>JSR</t>
  </si>
  <si>
    <t>Total</t>
  </si>
  <si>
    <t>G Total</t>
  </si>
  <si>
    <t>Sales Budget 2021-22</t>
  </si>
  <si>
    <t>Less contingency</t>
  </si>
  <si>
    <t>GECL</t>
  </si>
  <si>
    <t>Advance to suppliers of Raw materials</t>
  </si>
  <si>
    <t>Covid Loan</t>
  </si>
  <si>
    <t>272 lacs</t>
  </si>
  <si>
    <t>Repayment Schedule</t>
  </si>
  <si>
    <t>Inst Amt</t>
  </si>
  <si>
    <t>Balance</t>
  </si>
  <si>
    <t>Period</t>
  </si>
  <si>
    <t>Sales Budget 2022-23</t>
  </si>
  <si>
    <t>2022-23</t>
  </si>
  <si>
    <t>Advance from customer and creditors Long term</t>
  </si>
  <si>
    <t>WCTL</t>
  </si>
  <si>
    <t>3m</t>
  </si>
  <si>
    <t>12m</t>
  </si>
  <si>
    <t>9m</t>
  </si>
  <si>
    <t>Intrest period</t>
  </si>
  <si>
    <t>2023-24</t>
  </si>
  <si>
    <t>2024-25</t>
  </si>
  <si>
    <t>2025-26</t>
  </si>
  <si>
    <t>2026-27</t>
  </si>
  <si>
    <t>2027-28</t>
  </si>
  <si>
    <t>2028-29</t>
  </si>
  <si>
    <t>FITL 208 lac( from 1-1-2021)</t>
  </si>
  <si>
    <t>7m</t>
  </si>
  <si>
    <t xml:space="preserve">Covid Loan </t>
  </si>
  <si>
    <t>Provision for doubtful debts</t>
  </si>
  <si>
    <t>added in admn exp</t>
  </si>
  <si>
    <t>Other non-current assets( Deferred Tax Assets)</t>
  </si>
  <si>
    <t>DSCR</t>
  </si>
  <si>
    <t>EBIDTA</t>
  </si>
  <si>
    <t>Princupal Inst</t>
  </si>
  <si>
    <t xml:space="preserve">GECL </t>
  </si>
  <si>
    <t>545 lacs</t>
  </si>
  <si>
    <t>GECL Additional</t>
  </si>
  <si>
    <t>Disbursement</t>
  </si>
  <si>
    <t>725 lac</t>
  </si>
  <si>
    <t>Yearly Installment</t>
  </si>
  <si>
    <t>Intt 272 lac</t>
  </si>
  <si>
    <t>Interest CC 2725 lac</t>
  </si>
  <si>
    <t>Total FITL Montlhy</t>
  </si>
  <si>
    <t>FITL (Rs Lacs)</t>
  </si>
  <si>
    <t>Addtion</t>
  </si>
  <si>
    <t xml:space="preserve">Repayment </t>
  </si>
  <si>
    <t xml:space="preserve">Balance </t>
  </si>
  <si>
    <t>Interest for the year</t>
  </si>
  <si>
    <t>Yearly Interest</t>
  </si>
  <si>
    <t>Loan Installments</t>
  </si>
  <si>
    <t>Average DSCR</t>
  </si>
  <si>
    <t>Long Term Debt/EBIDTA</t>
  </si>
  <si>
    <t>Long Term Debt</t>
  </si>
  <si>
    <t>Fixed assets</t>
  </si>
  <si>
    <t>Loan against Fixed Assets</t>
  </si>
  <si>
    <t>FACR</t>
  </si>
  <si>
    <t>Interest Coverage Ratio</t>
  </si>
  <si>
    <t>Term Deposits and Lease Liability (repayable</t>
  </si>
  <si>
    <t>Additon to Fixed Assets</t>
  </si>
  <si>
    <t>TOTAL Addtion</t>
  </si>
  <si>
    <t xml:space="preserve">TOTAL Repayment </t>
  </si>
  <si>
    <t xml:space="preserve">TOTAL Balance </t>
  </si>
  <si>
    <t>TOTAL Interest for the year</t>
  </si>
  <si>
    <t>Proposed  WCTL</t>
  </si>
  <si>
    <t>Existing Loans vehicles</t>
  </si>
  <si>
    <t>\</t>
  </si>
  <si>
    <t>Not Applicable</t>
  </si>
  <si>
    <t>G S Auto International Limited</t>
  </si>
  <si>
    <t>KEY Ratios</t>
  </si>
  <si>
    <t>Restructuring Proposal</t>
  </si>
  <si>
    <t>Pariculars</t>
  </si>
  <si>
    <t xml:space="preserve">Loan Amount </t>
  </si>
  <si>
    <t>Date</t>
  </si>
  <si>
    <t>Years</t>
  </si>
  <si>
    <t>M/s G S Asuto International Limited</t>
  </si>
  <si>
    <t>Details of Loans and Repayment Schedule</t>
  </si>
  <si>
    <t xml:space="preserve">      (Amount : Rs In Lacs)</t>
  </si>
  <si>
    <t>Provisional</t>
  </si>
  <si>
    <t>Sale/Adjustment</t>
  </si>
  <si>
    <t>FITL ( New)</t>
  </si>
  <si>
    <t>WCTL( New)</t>
  </si>
  <si>
    <t>GECL (New)</t>
  </si>
  <si>
    <t>Revenue</t>
  </si>
  <si>
    <t>Y-o-Y Change</t>
  </si>
  <si>
    <t>Net Income</t>
  </si>
  <si>
    <t>Expenses</t>
  </si>
  <si>
    <t>Raw materials (including stores &amp;  other items used in  the process of manufacture)</t>
  </si>
  <si>
    <t>Percentage of Revenue</t>
  </si>
  <si>
    <t xml:space="preserve"> Consumable stores &amp; spares</t>
  </si>
  <si>
    <t>Changes in Inventory of Finished products</t>
  </si>
  <si>
    <t>Seliing &amp; Distribution expenses</t>
  </si>
  <si>
    <t>vii) Interest</t>
  </si>
  <si>
    <t>Sub Total</t>
  </si>
  <si>
    <t>Add: Other non operating income: Interest Commission etc.</t>
  </si>
  <si>
    <t>Profit Before Tax</t>
  </si>
  <si>
    <t>Tax</t>
  </si>
  <si>
    <t>Profit After Tax</t>
  </si>
  <si>
    <t>Other comprehencive income</t>
  </si>
  <si>
    <t>Profit/Loss for the year</t>
  </si>
  <si>
    <t>EBITDA</t>
  </si>
  <si>
    <t>Depriciation</t>
  </si>
  <si>
    <t>Depriciaiton%</t>
  </si>
  <si>
    <t>Addition</t>
  </si>
  <si>
    <t>Maximum DSCR</t>
  </si>
  <si>
    <t>Minimum DSCR</t>
  </si>
  <si>
    <t>CURRENT RATIO</t>
  </si>
  <si>
    <t>Key Financial Ratios</t>
  </si>
  <si>
    <t>Assets</t>
  </si>
  <si>
    <t>Non-Current Assets</t>
  </si>
  <si>
    <t>Property, Plant and Equipment</t>
  </si>
  <si>
    <t>Capital Work in Progress</t>
  </si>
  <si>
    <t>Other Intangible Assets</t>
  </si>
  <si>
    <t>Financial Assets</t>
  </si>
  <si>
    <t>Deffred Tax Assets</t>
  </si>
  <si>
    <t>Other Non Current Assets</t>
  </si>
  <si>
    <t>Current Assets</t>
  </si>
  <si>
    <t>Inventories</t>
  </si>
  <si>
    <t>Investments</t>
  </si>
  <si>
    <t>Trade Receivables</t>
  </si>
  <si>
    <t>Cash &amp; Cash Equivelent</t>
  </si>
  <si>
    <t>Bank &amp; Bank Balances</t>
  </si>
  <si>
    <t>Other Financial Assets</t>
  </si>
  <si>
    <t>Other Current Assets</t>
  </si>
  <si>
    <t>Total Assets</t>
  </si>
  <si>
    <t>Equity &amp; Liabilities</t>
  </si>
  <si>
    <t>Equity</t>
  </si>
  <si>
    <t>Equity Share Capital</t>
  </si>
  <si>
    <t>Other Equity</t>
  </si>
  <si>
    <t>Total Equity</t>
  </si>
  <si>
    <t>Non-Current Liabilities</t>
  </si>
  <si>
    <t>Financial Liabilities</t>
  </si>
  <si>
    <t>Borrowing</t>
  </si>
  <si>
    <t>Trade Payable</t>
  </si>
  <si>
    <t>Other Financial Liabilities</t>
  </si>
  <si>
    <t>Provisions</t>
  </si>
  <si>
    <t>other Non Current Liabilites</t>
  </si>
  <si>
    <t xml:space="preserve">Provisions </t>
  </si>
  <si>
    <t>Lease Liabilites</t>
  </si>
  <si>
    <t>Current Liabilites</t>
  </si>
  <si>
    <t>other Liabilities</t>
  </si>
  <si>
    <t>Financcing Activity</t>
  </si>
  <si>
    <t>Investing Activity</t>
  </si>
  <si>
    <t>Operating Activity</t>
  </si>
  <si>
    <t>Investing Activity/Financing Activity</t>
  </si>
  <si>
    <t>Financing Activity</t>
  </si>
  <si>
    <t>Interest Paid during 2021-22</t>
  </si>
  <si>
    <t>INTEREST FUNDING</t>
  </si>
  <si>
    <t>Intt WCTL 725 Lac</t>
  </si>
  <si>
    <t>Intt GECL-I  545 lac</t>
  </si>
  <si>
    <t>Intt New GECL-II  272 lac</t>
  </si>
  <si>
    <t>Interest for CC funding upto May 23</t>
  </si>
  <si>
    <t>FITL Creation</t>
  </si>
  <si>
    <t>Interest Funding</t>
  </si>
  <si>
    <t xml:space="preserve">Yearly Interest Payment </t>
  </si>
  <si>
    <t xml:space="preserve">Total Yearly Interest </t>
  </si>
  <si>
    <t>Opening Balance</t>
  </si>
  <si>
    <t>CC Interest</t>
  </si>
  <si>
    <t>FITL Intt</t>
  </si>
  <si>
    <t>TAX</t>
  </si>
  <si>
    <t>Depreciation</t>
  </si>
  <si>
    <t>Contigency for intt and B/charges</t>
  </si>
  <si>
    <t>Total Finance cost for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</si>
</sst>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_);\(0.00\)"/>
    <numFmt numFmtId="165" formatCode="[$-409]d\-mmm\-yy;@"/>
    <numFmt numFmtId="166" formatCode="#,##0.00_ ;\-#,##0.00\ "/>
    <numFmt numFmtId="168" formatCode="0.0000_);\(0.0000\)"/>
    <numFmt numFmtId="172" formatCode="0.0000"/>
  </numFmts>
  <fonts count="14" x14ac:knownFonts="1">
    <font>
      <sz val="10"/>
      <name val="Arial"/>
    </font>
    <font>
      <b/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u/>
      <sz val="14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8" fillId="0" borderId="0" applyFont="0" applyFill="0" applyBorder="0" applyAlignment="0" applyProtection="0"/>
  </cellStyleXfs>
  <cellXfs count="293">
    <xf numFmtId="0" fontId="0" fillId="0" borderId="0" xfId="0"/>
    <xf numFmtId="39" fontId="3" fillId="0" borderId="0" xfId="0" applyNumberFormat="1" applyFont="1" applyFill="1" applyBorder="1" applyAlignment="1" applyProtection="1">
      <alignment horizontal="center"/>
    </xf>
    <xf numFmtId="2" fontId="3" fillId="0" borderId="0" xfId="0" applyNumberFormat="1" applyFont="1" applyFill="1" applyBorder="1" applyAlignment="1" applyProtection="1">
      <alignment horizontal="center"/>
    </xf>
    <xf numFmtId="2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/>
    <xf numFmtId="164" fontId="3" fillId="0" borderId="1" xfId="0" applyNumberFormat="1" applyFont="1" applyFill="1" applyBorder="1" applyAlignment="1" applyProtection="1">
      <alignment horizontal="center"/>
    </xf>
    <xf numFmtId="164" fontId="3" fillId="0" borderId="0" xfId="0" applyNumberFormat="1" applyFont="1" applyFill="1" applyAlignment="1" applyProtection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39" fontId="3" fillId="0" borderId="0" xfId="0" applyNumberFormat="1" applyFont="1" applyFill="1" applyAlignment="1" applyProtection="1">
      <alignment horizontal="center"/>
    </xf>
    <xf numFmtId="164" fontId="2" fillId="0" borderId="2" xfId="0" applyNumberFormat="1" applyFont="1" applyFill="1" applyBorder="1" applyAlignment="1" applyProtection="1">
      <alignment horizontal="center"/>
    </xf>
    <xf numFmtId="39" fontId="5" fillId="0" borderId="0" xfId="0" applyNumberFormat="1" applyFont="1" applyFill="1" applyAlignment="1" applyProtection="1">
      <alignment horizontal="left"/>
    </xf>
    <xf numFmtId="0" fontId="7" fillId="0" borderId="0" xfId="0" applyFont="1" applyFill="1" applyAlignment="1"/>
    <xf numFmtId="0" fontId="7" fillId="0" borderId="0" xfId="0" applyFont="1" applyFill="1"/>
    <xf numFmtId="39" fontId="5" fillId="0" borderId="0" xfId="0" applyNumberFormat="1" applyFont="1" applyFill="1" applyAlignment="1" applyProtection="1">
      <alignment horizontal="center"/>
    </xf>
    <xf numFmtId="39" fontId="2" fillId="0" borderId="0" xfId="0" applyNumberFormat="1" applyFont="1" applyFill="1" applyAlignment="1" applyProtection="1">
      <alignment horizontal="center"/>
    </xf>
    <xf numFmtId="39" fontId="1" fillId="0" borderId="0" xfId="0" applyNumberFormat="1" applyFont="1" applyFill="1" applyAlignment="1" applyProtection="1">
      <alignment horizontal="center"/>
    </xf>
    <xf numFmtId="39" fontId="1" fillId="0" borderId="0" xfId="0" applyNumberFormat="1" applyFont="1" applyFill="1" applyAlignment="1" applyProtection="1"/>
    <xf numFmtId="39" fontId="6" fillId="0" borderId="0" xfId="0" applyNumberFormat="1" applyFont="1" applyFill="1" applyAlignment="1" applyProtection="1">
      <alignment horizontal="left"/>
    </xf>
    <xf numFmtId="39" fontId="1" fillId="0" borderId="3" xfId="0" applyNumberFormat="1" applyFont="1" applyFill="1" applyBorder="1" applyAlignment="1" applyProtection="1">
      <alignment horizontal="left"/>
    </xf>
    <xf numFmtId="0" fontId="1" fillId="0" borderId="3" xfId="0" applyFont="1" applyFill="1" applyBorder="1" applyAlignment="1" applyProtection="1">
      <alignment horizontal="right"/>
    </xf>
    <xf numFmtId="165" fontId="1" fillId="0" borderId="3" xfId="0" applyNumberFormat="1" applyFont="1" applyFill="1" applyBorder="1" applyAlignment="1" applyProtection="1">
      <alignment horizontal="right"/>
    </xf>
    <xf numFmtId="165" fontId="2" fillId="0" borderId="3" xfId="0" applyNumberFormat="1" applyFont="1" applyFill="1" applyBorder="1" applyAlignment="1" applyProtection="1">
      <alignment horizontal="center"/>
    </xf>
    <xf numFmtId="15" fontId="2" fillId="0" borderId="3" xfId="0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39" fontId="1" fillId="0" borderId="1" xfId="0" applyNumberFormat="1" applyFont="1" applyFill="1" applyBorder="1" applyAlignment="1" applyProtection="1">
      <alignment horizontal="center"/>
    </xf>
    <xf numFmtId="39" fontId="2" fillId="0" borderId="1" xfId="0" applyNumberFormat="1" applyFont="1" applyFill="1" applyBorder="1" applyAlignment="1" applyProtection="1">
      <alignment horizontal="center"/>
    </xf>
    <xf numFmtId="0" fontId="2" fillId="0" borderId="0" xfId="0" applyFont="1" applyFill="1"/>
    <xf numFmtId="39" fontId="2" fillId="0" borderId="0" xfId="0" applyNumberFormat="1" applyFont="1" applyFill="1" applyAlignment="1" applyProtection="1">
      <alignment horizontal="left"/>
    </xf>
    <xf numFmtId="39" fontId="1" fillId="0" borderId="0" xfId="0" applyNumberFormat="1" applyFont="1" applyFill="1" applyAlignment="1" applyProtection="1">
      <alignment horizontal="left"/>
    </xf>
    <xf numFmtId="39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Protection="1"/>
    <xf numFmtId="2" fontId="2" fillId="0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2" fontId="2" fillId="0" borderId="0" xfId="0" applyNumberFormat="1" applyFont="1" applyFill="1" applyBorder="1" applyAlignment="1" applyProtection="1">
      <alignment horizontal="center"/>
    </xf>
    <xf numFmtId="39" fontId="2" fillId="0" borderId="0" xfId="0" applyNumberFormat="1" applyFont="1" applyFill="1" applyBorder="1" applyProtection="1"/>
    <xf numFmtId="39" fontId="3" fillId="0" borderId="0" xfId="0" applyNumberFormat="1" applyFont="1" applyFill="1" applyBorder="1" applyProtection="1"/>
    <xf numFmtId="39" fontId="2" fillId="0" borderId="4" xfId="0" applyNumberFormat="1" applyFont="1" applyFill="1" applyBorder="1" applyProtection="1"/>
    <xf numFmtId="0" fontId="2" fillId="0" borderId="4" xfId="0" applyNumberFormat="1" applyFont="1" applyFill="1" applyBorder="1" applyAlignment="1" applyProtection="1">
      <alignment horizontal="center"/>
    </xf>
    <xf numFmtId="2" fontId="2" fillId="0" borderId="4" xfId="0" applyNumberFormat="1" applyFont="1" applyFill="1" applyBorder="1" applyAlignment="1" applyProtection="1">
      <alignment horizontal="center"/>
    </xf>
    <xf numFmtId="39" fontId="2" fillId="0" borderId="2" xfId="0" applyNumberFormat="1" applyFont="1" applyFill="1" applyBorder="1" applyProtection="1"/>
    <xf numFmtId="0" fontId="2" fillId="0" borderId="2" xfId="0" applyNumberFormat="1" applyFont="1" applyFill="1" applyBorder="1" applyAlignment="1" applyProtection="1">
      <alignment horizontal="center"/>
    </xf>
    <xf numFmtId="2" fontId="2" fillId="0" borderId="2" xfId="0" applyNumberFormat="1" applyFont="1" applyFill="1" applyBorder="1" applyAlignment="1" applyProtection="1">
      <alignment horizontal="center"/>
    </xf>
    <xf numFmtId="2" fontId="2" fillId="0" borderId="4" xfId="0" applyNumberFormat="1" applyFont="1" applyFill="1" applyBorder="1"/>
    <xf numFmtId="39" fontId="3" fillId="0" borderId="3" xfId="0" applyNumberFormat="1" applyFont="1" applyFill="1" applyBorder="1" applyProtection="1"/>
    <xf numFmtId="39" fontId="3" fillId="0" borderId="1" xfId="0" applyNumberFormat="1" applyFont="1" applyFill="1" applyBorder="1" applyProtection="1"/>
    <xf numFmtId="39" fontId="3" fillId="0" borderId="0" xfId="0" applyNumberFormat="1" applyFont="1" applyFill="1" applyProtection="1"/>
    <xf numFmtId="39" fontId="3" fillId="0" borderId="0" xfId="0" applyNumberFormat="1" applyFont="1" applyFill="1" applyAlignment="1" applyProtection="1">
      <alignment horizontal="left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2" fontId="3" fillId="0" borderId="0" xfId="0" applyNumberFormat="1" applyFont="1" applyFill="1" applyProtection="1"/>
    <xf numFmtId="0" fontId="3" fillId="0" borderId="0" xfId="0" applyNumberFormat="1" applyFont="1" applyFill="1" applyAlignment="1" applyProtection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center"/>
    </xf>
    <xf numFmtId="39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39" fontId="3" fillId="0" borderId="0" xfId="0" applyNumberFormat="1" applyFont="1" applyFill="1" applyAlignment="1" applyProtection="1">
      <alignment horizontal="fill"/>
    </xf>
    <xf numFmtId="39" fontId="3" fillId="0" borderId="0" xfId="0" applyNumberFormat="1" applyFont="1" applyFill="1" applyBorder="1" applyAlignment="1" applyProtection="1">
      <alignment horizontal="fill"/>
    </xf>
    <xf numFmtId="2" fontId="3" fillId="0" borderId="0" xfId="0" applyNumberFormat="1" applyFont="1" applyFill="1" applyBorder="1" applyAlignment="1" applyProtection="1"/>
    <xf numFmtId="2" fontId="3" fillId="0" borderId="0" xfId="0" applyNumberFormat="1" applyFont="1" applyFill="1" applyAlignment="1" applyProtection="1">
      <alignment horizontal="center"/>
    </xf>
    <xf numFmtId="0" fontId="3" fillId="0" borderId="0" xfId="0" applyNumberFormat="1" applyFont="1" applyFill="1" applyAlignment="1">
      <alignment horizontal="center"/>
    </xf>
    <xf numFmtId="2" fontId="3" fillId="0" borderId="0" xfId="0" applyNumberFormat="1" applyFont="1" applyFill="1" applyBorder="1"/>
    <xf numFmtId="39" fontId="3" fillId="0" borderId="0" xfId="0" applyNumberFormat="1" applyFont="1" applyFill="1" applyBorder="1" applyAlignment="1" applyProtection="1">
      <alignment horizontal="left"/>
    </xf>
    <xf numFmtId="9" fontId="3" fillId="0" borderId="0" xfId="0" applyNumberFormat="1" applyFont="1" applyFill="1" applyAlignment="1">
      <alignment horizontal="center"/>
    </xf>
    <xf numFmtId="1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/>
    <xf numFmtId="39" fontId="6" fillId="0" borderId="1" xfId="0" applyNumberFormat="1" applyFont="1" applyFill="1" applyBorder="1" applyAlignment="1" applyProtection="1"/>
    <xf numFmtId="39" fontId="2" fillId="0" borderId="1" xfId="0" applyNumberFormat="1" applyFont="1" applyFill="1" applyBorder="1" applyAlignment="1" applyProtection="1"/>
    <xf numFmtId="39" fontId="4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horizontal="fill"/>
    </xf>
    <xf numFmtId="164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/>
    <xf numFmtId="39" fontId="3" fillId="0" borderId="1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/>
    </xf>
    <xf numFmtId="164" fontId="2" fillId="0" borderId="4" xfId="0" applyNumberFormat="1" applyFont="1" applyFill="1" applyBorder="1" applyAlignment="1" applyProtection="1">
      <alignment horizontal="center"/>
    </xf>
    <xf numFmtId="39" fontId="2" fillId="0" borderId="0" xfId="0" applyNumberFormat="1" applyFont="1" applyFill="1" applyBorder="1" applyAlignment="1" applyProtection="1">
      <alignment horizontal="center"/>
    </xf>
    <xf numFmtId="39" fontId="3" fillId="0" borderId="2" xfId="0" applyNumberFormat="1" applyFont="1" applyFill="1" applyBorder="1" applyProtection="1"/>
    <xf numFmtId="2" fontId="2" fillId="0" borderId="2" xfId="0" applyNumberFormat="1" applyFont="1" applyFill="1" applyBorder="1" applyAlignment="1">
      <alignment horizontal="center"/>
    </xf>
    <xf numFmtId="39" fontId="5" fillId="0" borderId="0" xfId="0" applyNumberFormat="1" applyFont="1" applyFill="1" applyAlignment="1" applyProtection="1"/>
    <xf numFmtId="39" fontId="3" fillId="0" borderId="0" xfId="0" applyNumberFormat="1" applyFont="1" applyFill="1"/>
    <xf numFmtId="37" fontId="3" fillId="0" borderId="0" xfId="0" applyNumberFormat="1" applyFont="1" applyFill="1" applyAlignment="1" applyProtection="1">
      <alignment horizontal="center"/>
    </xf>
    <xf numFmtId="39" fontId="3" fillId="0" borderId="4" xfId="0" applyNumberFormat="1" applyFont="1" applyFill="1" applyBorder="1" applyProtection="1"/>
    <xf numFmtId="39" fontId="2" fillId="0" borderId="4" xfId="0" applyNumberFormat="1" applyFont="1" applyFill="1" applyBorder="1" applyAlignment="1" applyProtection="1">
      <alignment horizontal="center"/>
    </xf>
    <xf numFmtId="37" fontId="2" fillId="0" borderId="0" xfId="0" applyNumberFormat="1" applyFont="1" applyFill="1" applyAlignment="1" applyProtection="1">
      <alignment horizontal="center"/>
    </xf>
    <xf numFmtId="39" fontId="1" fillId="0" borderId="0" xfId="0" applyNumberFormat="1" applyFont="1" applyFill="1" applyProtection="1"/>
    <xf numFmtId="2" fontId="3" fillId="0" borderId="0" xfId="0" applyNumberFormat="1" applyFont="1" applyFill="1"/>
    <xf numFmtId="39" fontId="1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horizontal="center"/>
    </xf>
    <xf numFmtId="39" fontId="1" fillId="0" borderId="0" xfId="0" applyNumberFormat="1" applyFont="1" applyFill="1" applyBorder="1" applyProtection="1"/>
    <xf numFmtId="0" fontId="1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Alignment="1" applyProtection="1">
      <alignment horizontal="center"/>
    </xf>
    <xf numFmtId="0" fontId="2" fillId="0" borderId="0" xfId="0" applyFont="1" applyFill="1" applyAlignment="1">
      <alignment horizontal="center"/>
    </xf>
    <xf numFmtId="39" fontId="2" fillId="0" borderId="0" xfId="0" applyNumberFormat="1" applyFont="1" applyFill="1" applyAlignment="1">
      <alignment horizontal="center"/>
    </xf>
    <xf numFmtId="39" fontId="2" fillId="0" borderId="0" xfId="0" applyNumberFormat="1" applyFont="1" applyFill="1" applyAlignment="1" applyProtection="1"/>
    <xf numFmtId="39" fontId="3" fillId="0" borderId="0" xfId="0" applyNumberFormat="1" applyFont="1" applyFill="1" applyAlignment="1">
      <alignment horizontal="center"/>
    </xf>
    <xf numFmtId="2" fontId="2" fillId="0" borderId="0" xfId="0" applyNumberFormat="1" applyFont="1" applyFill="1"/>
    <xf numFmtId="164" fontId="3" fillId="0" borderId="0" xfId="0" applyNumberFormat="1" applyFont="1" applyFill="1" applyBorder="1" applyAlignment="1" applyProtection="1">
      <alignment horizontal="left"/>
    </xf>
    <xf numFmtId="164" fontId="3" fillId="0" borderId="0" xfId="0" applyNumberFormat="1" applyFont="1" applyFill="1" applyBorder="1"/>
    <xf numFmtId="9" fontId="3" fillId="0" borderId="0" xfId="0" applyNumberFormat="1" applyFont="1" applyFill="1"/>
    <xf numFmtId="2" fontId="3" fillId="0" borderId="0" xfId="0" applyNumberFormat="1" applyFont="1" applyFill="1" applyBorder="1" applyAlignment="1" applyProtection="1">
      <alignment horizontal="right"/>
    </xf>
    <xf numFmtId="2" fontId="3" fillId="0" borderId="0" xfId="0" applyNumberFormat="1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2" fontId="2" fillId="0" borderId="0" xfId="0" applyNumberFormat="1" applyFont="1" applyFill="1" applyAlignment="1" applyProtection="1">
      <alignment horizontal="right"/>
    </xf>
    <xf numFmtId="39" fontId="3" fillId="0" borderId="0" xfId="0" applyNumberFormat="1" applyFont="1" applyFill="1" applyBorder="1" applyAlignment="1" applyProtection="1">
      <alignment horizontal="right"/>
    </xf>
    <xf numFmtId="17" fontId="0" fillId="0" borderId="0" xfId="0" applyNumberFormat="1"/>
    <xf numFmtId="9" fontId="0" fillId="0" borderId="0" xfId="0" applyNumberFormat="1"/>
    <xf numFmtId="0" fontId="2" fillId="0" borderId="0" xfId="0" applyFont="1"/>
    <xf numFmtId="0" fontId="3" fillId="0" borderId="0" xfId="0" applyFont="1"/>
    <xf numFmtId="10" fontId="0" fillId="0" borderId="0" xfId="0" applyNumberFormat="1"/>
    <xf numFmtId="2" fontId="3" fillId="0" borderId="0" xfId="0" applyNumberFormat="1" applyFont="1"/>
    <xf numFmtId="14" fontId="3" fillId="0" borderId="0" xfId="0" applyNumberFormat="1" applyFont="1"/>
    <xf numFmtId="2" fontId="0" fillId="0" borderId="0" xfId="0" applyNumberFormat="1"/>
    <xf numFmtId="10" fontId="3" fillId="0" borderId="0" xfId="0" applyNumberFormat="1" applyFont="1"/>
    <xf numFmtId="2" fontId="3" fillId="0" borderId="0" xfId="0" applyNumberFormat="1" applyFont="1" applyFill="1" applyAlignment="1" applyProtection="1">
      <alignment horizontal="right"/>
    </xf>
    <xf numFmtId="164" fontId="3" fillId="0" borderId="0" xfId="0" applyNumberFormat="1" applyFont="1" applyFill="1" applyAlignment="1" applyProtection="1">
      <alignment horizontal="right"/>
    </xf>
    <xf numFmtId="164" fontId="3" fillId="0" borderId="0" xfId="0" applyNumberFormat="1" applyFont="1" applyFill="1" applyBorder="1" applyAlignment="1" applyProtection="1">
      <alignment horizontal="right"/>
    </xf>
    <xf numFmtId="14" fontId="0" fillId="0" borderId="0" xfId="0" applyNumberFormat="1"/>
    <xf numFmtId="1" fontId="3" fillId="0" borderId="0" xfId="0" applyNumberFormat="1" applyFont="1"/>
    <xf numFmtId="0" fontId="0" fillId="3" borderId="0" xfId="0" applyFill="1"/>
    <xf numFmtId="2" fontId="0" fillId="3" borderId="0" xfId="0" applyNumberFormat="1" applyFill="1"/>
    <xf numFmtId="14" fontId="0" fillId="0" borderId="0" xfId="0" applyNumberFormat="1" applyFill="1"/>
    <xf numFmtId="0" fontId="0" fillId="0" borderId="0" xfId="0" applyFill="1"/>
    <xf numFmtId="2" fontId="0" fillId="0" borderId="0" xfId="0" applyNumberFormat="1" applyFill="1"/>
    <xf numFmtId="1" fontId="3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right"/>
    </xf>
    <xf numFmtId="0" fontId="3" fillId="4" borderId="0" xfId="0" applyFont="1" applyFill="1"/>
    <xf numFmtId="0" fontId="0" fillId="4" borderId="0" xfId="0" applyFill="1"/>
    <xf numFmtId="2" fontId="0" fillId="4" borderId="0" xfId="0" applyNumberFormat="1" applyFill="1"/>
    <xf numFmtId="0" fontId="0" fillId="2" borderId="0" xfId="0" applyFill="1"/>
    <xf numFmtId="2" fontId="0" fillId="2" borderId="0" xfId="0" applyNumberFormat="1" applyFill="1"/>
    <xf numFmtId="2" fontId="3" fillId="2" borderId="0" xfId="0" applyNumberFormat="1" applyFont="1" applyFill="1"/>
    <xf numFmtId="2" fontId="3" fillId="4" borderId="0" xfId="0" applyNumberFormat="1" applyFont="1" applyFill="1"/>
    <xf numFmtId="17" fontId="0" fillId="2" borderId="0" xfId="0" applyNumberFormat="1" applyFill="1"/>
    <xf numFmtId="0" fontId="0" fillId="7" borderId="0" xfId="0" applyFill="1"/>
    <xf numFmtId="17" fontId="0" fillId="7" borderId="0" xfId="0" applyNumberFormat="1" applyFill="1"/>
    <xf numFmtId="0" fontId="2" fillId="7" borderId="0" xfId="0" applyFont="1" applyFill="1"/>
    <xf numFmtId="0" fontId="3" fillId="7" borderId="0" xfId="0" applyFont="1" applyFill="1"/>
    <xf numFmtId="9" fontId="0" fillId="7" borderId="0" xfId="0" applyNumberFormat="1" applyFill="1"/>
    <xf numFmtId="0" fontId="0" fillId="8" borderId="0" xfId="0" applyFill="1"/>
    <xf numFmtId="0" fontId="3" fillId="8" borderId="0" xfId="0" applyFont="1" applyFill="1"/>
    <xf numFmtId="17" fontId="0" fillId="8" borderId="0" xfId="0" applyNumberFormat="1" applyFill="1"/>
    <xf numFmtId="0" fontId="2" fillId="8" borderId="0" xfId="0" applyFont="1" applyFill="1"/>
    <xf numFmtId="9" fontId="0" fillId="8" borderId="0" xfId="0" applyNumberFormat="1" applyFill="1"/>
    <xf numFmtId="39" fontId="2" fillId="0" borderId="0" xfId="0" applyNumberFormat="1" applyFont="1" applyFill="1" applyAlignment="1" applyProtection="1">
      <alignment horizontal="left"/>
    </xf>
    <xf numFmtId="166" fontId="3" fillId="0" borderId="0" xfId="0" applyNumberFormat="1" applyFont="1" applyFill="1"/>
    <xf numFmtId="2" fontId="2" fillId="0" borderId="0" xfId="0" applyNumberFormat="1" applyFont="1" applyFill="1" applyBorder="1" applyAlignment="1" applyProtection="1">
      <alignment horizontal="right"/>
    </xf>
    <xf numFmtId="39" fontId="6" fillId="0" borderId="0" xfId="0" applyNumberFormat="1" applyFont="1" applyFill="1" applyBorder="1" applyAlignment="1" applyProtection="1">
      <alignment horizontal="right"/>
    </xf>
    <xf numFmtId="39" fontId="2" fillId="0" borderId="0" xfId="0" applyNumberFormat="1" applyFont="1" applyFill="1" applyAlignment="1" applyProtection="1">
      <alignment horizontal="right"/>
    </xf>
    <xf numFmtId="39" fontId="6" fillId="0" borderId="0" xfId="0" applyNumberFormat="1" applyFont="1" applyFill="1" applyBorder="1" applyAlignment="1" applyProtection="1">
      <alignment horizontal="right"/>
    </xf>
    <xf numFmtId="39" fontId="2" fillId="0" borderId="0" xfId="0" applyNumberFormat="1" applyFont="1" applyFill="1" applyAlignment="1" applyProtection="1">
      <alignment horizontal="left"/>
    </xf>
    <xf numFmtId="0" fontId="0" fillId="9" borderId="0" xfId="0" applyFill="1"/>
    <xf numFmtId="17" fontId="0" fillId="0" borderId="0" xfId="0" applyNumberFormat="1" applyFill="1"/>
    <xf numFmtId="0" fontId="0" fillId="10" borderId="0" xfId="0" applyFill="1"/>
    <xf numFmtId="0" fontId="5" fillId="11" borderId="0" xfId="0" applyFont="1" applyFill="1"/>
    <xf numFmtId="14" fontId="5" fillId="11" borderId="0" xfId="0" applyNumberFormat="1" applyFont="1" applyFill="1"/>
    <xf numFmtId="17" fontId="0" fillId="3" borderId="0" xfId="0" applyNumberFormat="1" applyFill="1"/>
    <xf numFmtId="0" fontId="5" fillId="13" borderId="0" xfId="0" applyFont="1" applyFill="1"/>
    <xf numFmtId="0" fontId="5" fillId="5" borderId="0" xfId="0" applyFont="1" applyFill="1"/>
    <xf numFmtId="14" fontId="5" fillId="5" borderId="0" xfId="0" applyNumberFormat="1" applyFont="1" applyFill="1"/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12" borderId="0" xfId="0" applyFill="1"/>
    <xf numFmtId="0" fontId="0" fillId="12" borderId="0" xfId="0" applyFill="1" applyAlignment="1">
      <alignment vertical="top"/>
    </xf>
    <xf numFmtId="0" fontId="2" fillId="0" borderId="0" xfId="0" applyFont="1" applyAlignment="1">
      <alignment vertical="top"/>
    </xf>
    <xf numFmtId="0" fontId="3" fillId="10" borderId="0" xfId="0" applyFont="1" applyFill="1" applyAlignment="1">
      <alignment vertical="top" wrapText="1"/>
    </xf>
    <xf numFmtId="17" fontId="0" fillId="10" borderId="0" xfId="0" applyNumberFormat="1" applyFill="1"/>
    <xf numFmtId="0" fontId="3" fillId="0" borderId="0" xfId="0" applyFont="1" applyAlignment="1">
      <alignment horizontal="center" vertical="top"/>
    </xf>
    <xf numFmtId="2" fontId="0" fillId="11" borderId="0" xfId="0" applyNumberFormat="1" applyFill="1"/>
    <xf numFmtId="0" fontId="0" fillId="0" borderId="0" xfId="0" applyAlignment="1">
      <alignment wrapText="1"/>
    </xf>
    <xf numFmtId="0" fontId="3" fillId="14" borderId="0" xfId="0" applyFont="1" applyFill="1"/>
    <xf numFmtId="0" fontId="0" fillId="14" borderId="0" xfId="0" applyFill="1"/>
    <xf numFmtId="0" fontId="0" fillId="13" borderId="0" xfId="0" applyFill="1"/>
    <xf numFmtId="2" fontId="0" fillId="13" borderId="0" xfId="0" applyNumberFormat="1" applyFill="1"/>
    <xf numFmtId="0" fontId="0" fillId="15" borderId="0" xfId="0" applyFill="1"/>
    <xf numFmtId="0" fontId="2" fillId="15" borderId="0" xfId="0" applyFont="1" applyFill="1"/>
    <xf numFmtId="17" fontId="0" fillId="14" borderId="0" xfId="0" applyNumberFormat="1" applyFill="1"/>
    <xf numFmtId="0" fontId="2" fillId="14" borderId="0" xfId="0" applyFont="1" applyFill="1"/>
    <xf numFmtId="9" fontId="0" fillId="14" borderId="0" xfId="0" applyNumberFormat="1" applyFill="1"/>
    <xf numFmtId="0" fontId="0" fillId="14" borderId="0" xfId="0" applyFill="1" applyAlignment="1">
      <alignment horizontal="center"/>
    </xf>
    <xf numFmtId="0" fontId="2" fillId="9" borderId="0" xfId="0" applyFont="1" applyFill="1"/>
    <xf numFmtId="0" fontId="0" fillId="9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10" fontId="3" fillId="0" borderId="0" xfId="2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2" fontId="2" fillId="0" borderId="4" xfId="0" applyNumberFormat="1" applyFont="1" applyFill="1" applyBorder="1" applyAlignment="1" applyProtection="1">
      <alignment horizontal="right"/>
    </xf>
    <xf numFmtId="164" fontId="2" fillId="0" borderId="4" xfId="0" applyNumberFormat="1" applyFont="1" applyFill="1" applyBorder="1" applyAlignment="1" applyProtection="1">
      <alignment horizontal="right"/>
    </xf>
    <xf numFmtId="164" fontId="2" fillId="0" borderId="2" xfId="0" applyNumberFormat="1" applyFont="1" applyFill="1" applyBorder="1" applyAlignment="1" applyProtection="1">
      <alignment horizontal="right"/>
    </xf>
    <xf numFmtId="2" fontId="2" fillId="0" borderId="2" xfId="0" applyNumberFormat="1" applyFont="1" applyFill="1" applyBorder="1" applyAlignment="1" applyProtection="1">
      <alignment horizontal="right"/>
    </xf>
    <xf numFmtId="2" fontId="3" fillId="0" borderId="0" xfId="0" applyNumberFormat="1" applyFont="1" applyFill="1" applyAlignment="1">
      <alignment horizontal="right"/>
    </xf>
    <xf numFmtId="9" fontId="3" fillId="0" borderId="0" xfId="0" applyNumberFormat="1" applyFont="1" applyFill="1" applyAlignment="1">
      <alignment horizontal="right"/>
    </xf>
    <xf numFmtId="166" fontId="3" fillId="0" borderId="0" xfId="0" applyNumberFormat="1" applyFont="1" applyFill="1" applyAlignment="1">
      <alignment horizontal="right"/>
    </xf>
    <xf numFmtId="39" fontId="3" fillId="0" borderId="0" xfId="0" applyNumberFormat="1" applyFont="1" applyFill="1" applyAlignment="1">
      <alignment horizontal="right"/>
    </xf>
    <xf numFmtId="39" fontId="2" fillId="0" borderId="0" xfId="0" applyNumberFormat="1" applyFont="1" applyFill="1" applyAlignment="1" applyProtection="1">
      <alignment horizontal="center"/>
    </xf>
    <xf numFmtId="39" fontId="2" fillId="0" borderId="0" xfId="0" applyNumberFormat="1" applyFont="1" applyFill="1" applyAlignment="1" applyProtection="1">
      <alignment horizontal="left"/>
    </xf>
    <xf numFmtId="166" fontId="0" fillId="0" borderId="0" xfId="0" applyNumberFormat="1"/>
    <xf numFmtId="0" fontId="2" fillId="6" borderId="0" xfId="0" applyFont="1" applyFill="1"/>
    <xf numFmtId="0" fontId="2" fillId="2" borderId="0" xfId="0" applyFont="1" applyFill="1"/>
    <xf numFmtId="0" fontId="9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" fillId="0" borderId="5" xfId="0" applyFont="1" applyBorder="1" applyAlignment="1">
      <alignment horizontal="center" vertical="top"/>
    </xf>
    <xf numFmtId="0" fontId="10" fillId="0" borderId="5" xfId="0" applyFont="1" applyBorder="1" applyAlignment="1">
      <alignment horizontal="left" vertical="top" wrapText="1"/>
    </xf>
    <xf numFmtId="0" fontId="10" fillId="2" borderId="5" xfId="0" applyFont="1" applyFill="1" applyBorder="1"/>
    <xf numFmtId="14" fontId="10" fillId="2" borderId="5" xfId="0" applyNumberFormat="1" applyFont="1" applyFill="1" applyBorder="1"/>
    <xf numFmtId="2" fontId="10" fillId="2" borderId="5" xfId="0" applyNumberFormat="1" applyFont="1" applyFill="1" applyBorder="1"/>
    <xf numFmtId="0" fontId="10" fillId="5" borderId="5" xfId="0" applyFont="1" applyFill="1" applyBorder="1"/>
    <xf numFmtId="14" fontId="10" fillId="5" borderId="5" xfId="0" applyNumberFormat="1" applyFont="1" applyFill="1" applyBorder="1"/>
    <xf numFmtId="0" fontId="10" fillId="4" borderId="5" xfId="0" applyFont="1" applyFill="1" applyBorder="1"/>
    <xf numFmtId="14" fontId="10" fillId="4" borderId="5" xfId="0" applyNumberFormat="1" applyFont="1" applyFill="1" applyBorder="1"/>
    <xf numFmtId="2" fontId="10" fillId="4" borderId="5" xfId="0" applyNumberFormat="1" applyFont="1" applyFill="1" applyBorder="1"/>
    <xf numFmtId="0" fontId="10" fillId="6" borderId="5" xfId="0" applyFont="1" applyFill="1" applyBorder="1"/>
    <xf numFmtId="14" fontId="10" fillId="6" borderId="5" xfId="0" applyNumberFormat="1" applyFont="1" applyFill="1" applyBorder="1"/>
    <xf numFmtId="2" fontId="10" fillId="6" borderId="5" xfId="0" applyNumberFormat="1" applyFont="1" applyFill="1" applyBorder="1"/>
    <xf numFmtId="0" fontId="10" fillId="15" borderId="5" xfId="0" applyFont="1" applyFill="1" applyBorder="1"/>
    <xf numFmtId="14" fontId="10" fillId="15" borderId="5" xfId="0" applyNumberFormat="1" applyFont="1" applyFill="1" applyBorder="1"/>
    <xf numFmtId="2" fontId="10" fillId="15" borderId="5" xfId="0" applyNumberFormat="1" applyFont="1" applyFill="1" applyBorder="1"/>
    <xf numFmtId="2" fontId="10" fillId="5" borderId="5" xfId="0" applyNumberFormat="1" applyFont="1" applyFill="1" applyBorder="1"/>
    <xf numFmtId="2" fontId="3" fillId="0" borderId="5" xfId="0" applyNumberFormat="1" applyFont="1" applyFill="1" applyBorder="1"/>
    <xf numFmtId="2" fontId="5" fillId="0" borderId="5" xfId="0" applyNumberFormat="1" applyFont="1" applyFill="1" applyBorder="1" applyAlignment="1" applyProtection="1">
      <alignment horizontal="left"/>
    </xf>
    <xf numFmtId="2" fontId="7" fillId="0" borderId="5" xfId="0" applyNumberFormat="1" applyFont="1" applyFill="1" applyBorder="1" applyAlignment="1"/>
    <xf numFmtId="0" fontId="3" fillId="0" borderId="5" xfId="0" applyFont="1" applyFill="1" applyBorder="1"/>
    <xf numFmtId="2" fontId="3" fillId="0" borderId="5" xfId="0" applyNumberFormat="1" applyFont="1" applyFill="1" applyBorder="1" applyProtection="1"/>
    <xf numFmtId="2" fontId="2" fillId="0" borderId="5" xfId="0" applyNumberFormat="1" applyFont="1" applyFill="1" applyBorder="1" applyAlignment="1" applyProtection="1">
      <alignment horizontal="left"/>
    </xf>
    <xf numFmtId="2" fontId="2" fillId="0" borderId="5" xfId="0" applyNumberFormat="1" applyFont="1" applyFill="1" applyBorder="1" applyAlignment="1" applyProtection="1">
      <alignment horizontal="center"/>
    </xf>
    <xf numFmtId="2" fontId="2" fillId="0" borderId="5" xfId="0" applyNumberFormat="1" applyFont="1" applyFill="1" applyBorder="1" applyAlignment="1" applyProtection="1"/>
    <xf numFmtId="2" fontId="1" fillId="0" borderId="5" xfId="0" applyNumberFormat="1" applyFont="1" applyFill="1" applyBorder="1" applyAlignment="1" applyProtection="1">
      <alignment horizontal="left"/>
    </xf>
    <xf numFmtId="2" fontId="1" fillId="0" borderId="5" xfId="0" applyNumberFormat="1" applyFont="1" applyFill="1" applyBorder="1" applyAlignment="1" applyProtection="1">
      <alignment horizontal="right"/>
    </xf>
    <xf numFmtId="15" fontId="2" fillId="0" borderId="5" xfId="0" applyNumberFormat="1" applyFont="1" applyFill="1" applyBorder="1" applyAlignment="1" applyProtection="1">
      <alignment horizontal="center"/>
    </xf>
    <xf numFmtId="2" fontId="1" fillId="0" borderId="5" xfId="0" applyNumberFormat="1" applyFont="1" applyFill="1" applyBorder="1" applyAlignment="1" applyProtection="1">
      <alignment horizontal="center"/>
    </xf>
    <xf numFmtId="2" fontId="2" fillId="0" borderId="5" xfId="0" applyNumberFormat="1" applyFont="1" applyFill="1" applyBorder="1"/>
    <xf numFmtId="39" fontId="2" fillId="0" borderId="5" xfId="0" applyNumberFormat="1" applyFont="1" applyFill="1" applyBorder="1" applyAlignment="1" applyProtection="1">
      <alignment horizontal="center"/>
    </xf>
    <xf numFmtId="2" fontId="4" fillId="0" borderId="5" xfId="0" applyNumberFormat="1" applyFont="1" applyFill="1" applyBorder="1" applyAlignment="1" applyProtection="1">
      <alignment horizontal="left"/>
    </xf>
    <xf numFmtId="2" fontId="3" fillId="0" borderId="5" xfId="0" applyNumberFormat="1" applyFont="1" applyFill="1" applyBorder="1" applyAlignment="1" applyProtection="1">
      <alignment horizontal="left"/>
    </xf>
    <xf numFmtId="2" fontId="3" fillId="0" borderId="5" xfId="0" applyNumberFormat="1" applyFont="1" applyFill="1" applyBorder="1" applyAlignment="1" applyProtection="1">
      <alignment horizontal="center"/>
    </xf>
    <xf numFmtId="164" fontId="3" fillId="0" borderId="5" xfId="0" applyNumberFormat="1" applyFont="1" applyFill="1" applyBorder="1" applyAlignment="1" applyProtection="1">
      <alignment horizontal="center"/>
    </xf>
    <xf numFmtId="2" fontId="3" fillId="0" borderId="5" xfId="0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 applyProtection="1">
      <alignment horizontal="fill"/>
    </xf>
    <xf numFmtId="164" fontId="2" fillId="0" borderId="5" xfId="0" applyNumberFormat="1" applyFont="1" applyFill="1" applyBorder="1" applyAlignment="1" applyProtection="1">
      <alignment horizontal="center"/>
    </xf>
    <xf numFmtId="164" fontId="3" fillId="0" borderId="5" xfId="0" applyNumberFormat="1" applyFont="1" applyFill="1" applyBorder="1"/>
    <xf numFmtId="2" fontId="2" fillId="0" borderId="5" xfId="0" applyNumberFormat="1" applyFont="1" applyFill="1" applyBorder="1" applyAlignment="1" applyProtection="1">
      <alignment horizontal="fill"/>
    </xf>
    <xf numFmtId="164" fontId="3" fillId="0" borderId="5" xfId="0" applyNumberFormat="1" applyFont="1" applyFill="1" applyBorder="1" applyAlignment="1">
      <alignment horizontal="center"/>
    </xf>
    <xf numFmtId="39" fontId="2" fillId="0" borderId="0" xfId="0" applyNumberFormat="1" applyFont="1" applyFill="1" applyAlignment="1" applyProtection="1">
      <alignment horizontal="left"/>
    </xf>
    <xf numFmtId="164" fontId="3" fillId="2" borderId="0" xfId="0" applyNumberFormat="1" applyFont="1" applyFill="1" applyBorder="1" applyAlignment="1" applyProtection="1">
      <alignment horizontal="center"/>
    </xf>
    <xf numFmtId="39" fontId="11" fillId="7" borderId="0" xfId="0" applyNumberFormat="1" applyFont="1" applyFill="1" applyProtection="1"/>
    <xf numFmtId="39" fontId="0" fillId="0" borderId="0" xfId="0" applyNumberFormat="1"/>
    <xf numFmtId="39" fontId="1" fillId="16" borderId="0" xfId="0" applyNumberFormat="1" applyFont="1" applyFill="1" applyAlignment="1" applyProtection="1">
      <alignment horizontal="left"/>
    </xf>
    <xf numFmtId="0" fontId="2" fillId="16" borderId="0" xfId="0" applyFont="1" applyFill="1"/>
    <xf numFmtId="9" fontId="3" fillId="0" borderId="0" xfId="2" applyFont="1" applyFill="1"/>
    <xf numFmtId="9" fontId="11" fillId="7" borderId="0" xfId="2" applyFont="1" applyFill="1" applyBorder="1" applyAlignment="1">
      <alignment horizontal="right"/>
    </xf>
    <xf numFmtId="2" fontId="2" fillId="2" borderId="2" xfId="0" applyNumberFormat="1" applyFont="1" applyFill="1" applyBorder="1" applyAlignment="1" applyProtection="1">
      <alignment horizontal="center"/>
    </xf>
    <xf numFmtId="2" fontId="3" fillId="2" borderId="0" xfId="0" applyNumberFormat="1" applyFont="1" applyFill="1" applyAlignment="1" applyProtection="1">
      <alignment horizontal="right"/>
    </xf>
    <xf numFmtId="164" fontId="2" fillId="0" borderId="2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 applyProtection="1">
      <alignment horizontal="center"/>
    </xf>
    <xf numFmtId="164" fontId="2" fillId="0" borderId="1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Alignment="1">
      <alignment horizontal="center"/>
    </xf>
    <xf numFmtId="164" fontId="2" fillId="2" borderId="4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Protection="1"/>
    <xf numFmtId="39" fontId="2" fillId="0" borderId="0" xfId="0" applyNumberFormat="1" applyFont="1" applyFill="1" applyAlignment="1" applyProtection="1">
      <alignment horizontal="left"/>
    </xf>
    <xf numFmtId="2" fontId="0" fillId="18" borderId="0" xfId="0" applyNumberFormat="1" applyFill="1"/>
    <xf numFmtId="17" fontId="0" fillId="5" borderId="0" xfId="0" applyNumberFormat="1" applyFill="1"/>
    <xf numFmtId="0" fontId="0" fillId="5" borderId="0" xfId="0" applyFill="1"/>
    <xf numFmtId="2" fontId="0" fillId="5" borderId="0" xfId="0" applyNumberFormat="1" applyFill="1"/>
    <xf numFmtId="0" fontId="12" fillId="14" borderId="0" xfId="0" applyFont="1" applyFill="1"/>
    <xf numFmtId="2" fontId="0" fillId="17" borderId="0" xfId="0" applyNumberFormat="1" applyFill="1"/>
    <xf numFmtId="0" fontId="13" fillId="0" borderId="0" xfId="0" applyFont="1"/>
    <xf numFmtId="0" fontId="3" fillId="0" borderId="0" xfId="0" applyFont="1" applyAlignment="1">
      <alignment wrapText="1"/>
    </xf>
    <xf numFmtId="164" fontId="3" fillId="0" borderId="0" xfId="0" applyNumberFormat="1" applyFont="1" applyFill="1" applyAlignment="1">
      <alignment horizontal="right"/>
    </xf>
    <xf numFmtId="39" fontId="6" fillId="0" borderId="1" xfId="0" applyNumberFormat="1" applyFont="1" applyFill="1" applyBorder="1" applyAlignment="1" applyProtection="1">
      <alignment horizontal="right"/>
    </xf>
    <xf numFmtId="39" fontId="2" fillId="0" borderId="0" xfId="0" applyNumberFormat="1" applyFont="1" applyFill="1" applyAlignment="1" applyProtection="1">
      <alignment horizontal="center"/>
    </xf>
    <xf numFmtId="164" fontId="6" fillId="0" borderId="0" xfId="0" applyNumberFormat="1" applyFont="1" applyFill="1" applyAlignment="1" applyProtection="1">
      <alignment horizontal="right"/>
    </xf>
    <xf numFmtId="39" fontId="5" fillId="0" borderId="0" xfId="0" applyNumberFormat="1" applyFont="1" applyFill="1" applyAlignment="1" applyProtection="1">
      <alignment horizontal="left"/>
    </xf>
    <xf numFmtId="39" fontId="2" fillId="0" borderId="0" xfId="0" applyNumberFormat="1" applyFont="1" applyFill="1" applyAlignment="1" applyProtection="1">
      <alignment horizontal="right"/>
    </xf>
    <xf numFmtId="39" fontId="2" fillId="0" borderId="0" xfId="0" applyNumberFormat="1" applyFont="1" applyFill="1" applyAlignment="1" applyProtection="1">
      <alignment horizontal="left"/>
    </xf>
    <xf numFmtId="39" fontId="6" fillId="0" borderId="0" xfId="0" applyNumberFormat="1" applyFont="1" applyFill="1" applyBorder="1" applyAlignment="1" applyProtection="1">
      <alignment horizontal="right"/>
    </xf>
    <xf numFmtId="2" fontId="2" fillId="0" borderId="5" xfId="0" applyNumberFormat="1" applyFont="1" applyFill="1" applyBorder="1" applyAlignment="1">
      <alignment horizontal="right"/>
    </xf>
    <xf numFmtId="168" fontId="3" fillId="0" borderId="0" xfId="0" applyNumberFormat="1" applyFont="1" applyFill="1" applyBorder="1" applyAlignment="1" applyProtection="1">
      <alignment horizontal="center"/>
    </xf>
    <xf numFmtId="172" fontId="3" fillId="0" borderId="0" xfId="0" applyNumberFormat="1" applyFont="1" applyFill="1"/>
    <xf numFmtId="2" fontId="3" fillId="0" borderId="0" xfId="0" applyNumberFormat="1" applyFont="1" applyFill="1" applyBorder="1" applyProtection="1"/>
    <xf numFmtId="164" fontId="3" fillId="0" borderId="5" xfId="0" applyNumberFormat="1" applyFont="1" applyFill="1" applyBorder="1" applyAlignment="1" applyProtection="1">
      <alignment horizontal="fill"/>
    </xf>
    <xf numFmtId="2" fontId="0" fillId="15" borderId="0" xfId="0" applyNumberFormat="1" applyFill="1"/>
    <xf numFmtId="0" fontId="10" fillId="15" borderId="0" xfId="0" applyFont="1" applyFill="1" applyBorder="1"/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Local%20Settings\Temporary%20Internet%20Files\Content.IE5\OV53I635\CMA%20-%20AD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-II"/>
      <sheetName val="Form-III"/>
      <sheetName val="Form-IV"/>
      <sheetName val="Form-V"/>
      <sheetName val="Form-VI"/>
      <sheetName val="Sheet1"/>
      <sheetName val="Financials"/>
      <sheetName val="Sensitivity &amp; costing"/>
      <sheetName val="CMAcode"/>
    </sheetNames>
    <sheetDataSet>
      <sheetData sheetId="0" refreshError="1">
        <row r="24">
          <cell r="G24">
            <v>3065.86</v>
          </cell>
        </row>
        <row r="27">
          <cell r="G27">
            <v>460.47</v>
          </cell>
        </row>
        <row r="28">
          <cell r="G28">
            <v>571.53</v>
          </cell>
        </row>
        <row r="29">
          <cell r="G29">
            <v>934.51</v>
          </cell>
        </row>
        <row r="30">
          <cell r="G30">
            <v>184.52</v>
          </cell>
        </row>
        <row r="36">
          <cell r="G36">
            <v>150.36000000000001</v>
          </cell>
        </row>
        <row r="40">
          <cell r="G40">
            <v>120.23</v>
          </cell>
        </row>
      </sheetData>
      <sheetData sheetId="1" refreshError="1">
        <row r="20">
          <cell r="G20">
            <v>872.88</v>
          </cell>
        </row>
        <row r="44">
          <cell r="G44">
            <v>22.94</v>
          </cell>
        </row>
        <row r="51">
          <cell r="G51">
            <v>624.45000000000005</v>
          </cell>
        </row>
        <row r="57">
          <cell r="G57">
            <v>41.21</v>
          </cell>
        </row>
        <row r="77">
          <cell r="G77">
            <v>54.65</v>
          </cell>
        </row>
        <row r="80">
          <cell r="G80">
            <v>2.6</v>
          </cell>
        </row>
        <row r="93">
          <cell r="G93">
            <v>246.58</v>
          </cell>
        </row>
        <row r="98">
          <cell r="G98">
            <v>76.72</v>
          </cell>
        </row>
        <row r="100">
          <cell r="G100">
            <v>82.18</v>
          </cell>
        </row>
        <row r="112">
          <cell r="G112">
            <v>472.71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AM144"/>
  <sheetViews>
    <sheetView topLeftCell="A6" workbookViewId="0">
      <pane ySplit="2" topLeftCell="A8" activePane="bottomLeft" state="frozen"/>
      <selection activeCell="A6" sqref="A6"/>
      <selection pane="bottomLeft" activeCell="U18" sqref="U18"/>
    </sheetView>
  </sheetViews>
  <sheetFormatPr defaultRowHeight="12.75" x14ac:dyDescent="0.2"/>
  <cols>
    <col min="1" max="1" width="9.140625" style="5"/>
    <col min="2" max="2" width="4.85546875" style="5" customWidth="1"/>
    <col min="3" max="3" width="3.140625" style="5" customWidth="1"/>
    <col min="4" max="4" width="37.140625" style="5" customWidth="1"/>
    <col min="5" max="6" width="13.140625" style="5" hidden="1" customWidth="1"/>
    <col min="7" max="7" width="13" style="5" hidden="1" customWidth="1"/>
    <col min="8" max="8" width="9.5703125" style="5" hidden="1" customWidth="1"/>
    <col min="9" max="9" width="15.28515625" style="5" hidden="1" customWidth="1"/>
    <col min="10" max="10" width="10.28515625" style="5" hidden="1" customWidth="1"/>
    <col min="11" max="11" width="10.5703125" style="5" hidden="1" customWidth="1"/>
    <col min="12" max="12" width="0.140625" style="5" hidden="1" customWidth="1"/>
    <col min="13" max="13" width="9.28515625" style="5" hidden="1" customWidth="1"/>
    <col min="14" max="14" width="9.85546875" style="5" hidden="1" customWidth="1"/>
    <col min="15" max="16" width="9.28515625" style="5" hidden="1" customWidth="1"/>
    <col min="17" max="17" width="0.28515625" style="5" customWidth="1"/>
    <col min="18" max="18" width="10" style="5" hidden="1" customWidth="1"/>
    <col min="19" max="19" width="10.42578125" style="5" hidden="1" customWidth="1"/>
    <col min="20" max="20" width="15.5703125" style="5" customWidth="1"/>
    <col min="21" max="30" width="10.7109375" style="5" customWidth="1"/>
    <col min="31" max="31" width="9.7109375" style="5" bestFit="1" customWidth="1"/>
    <col min="32" max="16384" width="9.140625" style="5"/>
  </cols>
  <sheetData>
    <row r="2" spans="3:31" ht="15.75" x14ac:dyDescent="0.25">
      <c r="C2" s="5" t="s">
        <v>329</v>
      </c>
      <c r="D2" s="12" t="s">
        <v>302</v>
      </c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</row>
    <row r="3" spans="3:31" ht="15.75" x14ac:dyDescent="0.25">
      <c r="D3" s="12"/>
      <c r="S3" s="14"/>
    </row>
    <row r="4" spans="3:31" ht="15.75" x14ac:dyDescent="0.25">
      <c r="D4" s="12" t="s">
        <v>267</v>
      </c>
      <c r="E4" s="15"/>
      <c r="F4" s="15"/>
      <c r="G4" s="15"/>
      <c r="H4" s="16"/>
      <c r="I4" s="17"/>
      <c r="J4" s="17"/>
      <c r="K4" s="17"/>
      <c r="L4" s="17"/>
      <c r="M4" s="17"/>
      <c r="W4" s="92"/>
    </row>
    <row r="5" spans="3:31" ht="15.75" x14ac:dyDescent="0.25">
      <c r="C5" s="18"/>
      <c r="D5" s="12" t="s">
        <v>316</v>
      </c>
      <c r="E5" s="16"/>
      <c r="F5" s="16"/>
      <c r="G5" s="16"/>
      <c r="J5" s="19"/>
      <c r="S5" s="73"/>
      <c r="T5" s="73"/>
      <c r="U5" s="279" t="s">
        <v>328</v>
      </c>
      <c r="V5" s="279"/>
      <c r="W5" s="279"/>
    </row>
    <row r="6" spans="3:31" x14ac:dyDescent="0.2">
      <c r="C6" s="49"/>
      <c r="D6" s="49"/>
      <c r="E6" s="20" t="s">
        <v>1</v>
      </c>
      <c r="F6" s="21" t="s">
        <v>2</v>
      </c>
      <c r="G6" s="22">
        <v>38442</v>
      </c>
      <c r="H6" s="23"/>
      <c r="I6" s="23">
        <v>39538</v>
      </c>
      <c r="J6" s="24">
        <v>39903</v>
      </c>
      <c r="K6" s="24">
        <v>40268</v>
      </c>
      <c r="L6" s="24">
        <v>40633</v>
      </c>
      <c r="M6" s="24">
        <v>40999</v>
      </c>
      <c r="N6" s="24">
        <v>41364</v>
      </c>
      <c r="O6" s="24">
        <v>41729</v>
      </c>
      <c r="P6" s="24">
        <v>42094</v>
      </c>
      <c r="Q6" s="24">
        <v>42460</v>
      </c>
      <c r="R6" s="24">
        <v>42825</v>
      </c>
      <c r="S6" s="24">
        <v>43190</v>
      </c>
      <c r="T6" s="24">
        <v>43555</v>
      </c>
      <c r="U6" s="24">
        <v>43921</v>
      </c>
      <c r="V6" s="24">
        <v>44286</v>
      </c>
      <c r="W6" s="24">
        <v>44651</v>
      </c>
      <c r="X6" s="24">
        <v>45016</v>
      </c>
      <c r="Y6" s="24">
        <v>45382</v>
      </c>
      <c r="Z6" s="24">
        <v>45747</v>
      </c>
      <c r="AA6" s="24">
        <v>46112</v>
      </c>
      <c r="AB6" s="24">
        <v>46477</v>
      </c>
      <c r="AC6" s="24">
        <v>46843</v>
      </c>
      <c r="AD6" s="24">
        <v>47208</v>
      </c>
    </row>
    <row r="7" spans="3:31" x14ac:dyDescent="0.2">
      <c r="C7" s="50"/>
      <c r="D7" s="50"/>
      <c r="E7" s="25" t="s">
        <v>3</v>
      </c>
      <c r="F7" s="26" t="s">
        <v>3</v>
      </c>
      <c r="G7" s="26" t="str">
        <f>F7</f>
        <v>Audited</v>
      </c>
      <c r="H7" s="27"/>
      <c r="I7" s="27" t="s">
        <v>3</v>
      </c>
      <c r="J7" s="27" t="s">
        <v>3</v>
      </c>
      <c r="K7" s="27" t="s">
        <v>3</v>
      </c>
      <c r="L7" s="27"/>
      <c r="M7" s="27" t="s">
        <v>3</v>
      </c>
      <c r="N7" s="27"/>
      <c r="O7" s="27" t="s">
        <v>3</v>
      </c>
      <c r="P7" s="27" t="s">
        <v>3</v>
      </c>
      <c r="Q7" s="27" t="s">
        <v>3</v>
      </c>
      <c r="R7" s="27" t="s">
        <v>3</v>
      </c>
      <c r="S7" s="27" t="s">
        <v>3</v>
      </c>
      <c r="T7" s="27" t="s">
        <v>3</v>
      </c>
      <c r="U7" s="27" t="s">
        <v>3</v>
      </c>
      <c r="V7" s="27" t="s">
        <v>303</v>
      </c>
      <c r="W7" s="27" t="s">
        <v>303</v>
      </c>
      <c r="X7" s="27" t="s">
        <v>303</v>
      </c>
      <c r="Y7" s="27" t="s">
        <v>303</v>
      </c>
      <c r="Z7" s="27" t="s">
        <v>303</v>
      </c>
      <c r="AA7" s="27" t="s">
        <v>303</v>
      </c>
      <c r="AB7" s="27" t="s">
        <v>303</v>
      </c>
      <c r="AC7" s="27" t="s">
        <v>303</v>
      </c>
      <c r="AD7" s="27" t="s">
        <v>303</v>
      </c>
    </row>
    <row r="8" spans="3:31" x14ac:dyDescent="0.2">
      <c r="C8" s="51"/>
      <c r="D8" s="51"/>
      <c r="F8" s="52"/>
      <c r="H8" s="35"/>
      <c r="I8" s="35"/>
      <c r="J8" s="35"/>
      <c r="K8" s="35"/>
      <c r="L8" s="35"/>
      <c r="M8" s="35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</row>
    <row r="9" spans="3:31" x14ac:dyDescent="0.2">
      <c r="C9" s="16" t="s">
        <v>4</v>
      </c>
      <c r="D9" s="29" t="s">
        <v>5</v>
      </c>
      <c r="G9" s="51"/>
      <c r="H9" s="35"/>
      <c r="I9" s="35"/>
      <c r="J9" s="35"/>
      <c r="K9" s="35"/>
      <c r="L9" s="35"/>
      <c r="M9" s="35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</row>
    <row r="10" spans="3:31" x14ac:dyDescent="0.2">
      <c r="C10" s="17"/>
      <c r="D10" s="30"/>
      <c r="G10" s="51"/>
      <c r="H10" s="35"/>
      <c r="I10" s="35"/>
      <c r="J10" s="35"/>
      <c r="K10" s="35"/>
      <c r="L10" s="35"/>
      <c r="M10" s="35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</row>
    <row r="11" spans="3:31" x14ac:dyDescent="0.2">
      <c r="C11" s="10"/>
      <c r="D11" s="52" t="s">
        <v>6</v>
      </c>
      <c r="E11" s="51">
        <v>4187.25</v>
      </c>
      <c r="F11" s="53">
        <v>5130.57</v>
      </c>
      <c r="G11" s="54">
        <v>6209.89</v>
      </c>
      <c r="H11" s="55">
        <v>7708.79</v>
      </c>
      <c r="I11" s="2">
        <v>8933.17</v>
      </c>
      <c r="J11" s="2">
        <v>9353.4500000000007</v>
      </c>
      <c r="K11" s="2">
        <v>10424.58</v>
      </c>
      <c r="L11" s="2">
        <v>12348.09</v>
      </c>
      <c r="M11" s="2">
        <v>13700.68</v>
      </c>
      <c r="N11" s="2">
        <v>13390.61</v>
      </c>
      <c r="O11" s="2">
        <v>13824.53</v>
      </c>
      <c r="P11" s="2">
        <v>16679.330000000002</v>
      </c>
      <c r="Q11" s="106">
        <v>17989.72</v>
      </c>
      <c r="R11" s="106">
        <v>13259.29</v>
      </c>
      <c r="S11" s="106">
        <v>15306.33</v>
      </c>
      <c r="T11" s="106">
        <f>15063.81+T16</f>
        <v>18510.41</v>
      </c>
      <c r="U11" s="106">
        <f>8095.57+U16</f>
        <v>10000.689999999999</v>
      </c>
      <c r="V11" s="106">
        <v>9343.26</v>
      </c>
      <c r="W11" s="106">
        <f>'Sales Budget 2020-21'!N27-'Sales Budget 2020-21'!F25</f>
        <v>11712.8</v>
      </c>
      <c r="X11" s="106">
        <f>'Sales Budget 2020-21'!N45-'Sales Budget 2020-21'!F45</f>
        <v>13854.5</v>
      </c>
      <c r="Y11" s="106">
        <f>'Sales Budget 2020-21'!N67-'Sales Budget 2020-21'!F65</f>
        <v>15881.25</v>
      </c>
      <c r="Z11" s="106">
        <f>Y11</f>
        <v>15881.25</v>
      </c>
      <c r="AA11" s="106">
        <f>Z11</f>
        <v>15881.25</v>
      </c>
      <c r="AB11" s="106">
        <f>AA11</f>
        <v>15881.25</v>
      </c>
      <c r="AC11" s="106">
        <f>AB11</f>
        <v>15881.25</v>
      </c>
      <c r="AD11" s="106">
        <f>AC11</f>
        <v>15881.25</v>
      </c>
    </row>
    <row r="12" spans="3:31" x14ac:dyDescent="0.2">
      <c r="C12" s="10"/>
      <c r="D12" s="52" t="s">
        <v>7</v>
      </c>
      <c r="E12" s="51">
        <v>401.93</v>
      </c>
      <c r="F12" s="56">
        <v>495</v>
      </c>
      <c r="G12" s="54">
        <v>685.43</v>
      </c>
      <c r="H12" s="2">
        <v>675.77</v>
      </c>
      <c r="I12" s="2">
        <v>541.89</v>
      </c>
      <c r="J12" s="2">
        <v>1101.29</v>
      </c>
      <c r="K12" s="2">
        <v>763.45</v>
      </c>
      <c r="L12" s="2">
        <v>895.25</v>
      </c>
      <c r="M12" s="2">
        <v>830.17</v>
      </c>
      <c r="N12" s="2">
        <v>746.66</v>
      </c>
      <c r="O12" s="2">
        <v>853.78</v>
      </c>
      <c r="P12" s="2">
        <v>791.59</v>
      </c>
      <c r="Q12" s="106">
        <v>666</v>
      </c>
      <c r="R12" s="106">
        <v>611</v>
      </c>
      <c r="S12" s="106">
        <v>603.27</v>
      </c>
      <c r="T12" s="106">
        <v>315.83</v>
      </c>
      <c r="U12" s="106">
        <v>287.45999999999998</v>
      </c>
      <c r="V12" s="106">
        <v>146.54</v>
      </c>
      <c r="W12" s="106">
        <f>'Sales Budget 2020-21'!F25</f>
        <v>375</v>
      </c>
      <c r="X12" s="106">
        <f>'Sales Budget 2020-21'!F45</f>
        <v>480</v>
      </c>
      <c r="Y12" s="106">
        <f>'Sales Budget 2020-21'!F65</f>
        <v>600</v>
      </c>
      <c r="Z12" s="106">
        <f t="shared" ref="Z12:AD12" si="0">Y12</f>
        <v>600</v>
      </c>
      <c r="AA12" s="106">
        <f t="shared" si="0"/>
        <v>600</v>
      </c>
      <c r="AB12" s="106">
        <f t="shared" si="0"/>
        <v>600</v>
      </c>
      <c r="AC12" s="106">
        <f t="shared" si="0"/>
        <v>600</v>
      </c>
      <c r="AD12" s="106">
        <f t="shared" si="0"/>
        <v>600</v>
      </c>
    </row>
    <row r="13" spans="3:31" x14ac:dyDescent="0.2">
      <c r="C13" s="10"/>
      <c r="D13" s="51" t="s">
        <v>261</v>
      </c>
      <c r="E13" s="51"/>
      <c r="G13" s="9">
        <v>16.87</v>
      </c>
      <c r="H13" s="8">
        <v>7.9</v>
      </c>
      <c r="I13" s="8">
        <v>12.47</v>
      </c>
      <c r="J13" s="8">
        <v>30.96</v>
      </c>
      <c r="K13" s="8">
        <v>21.34</v>
      </c>
      <c r="L13" s="8">
        <v>25.35</v>
      </c>
      <c r="M13" s="8">
        <v>23.17</v>
      </c>
      <c r="N13" s="8">
        <v>11.14</v>
      </c>
      <c r="O13" s="8">
        <v>15.97</v>
      </c>
      <c r="P13" s="8">
        <v>15.19</v>
      </c>
      <c r="Q13" s="107">
        <v>31.37</v>
      </c>
      <c r="R13" s="107">
        <v>22.53</v>
      </c>
      <c r="S13" s="107">
        <v>14.53</v>
      </c>
      <c r="T13" s="107">
        <v>11.37</v>
      </c>
      <c r="U13" s="107">
        <v>8.5399999999999991</v>
      </c>
      <c r="V13" s="107">
        <v>2.5</v>
      </c>
      <c r="W13" s="107">
        <v>16.5</v>
      </c>
      <c r="X13" s="107">
        <v>16.5</v>
      </c>
      <c r="Y13" s="106">
        <f t="shared" ref="Y13:AD13" si="1">X13</f>
        <v>16.5</v>
      </c>
      <c r="Z13" s="106">
        <f t="shared" si="1"/>
        <v>16.5</v>
      </c>
      <c r="AA13" s="106">
        <f t="shared" si="1"/>
        <v>16.5</v>
      </c>
      <c r="AB13" s="106">
        <f t="shared" si="1"/>
        <v>16.5</v>
      </c>
      <c r="AC13" s="106">
        <f t="shared" si="1"/>
        <v>16.5</v>
      </c>
      <c r="AD13" s="106">
        <f t="shared" si="1"/>
        <v>16.5</v>
      </c>
      <c r="AE13" s="107"/>
    </row>
    <row r="14" spans="3:31" x14ac:dyDescent="0.2">
      <c r="C14" s="10"/>
      <c r="D14" s="29" t="s">
        <v>8</v>
      </c>
      <c r="E14" s="31">
        <f>SUM(E11:E13)</f>
        <v>4589.18</v>
      </c>
      <c r="F14" s="31">
        <v>5625.57</v>
      </c>
      <c r="G14" s="32">
        <f t="shared" ref="G14:N14" si="2">SUM(G11:G13)</f>
        <v>6912.1900000000005</v>
      </c>
      <c r="H14" s="33">
        <f t="shared" si="2"/>
        <v>8392.4599999999991</v>
      </c>
      <c r="I14" s="34">
        <f t="shared" si="2"/>
        <v>9487.5299999999988</v>
      </c>
      <c r="J14" s="34">
        <f t="shared" si="2"/>
        <v>10485.700000000001</v>
      </c>
      <c r="K14" s="34">
        <f t="shared" si="2"/>
        <v>11209.37</v>
      </c>
      <c r="L14" s="34">
        <f t="shared" si="2"/>
        <v>13268.69</v>
      </c>
      <c r="M14" s="34">
        <f t="shared" si="2"/>
        <v>14554.02</v>
      </c>
      <c r="N14" s="34">
        <f t="shared" si="2"/>
        <v>14148.41</v>
      </c>
      <c r="O14" s="34">
        <f t="shared" ref="O14:V14" si="3">SUM(O11:O13)</f>
        <v>14694.28</v>
      </c>
      <c r="P14" s="34">
        <f t="shared" si="3"/>
        <v>17486.11</v>
      </c>
      <c r="Q14" s="108">
        <f t="shared" si="3"/>
        <v>18687.09</v>
      </c>
      <c r="R14" s="108">
        <f t="shared" si="3"/>
        <v>13892.820000000002</v>
      </c>
      <c r="S14" s="108">
        <f t="shared" si="3"/>
        <v>15924.130000000001</v>
      </c>
      <c r="T14" s="108">
        <f t="shared" si="3"/>
        <v>18837.61</v>
      </c>
      <c r="U14" s="108">
        <f t="shared" si="3"/>
        <v>10296.689999999999</v>
      </c>
      <c r="V14" s="108">
        <f t="shared" si="3"/>
        <v>9492.3000000000011</v>
      </c>
      <c r="W14" s="108">
        <f>SUM(W11:W13)</f>
        <v>12104.3</v>
      </c>
      <c r="X14" s="108">
        <f>SUM(X11:X13)</f>
        <v>14351</v>
      </c>
      <c r="Y14" s="108">
        <f>SUM(Y11:Y13)</f>
        <v>16497.75</v>
      </c>
      <c r="Z14" s="154">
        <f t="shared" ref="Z14:AD14" si="4">Y14</f>
        <v>16497.75</v>
      </c>
      <c r="AA14" s="154">
        <f t="shared" si="4"/>
        <v>16497.75</v>
      </c>
      <c r="AB14" s="154">
        <f t="shared" si="4"/>
        <v>16497.75</v>
      </c>
      <c r="AC14" s="154">
        <f t="shared" si="4"/>
        <v>16497.75</v>
      </c>
      <c r="AD14" s="154">
        <f t="shared" si="4"/>
        <v>16497.75</v>
      </c>
    </row>
    <row r="15" spans="3:31" x14ac:dyDescent="0.2">
      <c r="C15" s="10"/>
      <c r="D15" s="52"/>
      <c r="E15" s="51"/>
      <c r="F15" s="51"/>
      <c r="G15" s="57"/>
      <c r="H15" s="58"/>
      <c r="I15" s="8"/>
      <c r="J15" s="8"/>
      <c r="K15" s="8"/>
      <c r="L15" s="35"/>
      <c r="M15" s="35"/>
      <c r="N15" s="35"/>
      <c r="O15" s="35"/>
      <c r="P15" s="35"/>
      <c r="Q15" s="109"/>
      <c r="R15" s="109"/>
      <c r="S15" s="109"/>
      <c r="T15" s="109"/>
      <c r="U15" s="109"/>
      <c r="V15" s="109"/>
      <c r="W15" s="107"/>
      <c r="X15" s="107"/>
      <c r="Y15" s="106"/>
      <c r="Z15" s="106"/>
      <c r="AA15" s="106"/>
      <c r="AB15" s="106"/>
      <c r="AC15" s="106"/>
      <c r="AD15" s="106"/>
    </row>
    <row r="16" spans="3:31" x14ac:dyDescent="0.2">
      <c r="C16" s="10" t="s">
        <v>9</v>
      </c>
      <c r="D16" s="52" t="s">
        <v>353</v>
      </c>
      <c r="E16" s="51">
        <v>577.44000000000005</v>
      </c>
      <c r="F16" s="53">
        <v>718.89</v>
      </c>
      <c r="G16" s="54">
        <v>752.71</v>
      </c>
      <c r="H16" s="55">
        <v>1156.54</v>
      </c>
      <c r="I16" s="2">
        <v>1342.1</v>
      </c>
      <c r="J16" s="2">
        <v>1220.49</v>
      </c>
      <c r="K16" s="2">
        <v>934.93</v>
      </c>
      <c r="L16" s="2">
        <v>1306.83</v>
      </c>
      <c r="M16" s="2">
        <v>1475.36</v>
      </c>
      <c r="N16" s="2">
        <v>1668.13</v>
      </c>
      <c r="O16" s="2">
        <v>1728.51</v>
      </c>
      <c r="P16" s="2">
        <v>1960.61</v>
      </c>
      <c r="Q16" s="106">
        <v>2301.5300000000002</v>
      </c>
      <c r="R16" s="106">
        <v>1615.03</v>
      </c>
      <c r="S16" s="106">
        <v>2829.67</v>
      </c>
      <c r="T16" s="106">
        <f>773.56+2673.04</f>
        <v>3446.6</v>
      </c>
      <c r="U16" s="106">
        <v>1905.12</v>
      </c>
      <c r="V16" s="106">
        <v>1765.42</v>
      </c>
      <c r="W16" s="106">
        <f>'Sales Budget 2020-21'!M27</f>
        <v>2032.8</v>
      </c>
      <c r="X16" s="106">
        <f>'Sales Budget 2020-21'!M47</f>
        <v>2404.5</v>
      </c>
      <c r="Y16" s="106">
        <f>'Sales Budget 2020-21'!M67</f>
        <v>2756.25</v>
      </c>
      <c r="Z16" s="106">
        <f t="shared" ref="Z16:AD16" si="5">Y16</f>
        <v>2756.25</v>
      </c>
      <c r="AA16" s="106">
        <f t="shared" si="5"/>
        <v>2756.25</v>
      </c>
      <c r="AB16" s="106">
        <f t="shared" si="5"/>
        <v>2756.25</v>
      </c>
      <c r="AC16" s="106">
        <f t="shared" si="5"/>
        <v>2756.25</v>
      </c>
      <c r="AD16" s="106">
        <f t="shared" si="5"/>
        <v>2756.25</v>
      </c>
    </row>
    <row r="17" spans="3:35" x14ac:dyDescent="0.2">
      <c r="C17" s="10"/>
      <c r="D17" s="52"/>
      <c r="E17" s="51"/>
      <c r="F17" s="53"/>
      <c r="G17" s="54"/>
      <c r="H17" s="55"/>
      <c r="I17" s="2"/>
      <c r="J17" s="2"/>
      <c r="K17" s="2"/>
      <c r="L17" s="36"/>
      <c r="M17" s="36"/>
      <c r="N17" s="36"/>
      <c r="O17" s="36"/>
      <c r="P17" s="36"/>
      <c r="Q17" s="110"/>
      <c r="R17" s="110"/>
      <c r="S17" s="110"/>
      <c r="T17" s="110"/>
      <c r="U17" s="110"/>
      <c r="V17" s="110"/>
      <c r="W17" s="106" t="s">
        <v>329</v>
      </c>
      <c r="X17" s="106"/>
      <c r="Y17" s="106"/>
      <c r="Z17" s="106"/>
      <c r="AA17" s="106"/>
      <c r="AB17" s="106"/>
      <c r="AC17" s="106"/>
      <c r="AD17" s="106"/>
    </row>
    <row r="18" spans="3:35" x14ac:dyDescent="0.2">
      <c r="C18" s="16" t="s">
        <v>10</v>
      </c>
      <c r="D18" s="29" t="s">
        <v>11</v>
      </c>
      <c r="E18" s="31" t="e">
        <f>#REF!+#REF!</f>
        <v>#REF!</v>
      </c>
      <c r="F18" s="31">
        <v>4906.68</v>
      </c>
      <c r="G18" s="32">
        <f t="shared" ref="G18:L18" si="6">SUM(G14-G16)</f>
        <v>6159.4800000000005</v>
      </c>
      <c r="H18" s="32">
        <f t="shared" si="6"/>
        <v>7235.9199999999992</v>
      </c>
      <c r="I18" s="37">
        <f t="shared" si="6"/>
        <v>8145.4299999999985</v>
      </c>
      <c r="J18" s="37">
        <f t="shared" si="6"/>
        <v>9265.2100000000009</v>
      </c>
      <c r="K18" s="37">
        <f t="shared" si="6"/>
        <v>10274.44</v>
      </c>
      <c r="L18" s="37">
        <f t="shared" si="6"/>
        <v>11961.86</v>
      </c>
      <c r="M18" s="37">
        <f t="shared" ref="M18:V18" si="7">SUM(M14-M16)</f>
        <v>13078.66</v>
      </c>
      <c r="N18" s="37">
        <f t="shared" si="7"/>
        <v>12480.279999999999</v>
      </c>
      <c r="O18" s="37">
        <f t="shared" si="7"/>
        <v>12965.77</v>
      </c>
      <c r="P18" s="37">
        <f t="shared" si="7"/>
        <v>15525.5</v>
      </c>
      <c r="Q18" s="111">
        <f t="shared" si="7"/>
        <v>16385.560000000001</v>
      </c>
      <c r="R18" s="111">
        <f t="shared" si="7"/>
        <v>12277.79</v>
      </c>
      <c r="S18" s="111">
        <f t="shared" si="7"/>
        <v>13094.460000000001</v>
      </c>
      <c r="T18" s="111">
        <f t="shared" si="7"/>
        <v>15391.01</v>
      </c>
      <c r="U18" s="111">
        <f t="shared" si="7"/>
        <v>8391.57</v>
      </c>
      <c r="V18" s="111">
        <f t="shared" si="7"/>
        <v>7726.880000000001</v>
      </c>
      <c r="W18" s="111">
        <f>W14-W16</f>
        <v>10071.5</v>
      </c>
      <c r="X18" s="111">
        <f>X14-X16</f>
        <v>11946.5</v>
      </c>
      <c r="Y18" s="111">
        <f>Y14-Y16</f>
        <v>13741.5</v>
      </c>
      <c r="Z18" s="154">
        <f t="shared" ref="Z18:AD18" si="8">Y18</f>
        <v>13741.5</v>
      </c>
      <c r="AA18" s="154">
        <f t="shared" si="8"/>
        <v>13741.5</v>
      </c>
      <c r="AB18" s="154">
        <f t="shared" si="8"/>
        <v>13741.5</v>
      </c>
      <c r="AC18" s="154">
        <f t="shared" si="8"/>
        <v>13741.5</v>
      </c>
      <c r="AD18" s="154">
        <f t="shared" si="8"/>
        <v>13741.5</v>
      </c>
    </row>
    <row r="19" spans="3:35" x14ac:dyDescent="0.2">
      <c r="C19" s="10"/>
      <c r="D19" s="51"/>
      <c r="E19" s="51"/>
      <c r="F19" s="51"/>
      <c r="G19" s="10"/>
      <c r="H19" s="35"/>
      <c r="I19" s="35"/>
      <c r="J19" s="35"/>
      <c r="K19" s="8"/>
      <c r="L19" s="35"/>
      <c r="M19" s="35"/>
      <c r="N19" s="35"/>
      <c r="O19" s="35"/>
      <c r="P19" s="35"/>
      <c r="Q19" s="109"/>
      <c r="R19" s="109"/>
      <c r="S19" s="109"/>
      <c r="T19" s="109"/>
      <c r="U19" s="109"/>
      <c r="V19" s="109"/>
      <c r="W19" s="107"/>
      <c r="X19" s="107"/>
      <c r="Y19" s="106"/>
      <c r="Z19" s="106"/>
      <c r="AA19" s="106"/>
      <c r="AB19" s="106"/>
      <c r="AC19" s="106"/>
      <c r="AD19" s="106"/>
    </row>
    <row r="20" spans="3:35" x14ac:dyDescent="0.2">
      <c r="C20" s="10" t="s">
        <v>12</v>
      </c>
      <c r="D20" s="52" t="s">
        <v>278</v>
      </c>
      <c r="E20" s="51">
        <v>2.72</v>
      </c>
      <c r="F20" s="51">
        <v>22.86</v>
      </c>
      <c r="G20" s="10">
        <v>24.65</v>
      </c>
      <c r="H20" s="1">
        <v>5.03</v>
      </c>
      <c r="I20" s="1">
        <f t="shared" ref="I20:N20" si="9">SUM(I18-H18)/H18*100</f>
        <v>12.569376112505381</v>
      </c>
      <c r="J20" s="1">
        <f t="shared" si="9"/>
        <v>13.747340533280658</v>
      </c>
      <c r="K20" s="1">
        <f t="shared" si="9"/>
        <v>10.892683490174528</v>
      </c>
      <c r="L20" s="1">
        <f t="shared" si="9"/>
        <v>16.423474174748208</v>
      </c>
      <c r="M20" s="1">
        <f t="shared" si="9"/>
        <v>9.3363406694276581</v>
      </c>
      <c r="N20" s="1">
        <f t="shared" si="9"/>
        <v>-4.5752393593839198</v>
      </c>
      <c r="O20" s="1">
        <f t="shared" ref="O20:U20" si="10">SUM(O18-N18)/N18*100</f>
        <v>3.890056953850408</v>
      </c>
      <c r="P20" s="1">
        <f t="shared" si="10"/>
        <v>19.742213536103133</v>
      </c>
      <c r="Q20" s="112">
        <f>SUM(Q18-P18)/P18*100</f>
        <v>5.5396605584361298</v>
      </c>
      <c r="R20" s="112">
        <f t="shared" si="10"/>
        <v>-25.06945139500878</v>
      </c>
      <c r="S20" s="112">
        <f t="shared" si="10"/>
        <v>6.6516042382220251</v>
      </c>
      <c r="T20" s="112">
        <f t="shared" si="10"/>
        <v>17.538333004950179</v>
      </c>
      <c r="U20" s="112">
        <f t="shared" si="10"/>
        <v>-45.477457294875393</v>
      </c>
      <c r="V20" s="112">
        <f>SUM(V18-U18)/U18*100</f>
        <v>-7.9209254049003794</v>
      </c>
      <c r="W20" s="106">
        <f>SUM(W18-V18)/V18*100</f>
        <v>30.343683349553746</v>
      </c>
      <c r="X20" s="106">
        <f>SUM(X18-W18)/W18*100</f>
        <v>18.616889241920269</v>
      </c>
      <c r="Y20" s="106">
        <f>SUM(Y18-X18)/X18*100</f>
        <v>15.025321223789396</v>
      </c>
      <c r="Z20" s="106">
        <f>SUM(Z18-Y18)/Y18*100</f>
        <v>0</v>
      </c>
      <c r="AA20" s="106">
        <f t="shared" ref="AA20:AD20" si="11">SUM(AA18-Z18)/Z18*100</f>
        <v>0</v>
      </c>
      <c r="AB20" s="106">
        <f t="shared" si="11"/>
        <v>0</v>
      </c>
      <c r="AC20" s="106">
        <f t="shared" si="11"/>
        <v>0</v>
      </c>
      <c r="AD20" s="106">
        <f t="shared" si="11"/>
        <v>0</v>
      </c>
    </row>
    <row r="21" spans="3:35" x14ac:dyDescent="0.2">
      <c r="C21" s="10"/>
      <c r="D21" s="52" t="s">
        <v>277</v>
      </c>
      <c r="E21" s="51"/>
      <c r="F21" s="51"/>
      <c r="G21" s="10"/>
      <c r="H21" s="35"/>
      <c r="I21" s="35"/>
      <c r="J21" s="35"/>
      <c r="K21" s="8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68"/>
      <c r="X21" s="68"/>
      <c r="Y21" s="106"/>
      <c r="Z21" s="106"/>
      <c r="AA21" s="106"/>
      <c r="AB21" s="106"/>
      <c r="AC21" s="106"/>
      <c r="AD21" s="106"/>
    </row>
    <row r="22" spans="3:35" x14ac:dyDescent="0.2">
      <c r="C22" s="10"/>
      <c r="D22" s="51"/>
      <c r="E22" s="51"/>
      <c r="G22" s="9"/>
      <c r="H22" s="35"/>
      <c r="I22" s="35"/>
      <c r="J22" s="35"/>
      <c r="K22" s="8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68"/>
      <c r="X22" s="68"/>
      <c r="Y22" s="106"/>
      <c r="Z22" s="106"/>
      <c r="AA22" s="106"/>
      <c r="AB22" s="106"/>
      <c r="AC22" s="106"/>
      <c r="AD22" s="106"/>
    </row>
    <row r="23" spans="3:35" x14ac:dyDescent="0.2">
      <c r="C23" s="16" t="s">
        <v>13</v>
      </c>
      <c r="D23" s="29" t="s">
        <v>14</v>
      </c>
      <c r="E23" s="51"/>
      <c r="G23" s="9"/>
      <c r="H23" s="35"/>
      <c r="I23" s="35"/>
      <c r="J23" s="35"/>
      <c r="K23" s="8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68"/>
      <c r="X23" s="68"/>
      <c r="Y23" s="106"/>
      <c r="Z23" s="106"/>
      <c r="AA23" s="106"/>
      <c r="AB23" s="106"/>
      <c r="AC23" s="106"/>
      <c r="AD23" s="106"/>
    </row>
    <row r="24" spans="3:35" x14ac:dyDescent="0.2">
      <c r="C24" s="10"/>
      <c r="D24" s="29"/>
      <c r="E24" s="51"/>
      <c r="G24" s="9"/>
      <c r="H24" s="35"/>
      <c r="I24" s="35"/>
      <c r="J24" s="35"/>
      <c r="K24" s="8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68"/>
      <c r="X24" s="68"/>
      <c r="Y24" s="106"/>
      <c r="Z24" s="106"/>
      <c r="AA24" s="106"/>
      <c r="AB24" s="106"/>
      <c r="AC24" s="106"/>
      <c r="AD24" s="106"/>
    </row>
    <row r="25" spans="3:35" x14ac:dyDescent="0.2">
      <c r="C25" s="10"/>
      <c r="D25" s="52" t="s">
        <v>279</v>
      </c>
      <c r="E25" s="51"/>
      <c r="G25" s="9"/>
      <c r="H25" s="35"/>
      <c r="I25" s="35"/>
      <c r="J25" s="35"/>
      <c r="K25" s="8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68"/>
      <c r="X25" s="68"/>
      <c r="Y25" s="106"/>
      <c r="Z25" s="106"/>
      <c r="AA25" s="106"/>
      <c r="AB25" s="106"/>
      <c r="AC25" s="106"/>
      <c r="AD25" s="106"/>
    </row>
    <row r="26" spans="3:35" x14ac:dyDescent="0.2">
      <c r="C26" s="10"/>
      <c r="D26" s="52" t="s">
        <v>281</v>
      </c>
      <c r="E26" s="51"/>
      <c r="G26" s="9"/>
      <c r="H26" s="35"/>
      <c r="I26" s="35"/>
      <c r="J26" s="35"/>
      <c r="K26" s="8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68"/>
      <c r="X26" s="68"/>
      <c r="Y26" s="106"/>
      <c r="Z26" s="106"/>
      <c r="AA26" s="106"/>
      <c r="AB26" s="106"/>
      <c r="AC26" s="106"/>
      <c r="AD26" s="106"/>
    </row>
    <row r="27" spans="3:35" x14ac:dyDescent="0.2">
      <c r="C27" s="10"/>
      <c r="D27" s="51" t="s">
        <v>280</v>
      </c>
      <c r="E27" s="51"/>
      <c r="G27" s="9"/>
      <c r="H27" s="35"/>
      <c r="I27" s="35"/>
      <c r="J27" s="35"/>
      <c r="K27" s="8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68"/>
      <c r="X27" s="68"/>
      <c r="Y27" s="106"/>
      <c r="Z27" s="106"/>
      <c r="AA27" s="106"/>
      <c r="AB27" s="106"/>
      <c r="AC27" s="106"/>
      <c r="AD27" s="106"/>
    </row>
    <row r="28" spans="3:35" x14ac:dyDescent="0.2">
      <c r="C28" s="10"/>
      <c r="D28" s="51"/>
      <c r="E28" s="51"/>
      <c r="G28" s="9"/>
      <c r="H28" s="35"/>
      <c r="I28" s="35"/>
      <c r="J28" s="35"/>
      <c r="K28" s="8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68"/>
      <c r="X28" s="68"/>
      <c r="Y28" s="106"/>
      <c r="Z28" s="106"/>
      <c r="AA28" s="106"/>
      <c r="AB28" s="106"/>
      <c r="AC28" s="106"/>
      <c r="AD28" s="106"/>
    </row>
    <row r="29" spans="3:35" x14ac:dyDescent="0.2">
      <c r="C29" s="10"/>
      <c r="D29" s="52" t="s">
        <v>15</v>
      </c>
      <c r="E29" s="51">
        <v>0</v>
      </c>
      <c r="F29" s="51">
        <v>0</v>
      </c>
      <c r="G29" s="10">
        <v>0</v>
      </c>
      <c r="H29" s="1">
        <v>0</v>
      </c>
      <c r="I29" s="1">
        <v>0</v>
      </c>
      <c r="J29" s="1">
        <v>0</v>
      </c>
      <c r="K29" s="2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12">
        <v>0</v>
      </c>
      <c r="U29" s="112">
        <v>0</v>
      </c>
      <c r="V29" s="112">
        <v>0</v>
      </c>
      <c r="W29" s="106">
        <v>0</v>
      </c>
      <c r="X29" s="106">
        <v>0</v>
      </c>
      <c r="Y29" s="106">
        <f t="shared" ref="Y29:AD29" si="12">X29</f>
        <v>0</v>
      </c>
      <c r="Z29" s="106">
        <f t="shared" si="12"/>
        <v>0</v>
      </c>
      <c r="AA29" s="106">
        <f t="shared" si="12"/>
        <v>0</v>
      </c>
      <c r="AB29" s="106">
        <f t="shared" si="12"/>
        <v>0</v>
      </c>
      <c r="AC29" s="106">
        <f t="shared" si="12"/>
        <v>0</v>
      </c>
      <c r="AD29" s="106">
        <f t="shared" si="12"/>
        <v>0</v>
      </c>
    </row>
    <row r="30" spans="3:35" x14ac:dyDescent="0.2">
      <c r="C30" s="10"/>
      <c r="D30" s="52" t="s">
        <v>16</v>
      </c>
      <c r="E30" s="51">
        <v>1410.96</v>
      </c>
      <c r="F30" s="51">
        <v>2012.16</v>
      </c>
      <c r="G30" s="57">
        <f>'[1]Form-II'!$G$24</f>
        <v>3065.86</v>
      </c>
      <c r="H30" s="59">
        <v>3684.32</v>
      </c>
      <c r="I30" s="59">
        <v>4140.5200000000004</v>
      </c>
      <c r="J30" s="2">
        <v>5221.08</v>
      </c>
      <c r="K30" s="2">
        <v>5981.94</v>
      </c>
      <c r="L30" s="4">
        <v>7272.1</v>
      </c>
      <c r="M30" s="4">
        <v>7714.79</v>
      </c>
      <c r="N30" s="4">
        <v>5785.04</v>
      </c>
      <c r="O30" s="4">
        <v>5585.32</v>
      </c>
      <c r="P30" s="4">
        <v>6978.04</v>
      </c>
      <c r="Q30" s="4">
        <v>7088.01</v>
      </c>
      <c r="R30" s="4">
        <v>5606.77</v>
      </c>
      <c r="S30" s="4">
        <v>6496.65</v>
      </c>
      <c r="T30" s="124">
        <v>8427.5300000000007</v>
      </c>
      <c r="U30" s="124">
        <v>4108.78</v>
      </c>
      <c r="V30" s="124">
        <v>3528.3</v>
      </c>
      <c r="W30" s="106">
        <f>(W18-W13)*44%</f>
        <v>4424.2</v>
      </c>
      <c r="X30" s="106">
        <f>(X18-X13)*44%-AH30</f>
        <v>5399.2</v>
      </c>
      <c r="Y30" s="106">
        <f>(Y18-Y13)*44%-AI30</f>
        <v>6039</v>
      </c>
      <c r="Z30" s="106">
        <f t="shared" ref="Z30:AD30" si="13">(Z18-Z13)*44%-AJ30</f>
        <v>6039</v>
      </c>
      <c r="AA30" s="106">
        <f t="shared" si="13"/>
        <v>6039</v>
      </c>
      <c r="AB30" s="106">
        <f t="shared" si="13"/>
        <v>6039</v>
      </c>
      <c r="AC30" s="106">
        <f t="shared" si="13"/>
        <v>6039</v>
      </c>
      <c r="AD30" s="106">
        <f t="shared" si="13"/>
        <v>6039</v>
      </c>
      <c r="AF30" s="78">
        <f>V52-V56+V60-V64</f>
        <v>-240.26999999999998</v>
      </c>
      <c r="AG30" s="78">
        <f>W52-W56+W60-W64</f>
        <v>713.01</v>
      </c>
      <c r="AH30" s="78">
        <f>X52-X56+X60-X64</f>
        <v>-150</v>
      </c>
      <c r="AI30" s="78">
        <f>Y52-Y56+Y60-Y64</f>
        <v>0</v>
      </c>
    </row>
    <row r="31" spans="3:35" x14ac:dyDescent="0.2">
      <c r="C31" s="10"/>
      <c r="D31" s="51"/>
      <c r="E31" s="51"/>
      <c r="F31" s="51"/>
      <c r="G31" s="10"/>
      <c r="H31" s="60"/>
      <c r="I31" s="60"/>
      <c r="J31" s="60"/>
      <c r="K31" s="8"/>
      <c r="L31" s="35"/>
      <c r="M31" s="35"/>
      <c r="N31" s="35"/>
      <c r="O31" s="35"/>
      <c r="P31" s="35"/>
      <c r="Q31" s="35"/>
      <c r="R31" s="35"/>
      <c r="S31" s="35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</row>
    <row r="32" spans="3:35" x14ac:dyDescent="0.2">
      <c r="C32" s="10"/>
      <c r="D32" s="52" t="s">
        <v>17</v>
      </c>
      <c r="E32" s="51"/>
      <c r="F32" s="51"/>
      <c r="G32" s="10"/>
      <c r="H32" s="60"/>
      <c r="I32" s="60"/>
      <c r="J32" s="60"/>
      <c r="K32" s="8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68"/>
      <c r="X32" s="68"/>
      <c r="Y32" s="106"/>
      <c r="Z32" s="106"/>
      <c r="AA32" s="106"/>
      <c r="AB32" s="106"/>
      <c r="AC32" s="106"/>
      <c r="AD32" s="106"/>
    </row>
    <row r="33" spans="3:33" x14ac:dyDescent="0.2">
      <c r="C33" s="10"/>
      <c r="D33" s="52" t="s">
        <v>15</v>
      </c>
      <c r="E33" s="51">
        <v>0</v>
      </c>
      <c r="F33" s="51">
        <v>0</v>
      </c>
      <c r="G33" s="10">
        <v>0</v>
      </c>
      <c r="H33" s="1">
        <v>0</v>
      </c>
      <c r="I33" s="1">
        <v>0</v>
      </c>
      <c r="J33" s="1">
        <v>0</v>
      </c>
      <c r="K33" s="2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12">
        <v>0</v>
      </c>
      <c r="U33" s="112">
        <v>0</v>
      </c>
      <c r="V33" s="112">
        <v>0</v>
      </c>
      <c r="W33" s="106">
        <v>0</v>
      </c>
      <c r="X33" s="106">
        <v>0</v>
      </c>
      <c r="Y33" s="106">
        <f t="shared" ref="Y33:AD33" si="14">X33</f>
        <v>0</v>
      </c>
      <c r="Z33" s="106">
        <f t="shared" si="14"/>
        <v>0</v>
      </c>
      <c r="AA33" s="106">
        <f t="shared" si="14"/>
        <v>0</v>
      </c>
      <c r="AB33" s="106">
        <f t="shared" si="14"/>
        <v>0</v>
      </c>
      <c r="AC33" s="106">
        <f t="shared" si="14"/>
        <v>0</v>
      </c>
      <c r="AD33" s="106">
        <f t="shared" si="14"/>
        <v>0</v>
      </c>
      <c r="AF33" s="5">
        <f>349.28+65.96</f>
        <v>415.23999999999995</v>
      </c>
      <c r="AG33" s="5">
        <f>AF33*$AG$67</f>
        <v>830.4799999999999</v>
      </c>
    </row>
    <row r="34" spans="3:33" x14ac:dyDescent="0.2">
      <c r="C34" s="10"/>
      <c r="D34" s="52" t="s">
        <v>16</v>
      </c>
      <c r="E34" s="51">
        <v>300.58</v>
      </c>
      <c r="F34" s="51">
        <v>363.81</v>
      </c>
      <c r="G34" s="10">
        <f>'[1]Form-II'!$G$27</f>
        <v>460.47</v>
      </c>
      <c r="H34" s="1">
        <v>411.45</v>
      </c>
      <c r="I34" s="1">
        <v>424.01</v>
      </c>
      <c r="J34" s="1">
        <v>416.43</v>
      </c>
      <c r="K34" s="2">
        <v>264.57</v>
      </c>
      <c r="L34" s="1">
        <v>331.07</v>
      </c>
      <c r="M34" s="1">
        <v>347.13</v>
      </c>
      <c r="N34" s="1">
        <v>891.08</v>
      </c>
      <c r="O34" s="4">
        <v>883.09</v>
      </c>
      <c r="P34" s="4">
        <v>1056.99</v>
      </c>
      <c r="Q34" s="4">
        <v>1217.04</v>
      </c>
      <c r="R34" s="4">
        <v>821.32</v>
      </c>
      <c r="S34" s="4">
        <v>823.8</v>
      </c>
      <c r="T34" s="124">
        <v>1105.25</v>
      </c>
      <c r="U34" s="124">
        <v>629.39</v>
      </c>
      <c r="V34" s="124">
        <v>652.26</v>
      </c>
      <c r="W34" s="106">
        <f>ROUND(W18*7.5%,2)</f>
        <v>755.36</v>
      </c>
      <c r="X34" s="106">
        <f t="shared" ref="X34:AD34" si="15">ROUND(X18*7.5%,2)</f>
        <v>895.99</v>
      </c>
      <c r="Y34" s="106">
        <f t="shared" si="15"/>
        <v>1030.6099999999999</v>
      </c>
      <c r="Z34" s="106">
        <f t="shared" si="15"/>
        <v>1030.6099999999999</v>
      </c>
      <c r="AA34" s="106">
        <f t="shared" si="15"/>
        <v>1030.6099999999999</v>
      </c>
      <c r="AB34" s="106">
        <f t="shared" si="15"/>
        <v>1030.6099999999999</v>
      </c>
      <c r="AC34" s="106">
        <f t="shared" si="15"/>
        <v>1030.6099999999999</v>
      </c>
      <c r="AD34" s="106">
        <f t="shared" si="15"/>
        <v>1030.6099999999999</v>
      </c>
    </row>
    <row r="35" spans="3:33" x14ac:dyDescent="0.2">
      <c r="C35" s="10"/>
      <c r="D35" s="51"/>
      <c r="E35" s="51"/>
      <c r="F35" s="51"/>
      <c r="G35" s="10"/>
      <c r="H35" s="60"/>
      <c r="I35" s="60"/>
      <c r="J35" s="60"/>
      <c r="K35" s="8"/>
      <c r="L35" s="35"/>
      <c r="M35" s="35"/>
      <c r="N35" s="35"/>
      <c r="O35" s="35"/>
      <c r="P35" s="35"/>
      <c r="Q35" s="35"/>
      <c r="R35" s="35"/>
      <c r="S35" s="35"/>
      <c r="T35" s="194">
        <f>T34/T18</f>
        <v>7.1811401590928733E-2</v>
      </c>
      <c r="U35" s="194">
        <f t="shared" ref="U35:AD35" si="16">U34/U18</f>
        <v>7.500265147046381E-2</v>
      </c>
      <c r="V35" s="194">
        <f t="shared" si="16"/>
        <v>8.4414407885200743E-2</v>
      </c>
      <c r="W35" s="194">
        <f t="shared" si="16"/>
        <v>7.4999751774810108E-2</v>
      </c>
      <c r="X35" s="194">
        <f t="shared" ref="X35" si="17">X34/X18</f>
        <v>7.5000209266312304E-2</v>
      </c>
      <c r="Y35" s="194">
        <f t="shared" ref="Y35" si="18">Y34/Y18</f>
        <v>7.4999818069351951E-2</v>
      </c>
      <c r="Z35" s="194">
        <f t="shared" ref="Z35" si="19">Z34/Z18</f>
        <v>7.4999818069351951E-2</v>
      </c>
      <c r="AA35" s="194">
        <f t="shared" ref="AA35" si="20">AA34/AA18</f>
        <v>7.4999818069351951E-2</v>
      </c>
      <c r="AB35" s="194">
        <f t="shared" ref="AB35" si="21">AB34/AB18</f>
        <v>7.4999818069351951E-2</v>
      </c>
      <c r="AC35" s="194">
        <f t="shared" ref="AC35" si="22">AC34/AC18</f>
        <v>7.4999818069351951E-2</v>
      </c>
      <c r="AD35" s="194">
        <f t="shared" ref="AD35" si="23">AD34/AD18</f>
        <v>7.4999818069351951E-2</v>
      </c>
    </row>
    <row r="36" spans="3:33" x14ac:dyDescent="0.2">
      <c r="C36" s="10"/>
      <c r="D36" s="52" t="s">
        <v>18</v>
      </c>
      <c r="E36" s="51">
        <v>448</v>
      </c>
      <c r="F36" s="51">
        <v>521.22</v>
      </c>
      <c r="G36" s="10">
        <f>'[1]Form-II'!$G$28</f>
        <v>571.53</v>
      </c>
      <c r="H36" s="1">
        <v>651.28</v>
      </c>
      <c r="I36" s="1">
        <v>648.07000000000005</v>
      </c>
      <c r="J36" s="1">
        <v>508.23</v>
      </c>
      <c r="K36" s="2">
        <v>494.31</v>
      </c>
      <c r="L36" s="2">
        <v>608.36</v>
      </c>
      <c r="M36" s="2">
        <v>650.29999999999995</v>
      </c>
      <c r="N36" s="2">
        <v>1126.2</v>
      </c>
      <c r="O36" s="2">
        <v>1147.8800000000001</v>
      </c>
      <c r="P36" s="2">
        <v>1334.3</v>
      </c>
      <c r="Q36" s="2">
        <v>1197.1300000000001</v>
      </c>
      <c r="R36" s="2">
        <v>881.42</v>
      </c>
      <c r="S36" s="2">
        <v>965.97</v>
      </c>
      <c r="T36" s="106">
        <v>951.42</v>
      </c>
      <c r="U36" s="106">
        <v>599.32000000000005</v>
      </c>
      <c r="V36" s="106">
        <v>594.88</v>
      </c>
      <c r="W36" s="106">
        <f>ROUND(W18*7.7%,2)</f>
        <v>775.51</v>
      </c>
      <c r="X36" s="106">
        <f>X18*7.9%</f>
        <v>943.77350000000001</v>
      </c>
      <c r="Y36" s="106">
        <f t="shared" ref="Y36:AD36" si="24">Y18*7.9%</f>
        <v>1085.5785000000001</v>
      </c>
      <c r="Z36" s="106">
        <f t="shared" si="24"/>
        <v>1085.5785000000001</v>
      </c>
      <c r="AA36" s="106">
        <f t="shared" si="24"/>
        <v>1085.5785000000001</v>
      </c>
      <c r="AB36" s="106">
        <f t="shared" si="24"/>
        <v>1085.5785000000001</v>
      </c>
      <c r="AC36" s="106">
        <f t="shared" si="24"/>
        <v>1085.5785000000001</v>
      </c>
      <c r="AD36" s="106">
        <f t="shared" si="24"/>
        <v>1085.5785000000001</v>
      </c>
      <c r="AF36" s="2">
        <v>359.61</v>
      </c>
      <c r="AG36" s="5">
        <f>AF36*$AG$67</f>
        <v>719.22</v>
      </c>
    </row>
    <row r="37" spans="3:33" x14ac:dyDescent="0.2">
      <c r="C37" s="10"/>
      <c r="D37" s="51"/>
      <c r="F37" s="51"/>
      <c r="G37" s="10"/>
      <c r="H37" s="60"/>
      <c r="I37" s="60"/>
      <c r="J37" s="60"/>
      <c r="K37" s="8"/>
      <c r="L37" s="8"/>
      <c r="M37" s="8"/>
      <c r="N37" s="8"/>
      <c r="O37" s="8"/>
      <c r="P37" s="8"/>
      <c r="Q37" s="35"/>
      <c r="R37" s="35"/>
      <c r="S37" s="35"/>
      <c r="T37" s="194">
        <f>T36/T18</f>
        <v>6.1816605927746127E-2</v>
      </c>
      <c r="U37" s="194">
        <f t="shared" ref="U37:AD37" si="25">U36/U18</f>
        <v>7.1419293409934026E-2</v>
      </c>
      <c r="V37" s="194">
        <f t="shared" si="25"/>
        <v>7.6988383409603872E-2</v>
      </c>
      <c r="W37" s="194">
        <f t="shared" si="25"/>
        <v>7.7000446805341807E-2</v>
      </c>
      <c r="X37" s="194">
        <f t="shared" si="25"/>
        <v>7.9000000000000001E-2</v>
      </c>
      <c r="Y37" s="194">
        <f t="shared" ref="Y37" si="26">Y36/Y18</f>
        <v>7.9000000000000001E-2</v>
      </c>
      <c r="Z37" s="194">
        <f t="shared" ref="Z37" si="27">Z36/Z18</f>
        <v>7.9000000000000001E-2</v>
      </c>
      <c r="AA37" s="194">
        <f t="shared" ref="AA37" si="28">AA36/AA18</f>
        <v>7.9000000000000001E-2</v>
      </c>
      <c r="AB37" s="194">
        <f t="shared" ref="AB37" si="29">AB36/AB18</f>
        <v>7.9000000000000001E-2</v>
      </c>
      <c r="AC37" s="194">
        <f t="shared" ref="AC37" si="30">AC36/AC18</f>
        <v>7.9000000000000001E-2</v>
      </c>
      <c r="AD37" s="194">
        <f t="shared" ref="AD37" si="31">AD36/AD18</f>
        <v>7.9000000000000001E-2</v>
      </c>
    </row>
    <row r="38" spans="3:33" x14ac:dyDescent="0.2">
      <c r="C38" s="10"/>
      <c r="D38" s="52" t="s">
        <v>50</v>
      </c>
      <c r="E38" s="53">
        <v>783.94</v>
      </c>
      <c r="F38" s="51">
        <v>860.58</v>
      </c>
      <c r="G38" s="10">
        <f>'[1]Form-II'!$G$29</f>
        <v>934.51</v>
      </c>
      <c r="H38" s="59">
        <v>1146.8499999999999</v>
      </c>
      <c r="I38" s="2">
        <v>1288.08</v>
      </c>
      <c r="J38" s="2">
        <v>1028.8499999999999</v>
      </c>
      <c r="K38" s="2">
        <v>1040.79</v>
      </c>
      <c r="L38" s="2">
        <v>1211.83</v>
      </c>
      <c r="M38" s="2">
        <v>1340.21</v>
      </c>
      <c r="N38" s="2">
        <v>2102.23</v>
      </c>
      <c r="O38" s="2">
        <v>2457.4699999999998</v>
      </c>
      <c r="P38" s="2">
        <v>3230.32</v>
      </c>
      <c r="Q38" s="2">
        <v>2998.28</v>
      </c>
      <c r="R38" s="2">
        <v>2757.65</v>
      </c>
      <c r="S38" s="2">
        <v>2779.81</v>
      </c>
      <c r="T38" s="106">
        <v>2728.12</v>
      </c>
      <c r="U38" s="106">
        <v>1903.46</v>
      </c>
      <c r="V38" s="106">
        <v>1673.39</v>
      </c>
      <c r="W38" s="106">
        <f>W18*18%</f>
        <v>1812.87</v>
      </c>
      <c r="X38" s="106">
        <f>ROUND(X18*19%,2)</f>
        <v>2269.84</v>
      </c>
      <c r="Y38" s="106">
        <f>ROUND(Y18*19%,2)</f>
        <v>2610.89</v>
      </c>
      <c r="Z38" s="106">
        <f>ROUND(Z18*19%,2)</f>
        <v>2610.89</v>
      </c>
      <c r="AA38" s="106">
        <f>ROUND(AA18*19%,2)</f>
        <v>2610.89</v>
      </c>
      <c r="AB38" s="106">
        <f>ROUND(AB18*19%,2)</f>
        <v>2610.89</v>
      </c>
      <c r="AC38" s="106">
        <f>ROUND(AC18*19%,2)</f>
        <v>2610.89</v>
      </c>
      <c r="AD38" s="106">
        <f>ROUND(AD18*19%,2)</f>
        <v>2610.89</v>
      </c>
    </row>
    <row r="39" spans="3:33" x14ac:dyDescent="0.2">
      <c r="C39" s="10"/>
      <c r="D39" s="51"/>
      <c r="F39" s="51"/>
      <c r="G39" s="10"/>
      <c r="H39" s="60"/>
      <c r="I39" s="60"/>
      <c r="J39" s="60"/>
      <c r="K39" s="8"/>
      <c r="L39" s="8"/>
      <c r="M39" s="8"/>
      <c r="N39" s="8"/>
      <c r="O39" s="8"/>
      <c r="P39" s="8"/>
      <c r="Q39" s="35"/>
      <c r="R39" s="35"/>
      <c r="S39" s="35"/>
      <c r="T39" s="194">
        <f>T38/T18</f>
        <v>0.17725412432322504</v>
      </c>
      <c r="U39" s="194">
        <f t="shared" ref="U39:AD39" si="32">U38/U18</f>
        <v>0.22683002108067979</v>
      </c>
      <c r="V39" s="194">
        <f t="shared" si="32"/>
        <v>0.21656735965874971</v>
      </c>
      <c r="W39" s="194">
        <f t="shared" si="32"/>
        <v>0.18</v>
      </c>
      <c r="X39" s="194">
        <f t="shared" si="32"/>
        <v>0.19000041853262464</v>
      </c>
      <c r="Y39" s="194">
        <f t="shared" si="32"/>
        <v>0.19000036386129607</v>
      </c>
      <c r="Z39" s="194">
        <f t="shared" si="32"/>
        <v>0.19000036386129607</v>
      </c>
      <c r="AA39" s="194">
        <f t="shared" si="32"/>
        <v>0.19000036386129607</v>
      </c>
      <c r="AB39" s="194">
        <f t="shared" si="32"/>
        <v>0.19000036386129607</v>
      </c>
      <c r="AC39" s="194">
        <f t="shared" si="32"/>
        <v>0.19000036386129607</v>
      </c>
      <c r="AD39" s="194">
        <f t="shared" si="32"/>
        <v>0.19000036386129607</v>
      </c>
    </row>
    <row r="40" spans="3:33" x14ac:dyDescent="0.2">
      <c r="C40" s="10"/>
      <c r="D40" s="52" t="s">
        <v>19</v>
      </c>
      <c r="E40" s="53">
        <v>204.23</v>
      </c>
      <c r="F40" s="51">
        <v>236.72</v>
      </c>
      <c r="G40" s="10">
        <f>'[1]Form-II'!$G$30</f>
        <v>184.52</v>
      </c>
      <c r="H40" s="1">
        <v>224.83</v>
      </c>
      <c r="I40" s="1">
        <v>237.51</v>
      </c>
      <c r="J40" s="1">
        <v>234.28</v>
      </c>
      <c r="K40" s="2">
        <v>254.51</v>
      </c>
      <c r="L40" s="2">
        <v>365.66</v>
      </c>
      <c r="M40" s="2">
        <v>379.4</v>
      </c>
      <c r="N40" s="2">
        <v>359.38</v>
      </c>
      <c r="O40" s="2">
        <v>453.69</v>
      </c>
      <c r="P40" s="2">
        <v>555.46</v>
      </c>
      <c r="Q40" s="2">
        <v>562.49</v>
      </c>
      <c r="R40" s="2">
        <v>459.65</v>
      </c>
      <c r="S40" s="2">
        <v>498.23</v>
      </c>
      <c r="T40" s="106">
        <v>576.11</v>
      </c>
      <c r="U40" s="106">
        <v>295.76</v>
      </c>
      <c r="V40" s="106">
        <v>250.92</v>
      </c>
      <c r="W40" s="106">
        <f>ROUND(W18*3.25%,2)</f>
        <v>327.32</v>
      </c>
      <c r="X40" s="106">
        <f>ROUND(X18*3.5%,2)</f>
        <v>418.13</v>
      </c>
      <c r="Y40" s="106">
        <f t="shared" ref="Y40:AD40" si="33">ROUND(Y18*3.5%,2)</f>
        <v>480.95</v>
      </c>
      <c r="Z40" s="106">
        <f t="shared" si="33"/>
        <v>480.95</v>
      </c>
      <c r="AA40" s="106">
        <f t="shared" si="33"/>
        <v>480.95</v>
      </c>
      <c r="AB40" s="106">
        <f t="shared" si="33"/>
        <v>480.95</v>
      </c>
      <c r="AC40" s="106">
        <f t="shared" si="33"/>
        <v>480.95</v>
      </c>
      <c r="AD40" s="106">
        <f t="shared" si="33"/>
        <v>480.95</v>
      </c>
      <c r="AF40" s="5">
        <f>131.69+4.2+59.53</f>
        <v>195.42</v>
      </c>
      <c r="AG40" s="5">
        <f>AF40*$AG$67</f>
        <v>390.84</v>
      </c>
    </row>
    <row r="41" spans="3:33" x14ac:dyDescent="0.2">
      <c r="C41" s="10"/>
      <c r="D41" s="51"/>
      <c r="F41" s="51"/>
      <c r="G41" s="10"/>
      <c r="H41" s="60"/>
      <c r="I41" s="60"/>
      <c r="J41" s="60"/>
      <c r="K41" s="8"/>
      <c r="L41" s="35"/>
      <c r="M41" s="35"/>
      <c r="N41" s="35"/>
      <c r="O41" s="35"/>
      <c r="P41" s="35"/>
      <c r="Q41" s="35"/>
      <c r="R41" s="35"/>
      <c r="S41" s="35"/>
      <c r="T41" s="194">
        <f>T40/T18</f>
        <v>3.7431591558968517E-2</v>
      </c>
      <c r="U41" s="194">
        <f t="shared" ref="U41:V41" si="34">U40/U18</f>
        <v>3.5244894578726031E-2</v>
      </c>
      <c r="V41" s="194">
        <f t="shared" si="34"/>
        <v>3.2473650425527502E-2</v>
      </c>
      <c r="W41" s="194">
        <f>W40/W18</f>
        <v>3.2499627662215161E-2</v>
      </c>
      <c r="X41" s="194">
        <f>X40/X18</f>
        <v>3.500020926631231E-2</v>
      </c>
      <c r="Y41" s="194">
        <f t="shared" ref="Y41:AD41" si="35">Y40/Y18</f>
        <v>3.4999818069351964E-2</v>
      </c>
      <c r="Z41" s="194">
        <f t="shared" si="35"/>
        <v>3.4999818069351964E-2</v>
      </c>
      <c r="AA41" s="194">
        <f t="shared" si="35"/>
        <v>3.4999818069351964E-2</v>
      </c>
      <c r="AB41" s="194">
        <f t="shared" si="35"/>
        <v>3.4999818069351964E-2</v>
      </c>
      <c r="AC41" s="194">
        <f t="shared" si="35"/>
        <v>3.4999818069351964E-2</v>
      </c>
      <c r="AD41" s="194">
        <f t="shared" si="35"/>
        <v>3.4999818069351964E-2</v>
      </c>
    </row>
    <row r="42" spans="3:33" x14ac:dyDescent="0.2">
      <c r="C42" s="10"/>
      <c r="D42" s="52" t="s">
        <v>20</v>
      </c>
      <c r="E42" s="53">
        <v>40.450000000000003</v>
      </c>
      <c r="F42" s="51">
        <v>47.21</v>
      </c>
      <c r="G42" s="10">
        <v>56.48</v>
      </c>
      <c r="H42" s="1">
        <v>69.5</v>
      </c>
      <c r="I42" s="1">
        <v>75.98</v>
      </c>
      <c r="J42" s="1">
        <v>77.569999999999993</v>
      </c>
      <c r="K42" s="2">
        <v>88.16</v>
      </c>
      <c r="L42" s="1">
        <v>96.94</v>
      </c>
      <c r="M42" s="1">
        <v>112.5</v>
      </c>
      <c r="N42" s="1">
        <v>182.42</v>
      </c>
      <c r="O42" s="1">
        <v>272.29000000000002</v>
      </c>
      <c r="P42" s="1">
        <v>474.73</v>
      </c>
      <c r="Q42" s="1">
        <v>498.26</v>
      </c>
      <c r="R42" s="1">
        <v>433.43</v>
      </c>
      <c r="S42" s="1">
        <v>470.54</v>
      </c>
      <c r="T42" s="112">
        <v>428.66</v>
      </c>
      <c r="U42" s="112">
        <v>419.95</v>
      </c>
      <c r="V42" s="112">
        <v>402.34</v>
      </c>
      <c r="W42" s="106">
        <v>390</v>
      </c>
      <c r="X42" s="106">
        <v>390</v>
      </c>
      <c r="Y42" s="106">
        <f t="shared" ref="Y42:AD42" si="36">X42</f>
        <v>390</v>
      </c>
      <c r="Z42" s="106">
        <f t="shared" si="36"/>
        <v>390</v>
      </c>
      <c r="AA42" s="106">
        <f t="shared" si="36"/>
        <v>390</v>
      </c>
      <c r="AB42" s="106">
        <f t="shared" si="36"/>
        <v>390</v>
      </c>
      <c r="AC42" s="106">
        <f t="shared" si="36"/>
        <v>390</v>
      </c>
      <c r="AD42" s="106">
        <f t="shared" si="36"/>
        <v>390</v>
      </c>
    </row>
    <row r="43" spans="3:33" x14ac:dyDescent="0.2">
      <c r="C43" s="10"/>
      <c r="D43" s="29" t="s">
        <v>21</v>
      </c>
      <c r="E43" s="31">
        <f t="shared" ref="E43:S43" si="37">SUM(E25:E42)</f>
        <v>3188.16</v>
      </c>
      <c r="F43" s="31">
        <f t="shared" si="37"/>
        <v>4041.7000000000003</v>
      </c>
      <c r="G43" s="32">
        <f t="shared" si="37"/>
        <v>5273.37</v>
      </c>
      <c r="H43" s="38">
        <f t="shared" si="37"/>
        <v>6188.23</v>
      </c>
      <c r="I43" s="38">
        <f t="shared" si="37"/>
        <v>6814.17</v>
      </c>
      <c r="J43" s="39">
        <f t="shared" si="37"/>
        <v>7486.44</v>
      </c>
      <c r="K43" s="39">
        <f t="shared" si="37"/>
        <v>8124.28</v>
      </c>
      <c r="L43" s="39">
        <f t="shared" si="37"/>
        <v>9885.9600000000009</v>
      </c>
      <c r="M43" s="39">
        <f t="shared" si="37"/>
        <v>10544.33</v>
      </c>
      <c r="N43" s="39">
        <f t="shared" si="37"/>
        <v>10446.349999999999</v>
      </c>
      <c r="O43" s="39">
        <f t="shared" si="37"/>
        <v>10799.740000000002</v>
      </c>
      <c r="P43" s="39">
        <f t="shared" si="37"/>
        <v>13629.84</v>
      </c>
      <c r="Q43" s="39">
        <f t="shared" si="37"/>
        <v>13561.210000000001</v>
      </c>
      <c r="R43" s="39">
        <f t="shared" si="37"/>
        <v>10960.24</v>
      </c>
      <c r="S43" s="39">
        <f t="shared" si="37"/>
        <v>12035</v>
      </c>
      <c r="T43" s="154">
        <f t="shared" ref="T43:AD43" si="38">T30+T34+T36+T38+T40+T42</f>
        <v>14217.09</v>
      </c>
      <c r="U43" s="154">
        <f t="shared" si="38"/>
        <v>7956.66</v>
      </c>
      <c r="V43" s="154">
        <f t="shared" si="38"/>
        <v>7102.0900000000011</v>
      </c>
      <c r="W43" s="154">
        <f t="shared" si="38"/>
        <v>8485.2599999999984</v>
      </c>
      <c r="X43" s="154">
        <f t="shared" si="38"/>
        <v>10316.933499999999</v>
      </c>
      <c r="Y43" s="154">
        <f t="shared" si="38"/>
        <v>11637.0285</v>
      </c>
      <c r="Z43" s="154">
        <f t="shared" si="38"/>
        <v>11637.0285</v>
      </c>
      <c r="AA43" s="154">
        <f t="shared" si="38"/>
        <v>11637.0285</v>
      </c>
      <c r="AB43" s="154">
        <f t="shared" si="38"/>
        <v>11637.0285</v>
      </c>
      <c r="AC43" s="154">
        <f t="shared" si="38"/>
        <v>11637.0285</v>
      </c>
      <c r="AD43" s="154">
        <f t="shared" si="38"/>
        <v>11637.0285</v>
      </c>
    </row>
    <row r="44" spans="3:33" x14ac:dyDescent="0.2">
      <c r="C44" s="10"/>
      <c r="D44" s="29"/>
      <c r="E44" s="31"/>
      <c r="F44" s="31"/>
      <c r="G44" s="32"/>
      <c r="H44" s="38"/>
      <c r="I44" s="40"/>
      <c r="J44" s="40"/>
      <c r="K44" s="39"/>
      <c r="L44" s="40"/>
      <c r="M44" s="40"/>
      <c r="N44" s="40"/>
      <c r="O44" s="40"/>
      <c r="P44" s="40"/>
      <c r="Q44" s="40"/>
      <c r="R44" s="40"/>
      <c r="S44" s="40"/>
      <c r="T44" s="41"/>
      <c r="U44" s="41"/>
      <c r="V44" s="41"/>
      <c r="W44" s="289"/>
      <c r="X44" s="289"/>
      <c r="Y44" s="289"/>
      <c r="Z44" s="289"/>
      <c r="AA44" s="289"/>
      <c r="AB44" s="289"/>
      <c r="AC44" s="289"/>
      <c r="AD44" s="289"/>
    </row>
    <row r="45" spans="3:33" x14ac:dyDescent="0.2">
      <c r="C45" s="10"/>
      <c r="D45" s="29"/>
      <c r="E45" s="31"/>
      <c r="F45" s="31"/>
      <c r="G45" s="32"/>
      <c r="H45" s="38"/>
      <c r="I45" s="40"/>
      <c r="J45" s="40"/>
      <c r="K45" s="39"/>
      <c r="L45" s="40"/>
      <c r="M45" s="40"/>
      <c r="N45" s="40"/>
      <c r="O45" s="40"/>
      <c r="P45" s="40"/>
      <c r="Q45" s="40"/>
      <c r="R45" s="40"/>
      <c r="S45" s="40"/>
      <c r="T45" s="41"/>
      <c r="U45" s="41"/>
      <c r="V45" s="41"/>
      <c r="W45" s="289"/>
      <c r="X45" s="289"/>
      <c r="Y45" s="289"/>
      <c r="Z45" s="289"/>
      <c r="AA45" s="289"/>
      <c r="AB45" s="289"/>
      <c r="AC45" s="289"/>
      <c r="AD45" s="289"/>
    </row>
    <row r="46" spans="3:33" x14ac:dyDescent="0.2">
      <c r="C46" s="10"/>
      <c r="D46" s="29"/>
      <c r="E46" s="31"/>
      <c r="F46" s="31"/>
      <c r="G46" s="32"/>
      <c r="H46" s="38"/>
      <c r="I46" s="40"/>
      <c r="J46" s="40"/>
      <c r="K46" s="39"/>
      <c r="L46" s="40"/>
      <c r="M46" s="40"/>
      <c r="N46" s="40"/>
      <c r="O46" s="40"/>
      <c r="P46" s="40"/>
      <c r="Q46" s="40"/>
      <c r="R46" s="40"/>
      <c r="S46" s="40"/>
      <c r="T46" s="41"/>
      <c r="U46" s="41"/>
      <c r="V46" s="41"/>
      <c r="W46" s="289"/>
      <c r="X46" s="289"/>
      <c r="Y46" s="289"/>
      <c r="Z46" s="289"/>
      <c r="AA46" s="289"/>
      <c r="AB46" s="289"/>
      <c r="AC46" s="289"/>
      <c r="AD46" s="289"/>
    </row>
    <row r="47" spans="3:33" x14ac:dyDescent="0.2">
      <c r="C47" s="10"/>
      <c r="D47" s="29"/>
      <c r="E47" s="31"/>
      <c r="F47" s="31"/>
      <c r="G47" s="32"/>
      <c r="H47" s="38"/>
      <c r="I47" s="40"/>
      <c r="J47" s="40"/>
      <c r="K47" s="39"/>
      <c r="L47" s="40"/>
      <c r="M47" s="40"/>
      <c r="N47" s="40"/>
      <c r="O47" s="40"/>
      <c r="P47" s="40"/>
      <c r="Q47" s="40"/>
      <c r="R47" s="40"/>
      <c r="S47" s="40"/>
      <c r="T47" s="41"/>
      <c r="U47" s="41"/>
      <c r="V47" s="41"/>
      <c r="W47" s="289"/>
      <c r="X47" s="289"/>
      <c r="Y47" s="289"/>
      <c r="Z47" s="289"/>
      <c r="AA47" s="289"/>
      <c r="AB47" s="289"/>
      <c r="AC47" s="289"/>
      <c r="AD47" s="289"/>
    </row>
    <row r="48" spans="3:33" x14ac:dyDescent="0.2">
      <c r="C48" s="10"/>
      <c r="D48" s="29"/>
      <c r="E48" s="31"/>
      <c r="F48" s="31"/>
      <c r="G48" s="32"/>
      <c r="H48" s="38"/>
      <c r="I48" s="40"/>
      <c r="J48" s="40"/>
      <c r="K48" s="39"/>
      <c r="L48" s="40"/>
      <c r="M48" s="40"/>
      <c r="N48" s="40"/>
      <c r="O48" s="40"/>
      <c r="P48" s="40"/>
      <c r="Q48" s="40"/>
      <c r="R48" s="40"/>
      <c r="S48" s="40"/>
      <c r="T48" s="41"/>
      <c r="U48" s="41"/>
      <c r="V48" s="41"/>
      <c r="W48" s="289"/>
      <c r="X48" s="289"/>
      <c r="Y48" s="289"/>
      <c r="Z48" s="289"/>
      <c r="AA48" s="289"/>
      <c r="AB48" s="289"/>
      <c r="AC48" s="289"/>
      <c r="AD48" s="289"/>
    </row>
    <row r="49" spans="3:39" x14ac:dyDescent="0.2">
      <c r="C49" s="10"/>
      <c r="D49" s="29"/>
      <c r="E49" s="31"/>
      <c r="F49" s="31"/>
      <c r="G49" s="32"/>
      <c r="H49" s="38"/>
      <c r="I49" s="40"/>
      <c r="J49" s="40"/>
      <c r="K49" s="39"/>
      <c r="L49" s="40"/>
      <c r="M49" s="40"/>
      <c r="N49" s="40"/>
      <c r="O49" s="40"/>
      <c r="P49" s="40"/>
      <c r="Q49" s="40"/>
      <c r="R49" s="40"/>
      <c r="S49" s="40"/>
      <c r="T49" s="41"/>
      <c r="U49" s="41"/>
      <c r="V49" s="41"/>
      <c r="W49" s="289"/>
      <c r="X49" s="289"/>
      <c r="Y49" s="289"/>
      <c r="Z49" s="289"/>
      <c r="AA49" s="289"/>
      <c r="AB49" s="289"/>
      <c r="AC49" s="289"/>
      <c r="AD49" s="289"/>
    </row>
    <row r="50" spans="3:39" ht="15.75" x14ac:dyDescent="0.25">
      <c r="C50" s="10"/>
      <c r="D50" s="12" t="s">
        <v>302</v>
      </c>
      <c r="E50" s="31"/>
      <c r="F50" s="31"/>
      <c r="G50" s="32"/>
      <c r="H50" s="38"/>
      <c r="I50" s="40"/>
      <c r="J50" s="40"/>
      <c r="K50" s="39"/>
      <c r="L50" s="40"/>
      <c r="M50" s="40"/>
      <c r="N50" s="40"/>
      <c r="O50" s="40"/>
      <c r="P50" s="40"/>
      <c r="Q50" s="40"/>
      <c r="R50" s="40"/>
      <c r="S50" s="40"/>
      <c r="T50" s="41"/>
      <c r="U50" s="41"/>
      <c r="V50" s="41"/>
      <c r="W50" s="289"/>
      <c r="X50" s="289"/>
      <c r="Y50" s="289"/>
      <c r="Z50" s="289"/>
      <c r="AA50" s="289"/>
      <c r="AB50" s="289"/>
      <c r="AC50" s="289"/>
      <c r="AD50" s="289"/>
    </row>
    <row r="51" spans="3:39" x14ac:dyDescent="0.2">
      <c r="C51" s="10"/>
      <c r="D51" s="29"/>
      <c r="E51" s="31"/>
      <c r="F51" s="31"/>
      <c r="G51" s="32"/>
      <c r="H51" s="38"/>
      <c r="I51" s="40"/>
      <c r="J51" s="40"/>
      <c r="K51" s="39"/>
      <c r="L51" s="40"/>
      <c r="M51" s="40"/>
      <c r="N51" s="40"/>
      <c r="O51" s="40"/>
      <c r="P51" s="40"/>
      <c r="Q51" s="40"/>
      <c r="R51" s="40"/>
      <c r="S51" s="40"/>
      <c r="T51" s="41"/>
      <c r="U51" s="41"/>
      <c r="V51" s="41"/>
      <c r="W51" s="289"/>
      <c r="X51" s="289"/>
      <c r="Y51" s="289"/>
      <c r="Z51" s="289"/>
      <c r="AA51" s="289"/>
      <c r="AB51" s="289"/>
      <c r="AC51" s="289"/>
      <c r="AD51" s="289"/>
    </row>
    <row r="52" spans="3:39" x14ac:dyDescent="0.2">
      <c r="C52" s="10"/>
      <c r="D52" s="52" t="s">
        <v>22</v>
      </c>
      <c r="E52" s="51">
        <v>37.94</v>
      </c>
      <c r="F52" s="51">
        <f>E56</f>
        <v>55.37</v>
      </c>
      <c r="G52" s="10">
        <v>88.14</v>
      </c>
      <c r="H52" s="61">
        <v>136.26</v>
      </c>
      <c r="I52" s="61">
        <f>H56</f>
        <v>153.03</v>
      </c>
      <c r="J52" s="61">
        <f>I56</f>
        <v>207.88</v>
      </c>
      <c r="K52" s="61">
        <f>J56</f>
        <v>59.08</v>
      </c>
      <c r="L52" s="61">
        <f>K56</f>
        <v>106.87</v>
      </c>
      <c r="M52" s="61">
        <f>L56</f>
        <v>172.86</v>
      </c>
      <c r="N52" s="61">
        <v>387.43</v>
      </c>
      <c r="O52" s="61">
        <f>N56</f>
        <v>265.66000000000003</v>
      </c>
      <c r="P52" s="61">
        <f>O56</f>
        <v>314.89</v>
      </c>
      <c r="Q52" s="61">
        <f>P56</f>
        <v>418.75</v>
      </c>
      <c r="R52" s="61">
        <f>Q56</f>
        <v>315</v>
      </c>
      <c r="S52" s="62">
        <f>225.99+175.05</f>
        <v>401.04</v>
      </c>
      <c r="T52" s="195">
        <f t="shared" ref="T52:Y52" si="39">S56</f>
        <v>471.47</v>
      </c>
      <c r="U52" s="195">
        <f t="shared" si="39"/>
        <v>537.86</v>
      </c>
      <c r="V52" s="195">
        <f t="shared" si="39"/>
        <v>880.25</v>
      </c>
      <c r="W52" s="107">
        <f t="shared" si="39"/>
        <v>1049.33</v>
      </c>
      <c r="X52" s="107">
        <f t="shared" si="39"/>
        <v>750</v>
      </c>
      <c r="Y52" s="107">
        <f t="shared" si="39"/>
        <v>750</v>
      </c>
      <c r="Z52" s="107">
        <f>Y56</f>
        <v>750</v>
      </c>
      <c r="AA52" s="107">
        <f>Z56</f>
        <v>750</v>
      </c>
      <c r="AB52" s="107">
        <f>AA56</f>
        <v>750</v>
      </c>
      <c r="AC52" s="107">
        <f>AB56</f>
        <v>750</v>
      </c>
      <c r="AD52" s="107">
        <f>AC56</f>
        <v>750</v>
      </c>
    </row>
    <row r="53" spans="3:39" x14ac:dyDescent="0.2">
      <c r="C53" s="10"/>
      <c r="D53" s="51"/>
      <c r="E53" s="51"/>
      <c r="F53" s="51"/>
      <c r="G53" s="10"/>
      <c r="H53" s="60"/>
      <c r="I53" s="60"/>
      <c r="J53" s="35"/>
      <c r="K53" s="8"/>
      <c r="L53" s="35"/>
      <c r="M53" s="35"/>
      <c r="N53" s="35"/>
      <c r="O53" s="35"/>
      <c r="P53" s="35"/>
      <c r="Q53" s="35"/>
      <c r="R53" s="35"/>
      <c r="S53" s="35"/>
      <c r="T53" s="109"/>
      <c r="U53" s="109"/>
      <c r="V53" s="109"/>
      <c r="W53" s="107"/>
      <c r="X53" s="107"/>
      <c r="Y53" s="107"/>
      <c r="Z53" s="107"/>
      <c r="AA53" s="107"/>
      <c r="AB53" s="107"/>
      <c r="AC53" s="107"/>
      <c r="AD53" s="107"/>
    </row>
    <row r="54" spans="3:39" x14ac:dyDescent="0.2">
      <c r="C54" s="10"/>
      <c r="D54" s="52" t="s">
        <v>23</v>
      </c>
      <c r="E54" s="51">
        <f t="shared" ref="E54:N54" si="40">E43+E52</f>
        <v>3226.1</v>
      </c>
      <c r="F54" s="51">
        <f t="shared" si="40"/>
        <v>4097.0700000000006</v>
      </c>
      <c r="G54" s="57">
        <f t="shared" si="40"/>
        <v>5361.51</v>
      </c>
      <c r="H54" s="59">
        <f t="shared" si="40"/>
        <v>6324.49</v>
      </c>
      <c r="I54" s="2">
        <f t="shared" si="40"/>
        <v>6967.2</v>
      </c>
      <c r="J54" s="2">
        <f t="shared" si="40"/>
        <v>7694.32</v>
      </c>
      <c r="K54" s="2">
        <f t="shared" si="40"/>
        <v>8183.36</v>
      </c>
      <c r="L54" s="2">
        <f t="shared" si="40"/>
        <v>9992.8300000000017</v>
      </c>
      <c r="M54" s="2">
        <f t="shared" si="40"/>
        <v>10717.19</v>
      </c>
      <c r="N54" s="2">
        <f t="shared" si="40"/>
        <v>10833.779999999999</v>
      </c>
      <c r="O54" s="2">
        <f t="shared" ref="O54:U54" si="41">O43+O52</f>
        <v>11065.400000000001</v>
      </c>
      <c r="P54" s="2">
        <f t="shared" si="41"/>
        <v>13944.73</v>
      </c>
      <c r="Q54" s="2">
        <f t="shared" si="41"/>
        <v>13979.960000000001</v>
      </c>
      <c r="R54" s="2">
        <f t="shared" si="41"/>
        <v>11275.24</v>
      </c>
      <c r="S54" s="2">
        <f t="shared" si="41"/>
        <v>12436.04</v>
      </c>
      <c r="T54" s="106">
        <f t="shared" si="41"/>
        <v>14688.56</v>
      </c>
      <c r="U54" s="106">
        <f t="shared" si="41"/>
        <v>8494.52</v>
      </c>
      <c r="V54" s="106">
        <f t="shared" ref="V54:AD54" si="42">V43+V52</f>
        <v>7982.3400000000011</v>
      </c>
      <c r="W54" s="106">
        <f t="shared" si="42"/>
        <v>9534.5899999999983</v>
      </c>
      <c r="X54" s="106">
        <f t="shared" si="42"/>
        <v>11066.933499999999</v>
      </c>
      <c r="Y54" s="106">
        <f t="shared" si="42"/>
        <v>12387.0285</v>
      </c>
      <c r="Z54" s="106">
        <f t="shared" si="42"/>
        <v>12387.0285</v>
      </c>
      <c r="AA54" s="106">
        <f t="shared" si="42"/>
        <v>12387.0285</v>
      </c>
      <c r="AB54" s="106">
        <f t="shared" si="42"/>
        <v>12387.0285</v>
      </c>
      <c r="AC54" s="106">
        <f t="shared" si="42"/>
        <v>12387.0285</v>
      </c>
      <c r="AD54" s="106">
        <f t="shared" si="42"/>
        <v>12387.0285</v>
      </c>
    </row>
    <row r="55" spans="3:39" x14ac:dyDescent="0.2">
      <c r="C55" s="10"/>
      <c r="D55" s="51"/>
      <c r="E55" s="51"/>
      <c r="F55" s="51"/>
      <c r="G55" s="10"/>
      <c r="H55" s="60"/>
      <c r="I55" s="60"/>
      <c r="J55" s="35"/>
      <c r="K55" s="8"/>
      <c r="L55" s="35"/>
      <c r="M55" s="35"/>
      <c r="N55" s="35"/>
      <c r="O55" s="35"/>
      <c r="P55" s="35"/>
      <c r="Q55" s="35"/>
      <c r="R55" s="35"/>
      <c r="S55" s="35"/>
      <c r="T55" s="109"/>
      <c r="U55" s="109"/>
      <c r="V55" s="109"/>
      <c r="W55" s="107"/>
      <c r="X55" s="107"/>
      <c r="Y55" s="107"/>
      <c r="Z55" s="107"/>
      <c r="AA55" s="107"/>
      <c r="AB55" s="107"/>
      <c r="AC55" s="107"/>
      <c r="AD55" s="107"/>
    </row>
    <row r="56" spans="3:39" x14ac:dyDescent="0.2">
      <c r="C56" s="10"/>
      <c r="D56" s="52" t="s">
        <v>24</v>
      </c>
      <c r="E56" s="51">
        <v>55.37</v>
      </c>
      <c r="F56" s="51">
        <v>88.14</v>
      </c>
      <c r="G56" s="10">
        <f>'[1]Form-II'!$G$36</f>
        <v>150.36000000000001</v>
      </c>
      <c r="H56" s="1">
        <v>153.03</v>
      </c>
      <c r="I56" s="1">
        <v>207.88</v>
      </c>
      <c r="J56" s="1">
        <v>59.08</v>
      </c>
      <c r="K56" s="2">
        <v>106.87</v>
      </c>
      <c r="L56" s="1">
        <v>172.86</v>
      </c>
      <c r="M56" s="1">
        <v>223.64</v>
      </c>
      <c r="N56" s="1">
        <v>265.66000000000003</v>
      </c>
      <c r="O56" s="1">
        <v>314.89</v>
      </c>
      <c r="P56" s="1">
        <v>418.75</v>
      </c>
      <c r="Q56" s="1">
        <v>315</v>
      </c>
      <c r="R56" s="4">
        <v>401.04</v>
      </c>
      <c r="S56" s="4">
        <v>471.47</v>
      </c>
      <c r="T56" s="124">
        <v>537.86</v>
      </c>
      <c r="U56" s="124">
        <v>880.25</v>
      </c>
      <c r="V56" s="124">
        <v>1049.33</v>
      </c>
      <c r="W56" s="106">
        <f>'FORM - IV'!V27</f>
        <v>750</v>
      </c>
      <c r="X56" s="106">
        <f>'FORM - IV'!W27</f>
        <v>750</v>
      </c>
      <c r="Y56" s="106">
        <f>'FORM - IV'!X27</f>
        <v>750</v>
      </c>
      <c r="Z56" s="106">
        <f>'FORM - IV'!Y27</f>
        <v>750</v>
      </c>
      <c r="AA56" s="106">
        <f>'FORM - IV'!Z27</f>
        <v>750</v>
      </c>
      <c r="AB56" s="106">
        <f>'FORM - IV'!AA27</f>
        <v>750</v>
      </c>
      <c r="AC56" s="106">
        <f>'FORM - IV'!AB27</f>
        <v>750</v>
      </c>
      <c r="AD56" s="106">
        <f>'FORM - IV'!AC27</f>
        <v>750</v>
      </c>
    </row>
    <row r="57" spans="3:39" x14ac:dyDescent="0.2">
      <c r="C57" s="10"/>
      <c r="D57" s="51"/>
      <c r="E57" s="51"/>
      <c r="F57" s="51"/>
      <c r="G57" s="10"/>
      <c r="H57" s="60"/>
      <c r="I57" s="60"/>
      <c r="J57" s="35"/>
      <c r="K57" s="8"/>
      <c r="L57" s="35"/>
      <c r="M57" s="35"/>
      <c r="N57" s="35"/>
      <c r="O57" s="35"/>
      <c r="P57" s="35"/>
      <c r="Q57" s="35"/>
      <c r="R57" s="35"/>
      <c r="S57" s="35"/>
      <c r="T57" s="109"/>
      <c r="U57" s="109"/>
      <c r="V57" s="109"/>
      <c r="W57" s="107"/>
      <c r="X57" s="107"/>
      <c r="Y57" s="107"/>
      <c r="Z57" s="107"/>
      <c r="AA57" s="107"/>
      <c r="AB57" s="107"/>
      <c r="AC57" s="107"/>
      <c r="AD57" s="107"/>
    </row>
    <row r="58" spans="3:39" x14ac:dyDescent="0.2">
      <c r="C58" s="10"/>
      <c r="D58" s="29" t="s">
        <v>25</v>
      </c>
      <c r="E58" s="31">
        <f t="shared" ref="E58:L58" si="43">E54-E56</f>
        <v>3170.73</v>
      </c>
      <c r="F58" s="31">
        <f t="shared" si="43"/>
        <v>4008.9300000000007</v>
      </c>
      <c r="G58" s="32">
        <f t="shared" si="43"/>
        <v>5211.1500000000005</v>
      </c>
      <c r="H58" s="39">
        <f t="shared" si="43"/>
        <v>6171.46</v>
      </c>
      <c r="I58" s="39">
        <f t="shared" si="43"/>
        <v>6759.32</v>
      </c>
      <c r="J58" s="39">
        <f t="shared" si="43"/>
        <v>7635.24</v>
      </c>
      <c r="K58" s="39">
        <f t="shared" si="43"/>
        <v>8076.49</v>
      </c>
      <c r="L58" s="39">
        <f t="shared" si="43"/>
        <v>9819.9700000000012</v>
      </c>
      <c r="M58" s="39">
        <f>M54-M56</f>
        <v>10493.550000000001</v>
      </c>
      <c r="N58" s="39">
        <f>N54-N56</f>
        <v>10568.119999999999</v>
      </c>
      <c r="O58" s="39">
        <f t="shared" ref="O58:U58" si="44">O54-O56</f>
        <v>10750.510000000002</v>
      </c>
      <c r="P58" s="39">
        <f t="shared" si="44"/>
        <v>13525.98</v>
      </c>
      <c r="Q58" s="39">
        <f t="shared" si="44"/>
        <v>13664.960000000001</v>
      </c>
      <c r="R58" s="39">
        <f t="shared" si="44"/>
        <v>10874.199999999999</v>
      </c>
      <c r="S58" s="39">
        <f t="shared" si="44"/>
        <v>11964.570000000002</v>
      </c>
      <c r="T58" s="154">
        <f t="shared" si="44"/>
        <v>14150.699999999999</v>
      </c>
      <c r="U58" s="154">
        <f t="shared" si="44"/>
        <v>7614.27</v>
      </c>
      <c r="V58" s="154">
        <f t="shared" ref="V58:AD58" si="45">V54-V56</f>
        <v>6933.0100000000011</v>
      </c>
      <c r="W58" s="154">
        <f t="shared" si="45"/>
        <v>8784.5899999999983</v>
      </c>
      <c r="X58" s="154">
        <f t="shared" si="45"/>
        <v>10316.933499999999</v>
      </c>
      <c r="Y58" s="154">
        <f t="shared" si="45"/>
        <v>11637.0285</v>
      </c>
      <c r="Z58" s="154">
        <f t="shared" si="45"/>
        <v>11637.0285</v>
      </c>
      <c r="AA58" s="154">
        <f t="shared" si="45"/>
        <v>11637.0285</v>
      </c>
      <c r="AB58" s="154">
        <f t="shared" si="45"/>
        <v>11637.0285</v>
      </c>
      <c r="AC58" s="154">
        <f t="shared" si="45"/>
        <v>11637.0285</v>
      </c>
      <c r="AD58" s="154">
        <f t="shared" si="45"/>
        <v>11637.0285</v>
      </c>
    </row>
    <row r="59" spans="3:39" x14ac:dyDescent="0.2">
      <c r="C59" s="10"/>
      <c r="D59" s="51"/>
      <c r="E59" s="51"/>
      <c r="F59" s="51"/>
      <c r="G59" s="10"/>
      <c r="H59" s="60"/>
      <c r="I59" s="60"/>
      <c r="J59" s="35"/>
      <c r="K59" s="8"/>
      <c r="L59" s="35"/>
      <c r="M59" s="35"/>
      <c r="N59" s="35"/>
      <c r="O59" s="35"/>
      <c r="P59" s="35"/>
      <c r="Q59" s="35"/>
      <c r="R59" s="35"/>
      <c r="S59" s="35"/>
      <c r="T59" s="109"/>
      <c r="U59" s="109"/>
      <c r="V59" s="109"/>
      <c r="W59" s="107"/>
      <c r="X59" s="107"/>
      <c r="Y59" s="107"/>
      <c r="Z59" s="107"/>
      <c r="AA59" s="107"/>
      <c r="AB59" s="107"/>
      <c r="AC59" s="107"/>
      <c r="AD59" s="107"/>
    </row>
    <row r="60" spans="3:39" x14ac:dyDescent="0.2">
      <c r="C60" s="10"/>
      <c r="D60" s="52" t="s">
        <v>49</v>
      </c>
      <c r="E60" s="51">
        <v>96.85</v>
      </c>
      <c r="F60" s="51">
        <v>84.02</v>
      </c>
      <c r="G60" s="10">
        <v>70.37</v>
      </c>
      <c r="H60" s="1">
        <v>99.4</v>
      </c>
      <c r="I60" s="1">
        <f>H64</f>
        <v>150.03</v>
      </c>
      <c r="J60" s="1">
        <f>I64</f>
        <v>157.41999999999999</v>
      </c>
      <c r="K60" s="1">
        <f>J64</f>
        <v>230.61</v>
      </c>
      <c r="L60" s="1">
        <f>K64</f>
        <v>196.69</v>
      </c>
      <c r="M60" s="1">
        <f>L64</f>
        <v>433.35</v>
      </c>
      <c r="N60" s="1">
        <v>428.13</v>
      </c>
      <c r="O60" s="1">
        <f>N64</f>
        <v>568.33000000000004</v>
      </c>
      <c r="P60" s="4">
        <f>O64</f>
        <v>611.53</v>
      </c>
      <c r="Q60" s="4">
        <f>P64</f>
        <v>692.02</v>
      </c>
      <c r="R60" s="4">
        <f>Q64</f>
        <v>511.48</v>
      </c>
      <c r="S60" s="4">
        <f>562.42+19.43</f>
        <v>581.84999999999991</v>
      </c>
      <c r="T60" s="124">
        <f t="shared" ref="T60:Y60" si="46">S64</f>
        <v>643.22</v>
      </c>
      <c r="U60" s="124">
        <f t="shared" si="46"/>
        <v>1090.93</v>
      </c>
      <c r="V60" s="124">
        <f t="shared" si="46"/>
        <v>1242.49</v>
      </c>
      <c r="W60" s="106">
        <f t="shared" si="46"/>
        <v>1313.68</v>
      </c>
      <c r="X60" s="106">
        <f t="shared" si="46"/>
        <v>900</v>
      </c>
      <c r="Y60" s="106">
        <f t="shared" si="46"/>
        <v>1050</v>
      </c>
      <c r="Z60" s="106">
        <f>Y64</f>
        <v>1050</v>
      </c>
      <c r="AA60" s="106">
        <f>Z64</f>
        <v>1050</v>
      </c>
      <c r="AB60" s="106">
        <f>AA64</f>
        <v>1050</v>
      </c>
      <c r="AC60" s="106">
        <f>AB64</f>
        <v>1050</v>
      </c>
      <c r="AD60" s="106">
        <f>AC64</f>
        <v>1050</v>
      </c>
    </row>
    <row r="61" spans="3:39" x14ac:dyDescent="0.2">
      <c r="C61" s="10"/>
      <c r="D61" s="51"/>
      <c r="E61" s="51"/>
      <c r="F61" s="51"/>
      <c r="G61" s="10"/>
      <c r="H61" s="60"/>
      <c r="I61" s="60"/>
      <c r="J61" s="35"/>
      <c r="K61" s="8"/>
      <c r="L61" s="35"/>
      <c r="M61" s="35"/>
      <c r="N61" s="35"/>
      <c r="O61" s="35"/>
      <c r="P61" s="35"/>
      <c r="Q61" s="35"/>
      <c r="R61" s="35"/>
      <c r="S61" s="35"/>
      <c r="T61" s="109"/>
      <c r="U61" s="109"/>
      <c r="V61" s="109"/>
      <c r="W61" s="107"/>
      <c r="X61" s="107"/>
      <c r="Y61" s="107"/>
      <c r="Z61" s="107"/>
      <c r="AA61" s="107"/>
      <c r="AB61" s="107"/>
      <c r="AC61" s="107"/>
      <c r="AD61" s="107"/>
    </row>
    <row r="62" spans="3:39" x14ac:dyDescent="0.2">
      <c r="C62" s="10"/>
      <c r="D62" s="52" t="s">
        <v>26</v>
      </c>
      <c r="E62" s="51">
        <f t="shared" ref="E62:L62" si="47">E58+E60</f>
        <v>3267.58</v>
      </c>
      <c r="F62" s="51">
        <f t="shared" si="47"/>
        <v>4092.9500000000007</v>
      </c>
      <c r="G62" s="57">
        <f t="shared" si="47"/>
        <v>5281.52</v>
      </c>
      <c r="H62" s="2">
        <f t="shared" si="47"/>
        <v>6270.86</v>
      </c>
      <c r="I62" s="2">
        <f t="shared" si="47"/>
        <v>6909.3499999999995</v>
      </c>
      <c r="J62" s="2">
        <f t="shared" si="47"/>
        <v>7792.66</v>
      </c>
      <c r="K62" s="2">
        <f t="shared" si="47"/>
        <v>8307.1</v>
      </c>
      <c r="L62" s="2">
        <f t="shared" si="47"/>
        <v>10016.660000000002</v>
      </c>
      <c r="M62" s="2">
        <f>M58+M60</f>
        <v>10926.900000000001</v>
      </c>
      <c r="N62" s="2">
        <f>N58+N60</f>
        <v>10996.249999999998</v>
      </c>
      <c r="O62" s="2">
        <f t="shared" ref="O62:U62" si="48">O58+O60</f>
        <v>11318.840000000002</v>
      </c>
      <c r="P62" s="2">
        <f t="shared" si="48"/>
        <v>14137.51</v>
      </c>
      <c r="Q62" s="2">
        <f t="shared" si="48"/>
        <v>14356.980000000001</v>
      </c>
      <c r="R62" s="2">
        <f t="shared" si="48"/>
        <v>11385.679999999998</v>
      </c>
      <c r="S62" s="2">
        <f t="shared" si="48"/>
        <v>12546.420000000002</v>
      </c>
      <c r="T62" s="106">
        <f t="shared" si="48"/>
        <v>14793.919999999998</v>
      </c>
      <c r="U62" s="106">
        <f t="shared" si="48"/>
        <v>8705.2000000000007</v>
      </c>
      <c r="V62" s="106">
        <f t="shared" ref="V62:AD62" si="49">V58+V60</f>
        <v>8175.5000000000009</v>
      </c>
      <c r="W62" s="106">
        <f t="shared" si="49"/>
        <v>10098.269999999999</v>
      </c>
      <c r="X62" s="106">
        <f t="shared" si="49"/>
        <v>11216.933499999999</v>
      </c>
      <c r="Y62" s="106">
        <f t="shared" si="49"/>
        <v>12687.0285</v>
      </c>
      <c r="Z62" s="106">
        <f t="shared" si="49"/>
        <v>12687.0285</v>
      </c>
      <c r="AA62" s="106">
        <f t="shared" si="49"/>
        <v>12687.0285</v>
      </c>
      <c r="AB62" s="106">
        <f t="shared" si="49"/>
        <v>12687.0285</v>
      </c>
      <c r="AC62" s="106">
        <f t="shared" si="49"/>
        <v>12687.0285</v>
      </c>
      <c r="AD62" s="106">
        <f t="shared" si="49"/>
        <v>12687.0285</v>
      </c>
    </row>
    <row r="63" spans="3:39" x14ac:dyDescent="0.2">
      <c r="C63" s="10"/>
      <c r="D63" s="51"/>
      <c r="E63" s="51"/>
      <c r="F63" s="51"/>
      <c r="G63" s="10"/>
      <c r="H63" s="60"/>
      <c r="I63" s="60"/>
      <c r="J63" s="35"/>
      <c r="K63" s="8"/>
      <c r="L63" s="35"/>
      <c r="M63" s="35"/>
      <c r="N63" s="35"/>
      <c r="O63" s="35"/>
      <c r="P63" s="35"/>
      <c r="Q63" s="35"/>
      <c r="R63" s="35"/>
      <c r="S63" s="35"/>
      <c r="T63" s="109"/>
      <c r="U63" s="109"/>
      <c r="V63" s="109"/>
      <c r="W63" s="107"/>
      <c r="X63" s="107"/>
      <c r="Y63" s="107"/>
      <c r="Z63" s="107"/>
      <c r="AA63" s="107"/>
      <c r="AB63" s="107"/>
      <c r="AC63" s="107"/>
      <c r="AD63" s="107"/>
    </row>
    <row r="64" spans="3:39" x14ac:dyDescent="0.2">
      <c r="C64" s="10"/>
      <c r="D64" s="52" t="s">
        <v>48</v>
      </c>
      <c r="E64" s="51">
        <v>84.02</v>
      </c>
      <c r="F64" s="51">
        <v>70.37</v>
      </c>
      <c r="G64" s="10">
        <f>'[1]Form-II'!$G$40</f>
        <v>120.23</v>
      </c>
      <c r="H64" s="1">
        <v>150.03</v>
      </c>
      <c r="I64" s="1">
        <v>157.41999999999999</v>
      </c>
      <c r="J64" s="1">
        <v>230.61</v>
      </c>
      <c r="K64" s="2">
        <v>196.69</v>
      </c>
      <c r="L64" s="1">
        <v>433.35</v>
      </c>
      <c r="M64" s="1">
        <v>415.87</v>
      </c>
      <c r="N64" s="1">
        <v>568.33000000000004</v>
      </c>
      <c r="O64" s="4">
        <v>611.53</v>
      </c>
      <c r="P64" s="4">
        <v>692.02</v>
      </c>
      <c r="Q64" s="4">
        <v>511.48</v>
      </c>
      <c r="R64" s="4">
        <v>581.85</v>
      </c>
      <c r="S64" s="4">
        <v>643.22</v>
      </c>
      <c r="T64" s="124">
        <v>1090.93</v>
      </c>
      <c r="U64" s="124">
        <v>1242.49</v>
      </c>
      <c r="V64" s="124">
        <v>1313.68</v>
      </c>
      <c r="W64" s="106">
        <f>'FORM - IV'!V30</f>
        <v>900</v>
      </c>
      <c r="X64" s="106">
        <f>'FORM - IV'!W30</f>
        <v>1050</v>
      </c>
      <c r="Y64" s="106">
        <f>'FORM - IV'!X30</f>
        <v>1050</v>
      </c>
      <c r="Z64" s="106">
        <f>'FORM - IV'!Y30</f>
        <v>1050</v>
      </c>
      <c r="AA64" s="106">
        <f>'FORM - IV'!Z30</f>
        <v>1050</v>
      </c>
      <c r="AB64" s="106">
        <f>'FORM - IV'!AA30</f>
        <v>1050</v>
      </c>
      <c r="AC64" s="106">
        <f>'FORM - IV'!AB30</f>
        <v>1050</v>
      </c>
      <c r="AD64" s="106">
        <f>'FORM - IV'!AC30</f>
        <v>1050</v>
      </c>
      <c r="AI64" s="78">
        <f t="shared" ref="AI64:AL64" si="50">Z52-Z56+Z60-Z64</f>
        <v>0</v>
      </c>
      <c r="AJ64" s="78">
        <f t="shared" si="50"/>
        <v>0</v>
      </c>
      <c r="AK64" s="78">
        <f t="shared" si="50"/>
        <v>0</v>
      </c>
      <c r="AL64" s="78">
        <f t="shared" si="50"/>
        <v>0</v>
      </c>
      <c r="AM64" s="78">
        <f>AD52-AD56+AD60-AD64</f>
        <v>0</v>
      </c>
    </row>
    <row r="65" spans="3:39" x14ac:dyDescent="0.2">
      <c r="C65" s="10"/>
      <c r="D65" s="51"/>
      <c r="E65" s="63"/>
      <c r="F65" s="63"/>
      <c r="G65" s="10"/>
      <c r="H65" s="1"/>
      <c r="I65" s="1"/>
      <c r="J65" s="64"/>
      <c r="K65" s="2"/>
      <c r="L65" s="64"/>
      <c r="M65" s="64"/>
      <c r="N65" s="64"/>
      <c r="O65" s="64"/>
      <c r="P65" s="64"/>
      <c r="Q65" s="64"/>
      <c r="R65" s="64"/>
      <c r="S65" s="64"/>
      <c r="T65" s="112"/>
      <c r="U65" s="112"/>
      <c r="V65" s="112"/>
      <c r="W65" s="106"/>
      <c r="X65" s="106"/>
      <c r="Y65" s="106"/>
      <c r="Z65" s="106"/>
      <c r="AA65" s="106"/>
      <c r="AB65" s="106"/>
      <c r="AC65" s="106"/>
      <c r="AD65" s="106"/>
    </row>
    <row r="66" spans="3:39" x14ac:dyDescent="0.2">
      <c r="C66" s="10"/>
      <c r="D66" s="29" t="s">
        <v>334</v>
      </c>
      <c r="E66" s="42">
        <f t="shared" ref="E66:L66" si="51">E62-E64</f>
        <v>3183.56</v>
      </c>
      <c r="F66" s="42">
        <f t="shared" si="51"/>
        <v>4022.5800000000008</v>
      </c>
      <c r="G66" s="43">
        <f t="shared" si="51"/>
        <v>5161.2900000000009</v>
      </c>
      <c r="H66" s="43">
        <f t="shared" si="51"/>
        <v>6120.83</v>
      </c>
      <c r="I66" s="43">
        <f t="shared" si="51"/>
        <v>6751.9299999999994</v>
      </c>
      <c r="J66" s="44">
        <f t="shared" si="51"/>
        <v>7562.05</v>
      </c>
      <c r="K66" s="44">
        <f t="shared" si="51"/>
        <v>8110.4100000000008</v>
      </c>
      <c r="L66" s="44">
        <f t="shared" si="51"/>
        <v>9583.3100000000013</v>
      </c>
      <c r="M66" s="44">
        <f>M62-M64</f>
        <v>10511.03</v>
      </c>
      <c r="N66" s="44">
        <f>N62-N64</f>
        <v>10427.919999999998</v>
      </c>
      <c r="O66" s="44">
        <f t="shared" ref="O66:U66" si="52">O62-O64</f>
        <v>10707.310000000001</v>
      </c>
      <c r="P66" s="44">
        <f t="shared" si="52"/>
        <v>13445.49</v>
      </c>
      <c r="Q66" s="44">
        <f t="shared" si="52"/>
        <v>13845.500000000002</v>
      </c>
      <c r="R66" s="44">
        <f t="shared" si="52"/>
        <v>10803.829999999998</v>
      </c>
      <c r="S66" s="44">
        <f t="shared" si="52"/>
        <v>11903.200000000003</v>
      </c>
      <c r="T66" s="196">
        <f t="shared" si="52"/>
        <v>13702.989999999998</v>
      </c>
      <c r="U66" s="196">
        <f t="shared" si="52"/>
        <v>7462.7100000000009</v>
      </c>
      <c r="V66" s="196">
        <f t="shared" ref="V66:AD66" si="53">V62-V64</f>
        <v>6861.8200000000006</v>
      </c>
      <c r="W66" s="196">
        <f t="shared" si="53"/>
        <v>9198.2699999999986</v>
      </c>
      <c r="X66" s="196">
        <f t="shared" si="53"/>
        <v>10166.933499999999</v>
      </c>
      <c r="Y66" s="196">
        <f t="shared" si="53"/>
        <v>11637.0285</v>
      </c>
      <c r="Z66" s="196">
        <f t="shared" si="53"/>
        <v>11637.0285</v>
      </c>
      <c r="AA66" s="196">
        <f t="shared" si="53"/>
        <v>11637.0285</v>
      </c>
      <c r="AB66" s="196">
        <f t="shared" si="53"/>
        <v>11637.0285</v>
      </c>
      <c r="AC66" s="196">
        <f t="shared" si="53"/>
        <v>11637.0285</v>
      </c>
      <c r="AD66" s="196">
        <f t="shared" si="53"/>
        <v>11637.0285</v>
      </c>
    </row>
    <row r="67" spans="3:39" x14ac:dyDescent="0.2">
      <c r="C67" s="10"/>
      <c r="D67" s="31"/>
      <c r="E67" s="63"/>
      <c r="F67" s="63"/>
      <c r="G67" s="10"/>
      <c r="H67" s="64"/>
      <c r="I67" s="64"/>
      <c r="J67" s="64"/>
      <c r="K67" s="2"/>
      <c r="L67" s="65"/>
      <c r="M67" s="65"/>
      <c r="N67" s="65"/>
      <c r="O67" s="65"/>
      <c r="P67" s="65"/>
      <c r="Q67" s="65"/>
      <c r="R67" s="65"/>
      <c r="S67" s="65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G67" s="5">
        <v>2</v>
      </c>
    </row>
    <row r="68" spans="3:39" x14ac:dyDescent="0.2">
      <c r="C68" s="10" t="s">
        <v>27</v>
      </c>
      <c r="D68" s="52" t="s">
        <v>28</v>
      </c>
      <c r="E68" s="51">
        <v>711.3</v>
      </c>
      <c r="F68" s="51">
        <v>752.24</v>
      </c>
      <c r="G68" s="66">
        <v>840.6</v>
      </c>
      <c r="H68" s="1">
        <v>848.84</v>
      </c>
      <c r="I68" s="1">
        <v>990.41</v>
      </c>
      <c r="J68" s="4">
        <v>1267.97</v>
      </c>
      <c r="K68" s="2">
        <v>1431.86</v>
      </c>
      <c r="L68" s="2">
        <v>1590.53</v>
      </c>
      <c r="M68" s="2">
        <v>1673.61</v>
      </c>
      <c r="N68" s="2">
        <v>1672.39</v>
      </c>
      <c r="O68" s="2">
        <v>1860.24</v>
      </c>
      <c r="P68" s="2">
        <v>2176.9699999999998</v>
      </c>
      <c r="Q68" s="2">
        <v>2255.61</v>
      </c>
      <c r="R68" s="2">
        <v>1941.29</v>
      </c>
      <c r="S68" s="2">
        <v>1331.08</v>
      </c>
      <c r="T68" s="106">
        <v>1354.19</v>
      </c>
      <c r="U68" s="106">
        <v>911.11</v>
      </c>
      <c r="V68" s="106">
        <v>848.08</v>
      </c>
      <c r="W68" s="106">
        <f>ROUND(W18*8.5%,2)</f>
        <v>856.08</v>
      </c>
      <c r="X68" s="106">
        <f>ROUND(X18*8.5%,2)</f>
        <v>1015.45</v>
      </c>
      <c r="Y68" s="106">
        <f>ROUND(Y18*9.5%,2)</f>
        <v>1305.44</v>
      </c>
      <c r="Z68" s="106">
        <f>ROUND(Z18*9.5%,2)</f>
        <v>1305.44</v>
      </c>
      <c r="AA68" s="106">
        <f>AA18*10%+'FORM - III'!AN203</f>
        <v>1374.15</v>
      </c>
      <c r="AB68" s="106">
        <f>AB18*10%+'FORM - III'!AO203</f>
        <v>1374.15</v>
      </c>
      <c r="AC68" s="106">
        <f>AC18*10%+'FORM - III'!AP203</f>
        <v>1374.15</v>
      </c>
      <c r="AD68" s="106">
        <f>AD18*10%+'FORM - III'!AQ203</f>
        <v>1374.15</v>
      </c>
      <c r="AE68" s="5" t="s">
        <v>354</v>
      </c>
      <c r="AF68" s="5">
        <f>7.03+13.77+125.13+3.22+5.25+1.66+3.85+24.29+0.16+0.5+19.99+18.36+0.72</f>
        <v>223.92999999999998</v>
      </c>
      <c r="AG68" s="5">
        <f>AF68*$AG$67</f>
        <v>447.85999999999996</v>
      </c>
      <c r="AI68" s="5" t="s">
        <v>393</v>
      </c>
      <c r="AL68" s="5">
        <f>'FORM - III'!AI203</f>
        <v>0</v>
      </c>
      <c r="AM68" s="5" t="s">
        <v>394</v>
      </c>
    </row>
    <row r="69" spans="3:39" x14ac:dyDescent="0.2">
      <c r="C69" s="10"/>
      <c r="D69" s="51"/>
      <c r="G69" s="67"/>
      <c r="H69" s="60"/>
      <c r="I69" s="35"/>
      <c r="J69" s="35"/>
      <c r="K69" s="8"/>
      <c r="L69" s="68"/>
      <c r="M69" s="68"/>
      <c r="N69" s="68"/>
      <c r="O69" s="68"/>
      <c r="P69" s="68"/>
      <c r="Q69" s="68"/>
      <c r="R69" s="68"/>
      <c r="S69" s="68"/>
      <c r="T69" s="194">
        <f>T68/T18</f>
        <v>8.7985778711078738E-2</v>
      </c>
      <c r="U69" s="194">
        <f t="shared" ref="U69:AD69" si="54">U68/U18</f>
        <v>0.10857443839472233</v>
      </c>
      <c r="V69" s="194">
        <f t="shared" si="54"/>
        <v>0.10975710765535376</v>
      </c>
      <c r="W69" s="194">
        <f t="shared" si="54"/>
        <v>8.5000248225189895E-2</v>
      </c>
      <c r="X69" s="194">
        <f t="shared" si="54"/>
        <v>8.49997907336877E-2</v>
      </c>
      <c r="Y69" s="194">
        <f t="shared" si="54"/>
        <v>9.4999818069351968E-2</v>
      </c>
      <c r="Z69" s="194">
        <f t="shared" si="54"/>
        <v>9.4999818069351968E-2</v>
      </c>
      <c r="AA69" s="194">
        <f t="shared" si="54"/>
        <v>0.1</v>
      </c>
      <c r="AB69" s="194">
        <f t="shared" si="54"/>
        <v>0.1</v>
      </c>
      <c r="AC69" s="194">
        <f t="shared" si="54"/>
        <v>0.1</v>
      </c>
      <c r="AD69" s="194">
        <f t="shared" si="54"/>
        <v>0.1</v>
      </c>
    </row>
    <row r="70" spans="3:39" x14ac:dyDescent="0.2">
      <c r="C70" s="16" t="s">
        <v>29</v>
      </c>
      <c r="D70" s="29" t="s">
        <v>30</v>
      </c>
      <c r="E70" s="51">
        <f t="shared" ref="E70:U70" si="55">E66+E68</f>
        <v>3894.8599999999997</v>
      </c>
      <c r="F70" s="51">
        <f t="shared" si="55"/>
        <v>4774.8200000000006</v>
      </c>
      <c r="G70" s="43">
        <f t="shared" si="55"/>
        <v>6001.8900000000012</v>
      </c>
      <c r="H70" s="43">
        <f t="shared" si="55"/>
        <v>6969.67</v>
      </c>
      <c r="I70" s="43">
        <f t="shared" si="55"/>
        <v>7742.3399999999992</v>
      </c>
      <c r="J70" s="43">
        <f t="shared" si="55"/>
        <v>8830.02</v>
      </c>
      <c r="K70" s="44">
        <f t="shared" si="55"/>
        <v>9542.27</v>
      </c>
      <c r="L70" s="44">
        <f t="shared" si="55"/>
        <v>11173.840000000002</v>
      </c>
      <c r="M70" s="44">
        <f t="shared" si="55"/>
        <v>12184.640000000001</v>
      </c>
      <c r="N70" s="44">
        <f t="shared" si="55"/>
        <v>12100.309999999998</v>
      </c>
      <c r="O70" s="44">
        <f t="shared" si="55"/>
        <v>12567.550000000001</v>
      </c>
      <c r="P70" s="44">
        <f t="shared" si="55"/>
        <v>15622.46</v>
      </c>
      <c r="Q70" s="44">
        <f t="shared" si="55"/>
        <v>16101.110000000002</v>
      </c>
      <c r="R70" s="44">
        <f t="shared" si="55"/>
        <v>12745.119999999999</v>
      </c>
      <c r="S70" s="44">
        <f t="shared" si="55"/>
        <v>13234.280000000002</v>
      </c>
      <c r="T70" s="196">
        <f t="shared" si="55"/>
        <v>15057.179999999998</v>
      </c>
      <c r="U70" s="196">
        <f t="shared" si="55"/>
        <v>8373.8200000000015</v>
      </c>
      <c r="V70" s="196">
        <f>V66+V68</f>
        <v>7709.9000000000005</v>
      </c>
      <c r="W70" s="196">
        <f>W66+W68</f>
        <v>10054.349999999999</v>
      </c>
      <c r="X70" s="196">
        <f>X66+X68</f>
        <v>11182.3835</v>
      </c>
      <c r="Y70" s="196">
        <f t="shared" ref="Y70:AD70" si="56">Y66+Y68</f>
        <v>12942.468500000001</v>
      </c>
      <c r="Z70" s="196">
        <f t="shared" si="56"/>
        <v>12942.468500000001</v>
      </c>
      <c r="AA70" s="196">
        <f t="shared" si="56"/>
        <v>13011.1785</v>
      </c>
      <c r="AB70" s="196">
        <f t="shared" si="56"/>
        <v>13011.1785</v>
      </c>
      <c r="AC70" s="196">
        <f t="shared" si="56"/>
        <v>13011.1785</v>
      </c>
      <c r="AD70" s="196">
        <f t="shared" si="56"/>
        <v>13011.1785</v>
      </c>
      <c r="AF70" s="5">
        <f>SUM(AF33:AF69)</f>
        <v>1194.1999999999998</v>
      </c>
      <c r="AG70" s="5">
        <f>AF70*$AG$67</f>
        <v>2388.3999999999996</v>
      </c>
    </row>
    <row r="71" spans="3:39" x14ac:dyDescent="0.2">
      <c r="C71" s="10"/>
      <c r="D71" s="51"/>
      <c r="E71" s="51"/>
      <c r="F71" s="51"/>
      <c r="G71" s="57"/>
      <c r="H71" s="60"/>
      <c r="I71" s="35"/>
      <c r="J71" s="35"/>
      <c r="K71" s="8"/>
      <c r="L71" s="68"/>
      <c r="M71" s="68"/>
      <c r="N71" s="68"/>
      <c r="O71" s="68"/>
      <c r="P71" s="68"/>
      <c r="Q71" s="68"/>
      <c r="R71" s="68"/>
      <c r="S71" s="68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</row>
    <row r="72" spans="3:39" x14ac:dyDescent="0.2">
      <c r="C72" s="16" t="s">
        <v>31</v>
      </c>
      <c r="D72" s="29" t="s">
        <v>282</v>
      </c>
      <c r="E72" s="42" t="e">
        <f t="shared" ref="E72:Q72" si="57">E18-E70</f>
        <v>#REF!</v>
      </c>
      <c r="F72" s="42">
        <f t="shared" si="57"/>
        <v>131.85999999999967</v>
      </c>
      <c r="G72" s="38">
        <f t="shared" si="57"/>
        <v>157.58999999999924</v>
      </c>
      <c r="H72" s="38">
        <f t="shared" si="57"/>
        <v>266.24999999999909</v>
      </c>
      <c r="I72" s="38">
        <f t="shared" si="57"/>
        <v>403.08999999999924</v>
      </c>
      <c r="J72" s="38">
        <f t="shared" si="57"/>
        <v>435.19000000000051</v>
      </c>
      <c r="K72" s="39">
        <f t="shared" si="57"/>
        <v>732.17000000000007</v>
      </c>
      <c r="L72" s="39">
        <f t="shared" si="57"/>
        <v>788.01999999999862</v>
      </c>
      <c r="M72" s="39">
        <f t="shared" si="57"/>
        <v>894.01999999999862</v>
      </c>
      <c r="N72" s="39">
        <f t="shared" si="57"/>
        <v>379.97000000000116</v>
      </c>
      <c r="O72" s="39">
        <f t="shared" si="57"/>
        <v>398.21999999999935</v>
      </c>
      <c r="P72" s="80">
        <f t="shared" si="57"/>
        <v>-96.959999999999127</v>
      </c>
      <c r="Q72" s="39">
        <f t="shared" si="57"/>
        <v>284.44999999999891</v>
      </c>
      <c r="R72" s="80">
        <f>R18-R70+0.01</f>
        <v>-467.31999999999812</v>
      </c>
      <c r="S72" s="80">
        <f>S18-S70-0.01</f>
        <v>-139.83000000000152</v>
      </c>
      <c r="T72" s="154">
        <f t="shared" ref="T72:AD72" si="58">T18-T70</f>
        <v>333.83000000000175</v>
      </c>
      <c r="U72" s="154">
        <f t="shared" si="58"/>
        <v>17.749999999998181</v>
      </c>
      <c r="V72" s="154">
        <f t="shared" si="58"/>
        <v>16.980000000000473</v>
      </c>
      <c r="W72" s="154">
        <f t="shared" si="58"/>
        <v>17.150000000001455</v>
      </c>
      <c r="X72" s="154">
        <f t="shared" si="58"/>
        <v>764.11650000000009</v>
      </c>
      <c r="Y72" s="154">
        <f t="shared" si="58"/>
        <v>799.03149999999914</v>
      </c>
      <c r="Z72" s="154">
        <f t="shared" si="58"/>
        <v>799.03149999999914</v>
      </c>
      <c r="AA72" s="154">
        <f t="shared" si="58"/>
        <v>730.32150000000001</v>
      </c>
      <c r="AB72" s="154">
        <f t="shared" si="58"/>
        <v>730.32150000000001</v>
      </c>
      <c r="AC72" s="154">
        <f t="shared" si="58"/>
        <v>730.32150000000001</v>
      </c>
      <c r="AD72" s="154">
        <f t="shared" si="58"/>
        <v>730.32150000000001</v>
      </c>
    </row>
    <row r="73" spans="3:39" x14ac:dyDescent="0.2">
      <c r="C73" s="10"/>
      <c r="D73" s="31" t="s">
        <v>283</v>
      </c>
      <c r="E73" s="51"/>
      <c r="F73" s="51"/>
      <c r="G73" s="57"/>
      <c r="H73" s="60"/>
      <c r="I73" s="35"/>
      <c r="J73" s="35"/>
      <c r="K73" s="8"/>
      <c r="L73" s="35"/>
      <c r="M73" s="35"/>
      <c r="N73" s="35"/>
      <c r="O73" s="35"/>
      <c r="P73" s="35"/>
      <c r="Q73" s="35"/>
      <c r="R73" s="35"/>
      <c r="S73" s="35"/>
      <c r="T73" s="112"/>
      <c r="U73" s="109"/>
      <c r="V73" s="109"/>
      <c r="W73" s="107"/>
      <c r="X73" s="107"/>
      <c r="Y73" s="107"/>
      <c r="Z73" s="107"/>
      <c r="AA73" s="107"/>
      <c r="AB73" s="107"/>
      <c r="AC73" s="107"/>
      <c r="AD73" s="107"/>
    </row>
    <row r="74" spans="3:39" x14ac:dyDescent="0.2">
      <c r="C74" s="10" t="s">
        <v>32</v>
      </c>
      <c r="D74" s="52" t="s">
        <v>33</v>
      </c>
      <c r="E74" s="51">
        <v>64.709999999999994</v>
      </c>
      <c r="F74" s="51">
        <v>72.400000000000006</v>
      </c>
      <c r="G74" s="57">
        <v>68.62</v>
      </c>
      <c r="H74" s="1">
        <v>94.2</v>
      </c>
      <c r="I74" s="1">
        <v>134.68</v>
      </c>
      <c r="J74" s="1">
        <v>157.31</v>
      </c>
      <c r="K74" s="2">
        <v>114.92</v>
      </c>
      <c r="L74" s="1">
        <v>148.34</v>
      </c>
      <c r="M74" s="1">
        <v>249.36</v>
      </c>
      <c r="N74" s="1">
        <v>397.71</v>
      </c>
      <c r="O74" s="1">
        <v>457.91</v>
      </c>
      <c r="P74" s="1">
        <v>531.82000000000005</v>
      </c>
      <c r="Q74" s="1">
        <v>576.05999999999995</v>
      </c>
      <c r="R74" s="1">
        <v>541.62</v>
      </c>
      <c r="S74" s="1">
        <v>468.61</v>
      </c>
      <c r="T74" s="112">
        <v>466.92</v>
      </c>
      <c r="U74" s="112">
        <v>455.16</v>
      </c>
      <c r="V74" s="112">
        <v>429.33</v>
      </c>
      <c r="W74" s="106">
        <f>Loans!D45</f>
        <v>376.09000000000009</v>
      </c>
      <c r="X74" s="106">
        <f>Loans!E45</f>
        <v>381.89</v>
      </c>
      <c r="Y74" s="106">
        <f>Loans!F45</f>
        <v>366.62000000000006</v>
      </c>
      <c r="Z74" s="106">
        <f>Loans!G45</f>
        <v>319.89000000000004</v>
      </c>
      <c r="AA74" s="106">
        <f>Loans!H45</f>
        <v>278.89000000000004</v>
      </c>
      <c r="AB74" s="106">
        <f>Loans!I45</f>
        <v>260.76000000000005</v>
      </c>
      <c r="AC74" s="106">
        <f>Loans!J45</f>
        <v>249.04000000000005</v>
      </c>
      <c r="AD74" s="106">
        <f>Loans!K45</f>
        <v>240.44000000000003</v>
      </c>
    </row>
    <row r="75" spans="3:39" x14ac:dyDescent="0.2">
      <c r="C75" s="10"/>
      <c r="D75" s="51"/>
      <c r="E75" s="51"/>
      <c r="F75" s="51"/>
      <c r="G75" s="57"/>
      <c r="H75" s="60"/>
      <c r="I75" s="35"/>
      <c r="J75" s="35"/>
      <c r="K75" s="8"/>
      <c r="L75" s="35"/>
      <c r="M75" s="35"/>
      <c r="N75" s="35"/>
      <c r="O75" s="35"/>
      <c r="P75" s="35"/>
      <c r="Q75" s="35"/>
      <c r="R75" s="35"/>
      <c r="S75" s="35"/>
      <c r="T75" s="109"/>
      <c r="U75" s="109"/>
      <c r="V75" s="109"/>
      <c r="W75" s="107"/>
      <c r="X75" s="107"/>
      <c r="Y75" s="107"/>
      <c r="Z75" s="107"/>
      <c r="AA75" s="107"/>
      <c r="AB75" s="107"/>
      <c r="AC75" s="107"/>
      <c r="AD75" s="107"/>
    </row>
    <row r="76" spans="3:39" x14ac:dyDescent="0.2">
      <c r="C76" s="16" t="s">
        <v>34</v>
      </c>
      <c r="D76" s="29" t="s">
        <v>330</v>
      </c>
      <c r="E76" s="42" t="e">
        <f t="shared" ref="E76:L76" si="59">E72-E74</f>
        <v>#REF!</v>
      </c>
      <c r="F76" s="42">
        <f t="shared" si="59"/>
        <v>59.459999999999667</v>
      </c>
      <c r="G76" s="43">
        <f t="shared" si="59"/>
        <v>88.969999999999231</v>
      </c>
      <c r="H76" s="43">
        <f t="shared" si="59"/>
        <v>172.0499999999991</v>
      </c>
      <c r="I76" s="43">
        <f t="shared" si="59"/>
        <v>268.40999999999923</v>
      </c>
      <c r="J76" s="44">
        <f t="shared" si="59"/>
        <v>277.88000000000051</v>
      </c>
      <c r="K76" s="44">
        <f t="shared" si="59"/>
        <v>617.25000000000011</v>
      </c>
      <c r="L76" s="44">
        <f t="shared" si="59"/>
        <v>639.67999999999859</v>
      </c>
      <c r="M76" s="44">
        <f>M72-M74</f>
        <v>644.6599999999986</v>
      </c>
      <c r="N76" s="81">
        <f>N72-N74</f>
        <v>-17.739999999998815</v>
      </c>
      <c r="O76" s="81">
        <f t="shared" ref="O76:U76" si="60">O72-O74</f>
        <v>-59.69000000000068</v>
      </c>
      <c r="P76" s="81">
        <f t="shared" si="60"/>
        <v>-628.77999999999918</v>
      </c>
      <c r="Q76" s="81">
        <f t="shared" si="60"/>
        <v>-291.61000000000104</v>
      </c>
      <c r="R76" s="81">
        <f t="shared" si="60"/>
        <v>-1008.9399999999981</v>
      </c>
      <c r="S76" s="81">
        <f>S72-S74+0.01</f>
        <v>-608.43000000000154</v>
      </c>
      <c r="T76" s="197">
        <f t="shared" si="60"/>
        <v>-133.08999999999827</v>
      </c>
      <c r="U76" s="196">
        <f t="shared" si="60"/>
        <v>-437.41000000000184</v>
      </c>
      <c r="V76" s="196">
        <f>V72-V74</f>
        <v>-412.34999999999951</v>
      </c>
      <c r="W76" s="196">
        <f>W72-W74</f>
        <v>-358.93999999999863</v>
      </c>
      <c r="X76" s="196">
        <f>X72-X74</f>
        <v>382.2265000000001</v>
      </c>
      <c r="Y76" s="196">
        <f t="shared" ref="Y76:AD76" si="61">Y72-Y74</f>
        <v>432.41149999999908</v>
      </c>
      <c r="Z76" s="196">
        <f t="shared" si="61"/>
        <v>479.1414999999991</v>
      </c>
      <c r="AA76" s="196">
        <f t="shared" si="61"/>
        <v>451.43149999999997</v>
      </c>
      <c r="AB76" s="196">
        <f t="shared" si="61"/>
        <v>469.56149999999997</v>
      </c>
      <c r="AC76" s="196">
        <f t="shared" si="61"/>
        <v>481.28149999999994</v>
      </c>
      <c r="AD76" s="196">
        <f t="shared" si="61"/>
        <v>489.88149999999996</v>
      </c>
    </row>
    <row r="77" spans="3:39" x14ac:dyDescent="0.2">
      <c r="C77" s="10"/>
      <c r="D77" s="31"/>
      <c r="E77" s="51"/>
      <c r="F77" s="51"/>
      <c r="G77" s="57"/>
      <c r="H77" s="35"/>
      <c r="I77" s="35"/>
      <c r="J77" s="35"/>
      <c r="K77" s="8"/>
      <c r="L77" s="35"/>
      <c r="M77" s="35"/>
      <c r="N77" s="35"/>
      <c r="O77" s="35"/>
      <c r="P77" s="35"/>
      <c r="Q77" s="35"/>
      <c r="R77" s="35"/>
      <c r="S77" s="35"/>
      <c r="T77" s="109"/>
      <c r="U77" s="109"/>
      <c r="V77" s="109"/>
      <c r="W77" s="107"/>
      <c r="X77" s="107"/>
      <c r="Y77" s="107"/>
      <c r="Z77" s="107"/>
      <c r="AA77" s="107"/>
      <c r="AB77" s="107"/>
      <c r="AC77" s="107"/>
      <c r="AD77" s="107"/>
    </row>
    <row r="78" spans="3:39" x14ac:dyDescent="0.2">
      <c r="C78" s="10" t="s">
        <v>35</v>
      </c>
      <c r="D78" s="52" t="s">
        <v>36</v>
      </c>
      <c r="E78" s="51"/>
      <c r="F78" s="51"/>
      <c r="G78" s="57"/>
      <c r="H78" s="35"/>
      <c r="I78" s="35"/>
      <c r="J78" s="35"/>
      <c r="K78" s="8"/>
      <c r="L78" s="35"/>
      <c r="M78" s="35"/>
      <c r="N78" s="35"/>
      <c r="O78" s="35"/>
      <c r="P78" s="35"/>
      <c r="Q78" s="35"/>
      <c r="R78" s="35"/>
      <c r="S78" s="35"/>
      <c r="T78" s="109"/>
      <c r="U78" s="109"/>
      <c r="V78" s="109"/>
      <c r="W78" s="107"/>
      <c r="X78" s="107"/>
      <c r="Y78" s="107"/>
      <c r="Z78" s="107"/>
      <c r="AA78" s="107"/>
      <c r="AB78" s="107"/>
      <c r="AC78" s="107"/>
      <c r="AD78" s="107"/>
    </row>
    <row r="79" spans="3:39" x14ac:dyDescent="0.2">
      <c r="C79" s="10"/>
      <c r="D79" s="52" t="s">
        <v>37</v>
      </c>
      <c r="E79" s="51">
        <v>41.82</v>
      </c>
      <c r="F79" s="51">
        <v>172.46</v>
      </c>
      <c r="G79" s="57">
        <v>3.42</v>
      </c>
      <c r="H79" s="1">
        <v>9.73</v>
      </c>
      <c r="I79" s="1">
        <v>20.04</v>
      </c>
      <c r="J79" s="1">
        <v>36.14</v>
      </c>
      <c r="K79" s="2">
        <v>29.73</v>
      </c>
      <c r="L79" s="1">
        <v>24.93</v>
      </c>
      <c r="M79" s="1">
        <v>46.8</v>
      </c>
      <c r="N79" s="1">
        <v>17.64</v>
      </c>
      <c r="O79" s="1">
        <v>60.93</v>
      </c>
      <c r="P79" s="1">
        <v>40.46</v>
      </c>
      <c r="Q79" s="1">
        <v>33.19</v>
      </c>
      <c r="R79" s="1">
        <v>26.8</v>
      </c>
      <c r="S79" s="1">
        <v>178.5</v>
      </c>
      <c r="T79" s="112">
        <v>44.24</v>
      </c>
      <c r="U79" s="112">
        <v>89.92</v>
      </c>
      <c r="V79" s="112">
        <v>36.5</v>
      </c>
      <c r="W79" s="106">
        <v>40</v>
      </c>
      <c r="X79" s="106">
        <v>40</v>
      </c>
      <c r="Y79" s="106">
        <v>40</v>
      </c>
      <c r="Z79" s="106">
        <v>40</v>
      </c>
      <c r="AA79" s="106">
        <v>40</v>
      </c>
      <c r="AB79" s="106">
        <v>40</v>
      </c>
      <c r="AC79" s="106">
        <v>40</v>
      </c>
      <c r="AD79" s="106">
        <v>40</v>
      </c>
    </row>
    <row r="80" spans="3:39" x14ac:dyDescent="0.2">
      <c r="C80" s="10"/>
      <c r="D80" s="51"/>
      <c r="E80" s="51"/>
      <c r="F80" s="51"/>
      <c r="G80" s="57"/>
      <c r="H80" s="60"/>
      <c r="I80" s="60"/>
      <c r="J80" s="35"/>
      <c r="K80" s="8"/>
      <c r="L80" s="35"/>
      <c r="M80" s="35"/>
      <c r="N80" s="35"/>
      <c r="O80" s="35"/>
      <c r="P80" s="35"/>
      <c r="Q80" s="35"/>
      <c r="R80" s="35"/>
      <c r="S80" s="35"/>
      <c r="T80" s="109"/>
      <c r="U80" s="109"/>
      <c r="V80" s="109"/>
      <c r="W80" s="107"/>
      <c r="X80" s="107"/>
      <c r="Y80" s="107"/>
      <c r="Z80" s="107"/>
      <c r="AA80" s="107"/>
      <c r="AB80" s="107"/>
      <c r="AC80" s="107"/>
      <c r="AD80" s="107"/>
    </row>
    <row r="81" spans="3:31" x14ac:dyDescent="0.2">
      <c r="C81" s="10"/>
      <c r="D81" s="52" t="s">
        <v>23</v>
      </c>
      <c r="E81" s="51">
        <f t="shared" ref="E81:L81" si="62">E79</f>
        <v>41.82</v>
      </c>
      <c r="F81" s="51">
        <f t="shared" si="62"/>
        <v>172.46</v>
      </c>
      <c r="G81" s="57">
        <f t="shared" si="62"/>
        <v>3.42</v>
      </c>
      <c r="H81" s="58">
        <f t="shared" si="62"/>
        <v>9.73</v>
      </c>
      <c r="I81" s="8">
        <f t="shared" si="62"/>
        <v>20.04</v>
      </c>
      <c r="J81" s="8">
        <f t="shared" si="62"/>
        <v>36.14</v>
      </c>
      <c r="K81" s="8">
        <f t="shared" si="62"/>
        <v>29.73</v>
      </c>
      <c r="L81" s="8">
        <f t="shared" si="62"/>
        <v>24.93</v>
      </c>
      <c r="M81" s="8">
        <f>M79</f>
        <v>46.8</v>
      </c>
      <c r="N81" s="8">
        <f>N79</f>
        <v>17.64</v>
      </c>
      <c r="O81" s="8">
        <f t="shared" ref="O81:V81" si="63">O79</f>
        <v>60.93</v>
      </c>
      <c r="P81" s="8">
        <f t="shared" si="63"/>
        <v>40.46</v>
      </c>
      <c r="Q81" s="8">
        <f t="shared" si="63"/>
        <v>33.19</v>
      </c>
      <c r="R81" s="8">
        <f t="shared" si="63"/>
        <v>26.8</v>
      </c>
      <c r="S81" s="8">
        <f t="shared" si="63"/>
        <v>178.5</v>
      </c>
      <c r="T81" s="107">
        <f t="shared" si="63"/>
        <v>44.24</v>
      </c>
      <c r="U81" s="107">
        <f t="shared" si="63"/>
        <v>89.92</v>
      </c>
      <c r="V81" s="107">
        <f t="shared" si="63"/>
        <v>36.5</v>
      </c>
      <c r="W81" s="107">
        <f>W79</f>
        <v>40</v>
      </c>
      <c r="X81" s="107">
        <f>X79</f>
        <v>40</v>
      </c>
      <c r="Y81" s="107">
        <f t="shared" ref="Y81:AD81" si="64">Y79</f>
        <v>40</v>
      </c>
      <c r="Z81" s="107">
        <f t="shared" si="64"/>
        <v>40</v>
      </c>
      <c r="AA81" s="107">
        <f t="shared" si="64"/>
        <v>40</v>
      </c>
      <c r="AB81" s="107">
        <f t="shared" si="64"/>
        <v>40</v>
      </c>
      <c r="AC81" s="107">
        <f t="shared" si="64"/>
        <v>40</v>
      </c>
      <c r="AD81" s="107">
        <f t="shared" si="64"/>
        <v>40</v>
      </c>
    </row>
    <row r="82" spans="3:31" x14ac:dyDescent="0.2">
      <c r="C82" s="10"/>
      <c r="D82" s="51"/>
      <c r="E82" s="51"/>
      <c r="F82" s="51"/>
      <c r="G82" s="57"/>
      <c r="H82" s="60"/>
      <c r="I82" s="60"/>
      <c r="J82" s="35"/>
      <c r="K82" s="8"/>
      <c r="L82" s="35"/>
      <c r="M82" s="35"/>
      <c r="N82" s="35"/>
      <c r="O82" s="35"/>
      <c r="P82" s="35"/>
      <c r="Q82" s="35"/>
      <c r="R82" s="35"/>
      <c r="S82" s="35"/>
      <c r="T82" s="109"/>
      <c r="U82" s="109"/>
      <c r="V82" s="109"/>
      <c r="W82" s="107"/>
      <c r="X82" s="107"/>
      <c r="Y82" s="107"/>
      <c r="Z82" s="107"/>
      <c r="AA82" s="107"/>
      <c r="AB82" s="107"/>
      <c r="AC82" s="107"/>
      <c r="AD82" s="107"/>
    </row>
    <row r="83" spans="3:31" x14ac:dyDescent="0.2">
      <c r="C83" s="10"/>
      <c r="D83" s="52" t="s">
        <v>38</v>
      </c>
      <c r="E83" s="51">
        <v>1.27</v>
      </c>
      <c r="F83" s="51">
        <v>1.27</v>
      </c>
      <c r="G83" s="57">
        <v>4.0599999999999996</v>
      </c>
      <c r="H83" s="1">
        <v>0</v>
      </c>
      <c r="I83" s="1">
        <v>0</v>
      </c>
      <c r="J83" s="1">
        <v>0</v>
      </c>
      <c r="K83" s="2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12">
        <v>0</v>
      </c>
      <c r="U83" s="112">
        <v>0</v>
      </c>
      <c r="V83" s="112">
        <v>0</v>
      </c>
      <c r="W83" s="106">
        <v>0</v>
      </c>
      <c r="X83" s="106">
        <v>0</v>
      </c>
      <c r="Y83" s="106">
        <v>0</v>
      </c>
      <c r="Z83" s="106">
        <v>0</v>
      </c>
      <c r="AA83" s="106">
        <v>0</v>
      </c>
      <c r="AB83" s="106">
        <v>0</v>
      </c>
      <c r="AC83" s="106">
        <v>0</v>
      </c>
      <c r="AD83" s="106">
        <v>0</v>
      </c>
    </row>
    <row r="84" spans="3:31" x14ac:dyDescent="0.2">
      <c r="C84" s="10"/>
      <c r="D84" s="51"/>
      <c r="E84" s="51"/>
      <c r="F84" s="51"/>
      <c r="G84" s="57"/>
      <c r="H84" s="60"/>
      <c r="I84" s="60"/>
      <c r="J84" s="35"/>
      <c r="K84" s="8"/>
      <c r="L84" s="35"/>
      <c r="M84" s="35"/>
      <c r="N84" s="35"/>
      <c r="O84" s="35"/>
      <c r="P84" s="35"/>
      <c r="Q84" s="35"/>
      <c r="R84" s="35"/>
      <c r="S84" s="35"/>
      <c r="T84" s="109"/>
      <c r="U84" s="109"/>
      <c r="V84" s="109"/>
      <c r="W84" s="107"/>
      <c r="X84" s="107"/>
      <c r="Y84" s="107"/>
      <c r="Z84" s="107"/>
      <c r="AA84" s="107"/>
      <c r="AB84" s="107"/>
      <c r="AC84" s="107"/>
      <c r="AD84" s="107"/>
      <c r="AE84" s="86"/>
    </row>
    <row r="85" spans="3:31" x14ac:dyDescent="0.2">
      <c r="C85" s="10"/>
      <c r="D85" s="52" t="s">
        <v>39</v>
      </c>
      <c r="E85" s="51">
        <f>E83</f>
        <v>1.27</v>
      </c>
      <c r="F85" s="51">
        <f>F83</f>
        <v>1.27</v>
      </c>
      <c r="G85" s="57">
        <f>G83</f>
        <v>4.0599999999999996</v>
      </c>
      <c r="H85" s="8">
        <f t="shared" ref="H85:N85" si="65">SUM(H83:H84)</f>
        <v>0</v>
      </c>
      <c r="I85" s="8">
        <f t="shared" si="65"/>
        <v>0</v>
      </c>
      <c r="J85" s="8">
        <f t="shared" si="65"/>
        <v>0</v>
      </c>
      <c r="K85" s="8">
        <f t="shared" si="65"/>
        <v>0</v>
      </c>
      <c r="L85" s="8">
        <f t="shared" si="65"/>
        <v>0</v>
      </c>
      <c r="M85" s="8">
        <f t="shared" si="65"/>
        <v>0</v>
      </c>
      <c r="N85" s="8">
        <f t="shared" si="65"/>
        <v>0</v>
      </c>
      <c r="O85" s="8">
        <f t="shared" ref="O85:U85" si="66">SUM(O83:O84)</f>
        <v>0</v>
      </c>
      <c r="P85" s="8">
        <f t="shared" si="66"/>
        <v>0</v>
      </c>
      <c r="Q85" s="8">
        <f t="shared" si="66"/>
        <v>0</v>
      </c>
      <c r="R85" s="8">
        <f t="shared" si="66"/>
        <v>0</v>
      </c>
      <c r="S85" s="8">
        <f t="shared" si="66"/>
        <v>0</v>
      </c>
      <c r="T85" s="107">
        <f t="shared" si="66"/>
        <v>0</v>
      </c>
      <c r="U85" s="107">
        <f t="shared" si="66"/>
        <v>0</v>
      </c>
      <c r="V85" s="107">
        <f>SUM(V83:V84)</f>
        <v>0</v>
      </c>
      <c r="W85" s="107">
        <f>SUM(W83:W84)</f>
        <v>0</v>
      </c>
      <c r="X85" s="107">
        <f>SUM(X83:X84)</f>
        <v>0</v>
      </c>
      <c r="Y85" s="107">
        <f t="shared" ref="Y85:AD85" si="67">SUM(Y83:Y84)</f>
        <v>0</v>
      </c>
      <c r="Z85" s="107">
        <f t="shared" si="67"/>
        <v>0</v>
      </c>
      <c r="AA85" s="107">
        <f t="shared" si="67"/>
        <v>0</v>
      </c>
      <c r="AB85" s="107">
        <f t="shared" si="67"/>
        <v>0</v>
      </c>
      <c r="AC85" s="107">
        <f t="shared" si="67"/>
        <v>0</v>
      </c>
      <c r="AD85" s="107">
        <f t="shared" si="67"/>
        <v>0</v>
      </c>
    </row>
    <row r="86" spans="3:31" x14ac:dyDescent="0.2">
      <c r="C86" s="10"/>
      <c r="D86" s="51"/>
      <c r="E86" s="51"/>
      <c r="F86" s="51"/>
      <c r="G86" s="57"/>
      <c r="H86" s="60"/>
      <c r="I86" s="60"/>
      <c r="J86" s="35"/>
      <c r="K86" s="8"/>
      <c r="L86" s="35"/>
      <c r="M86" s="35"/>
      <c r="N86" s="35"/>
      <c r="O86" s="35"/>
      <c r="P86" s="35"/>
      <c r="Q86" s="35"/>
      <c r="R86" s="35"/>
      <c r="S86" s="35"/>
      <c r="T86" s="109"/>
      <c r="U86" s="109"/>
      <c r="V86" s="109"/>
      <c r="W86" s="107"/>
      <c r="X86" s="107"/>
      <c r="Y86" s="107"/>
      <c r="Z86" s="107"/>
      <c r="AA86" s="107"/>
      <c r="AB86" s="107"/>
      <c r="AC86" s="107"/>
      <c r="AD86" s="107"/>
    </row>
    <row r="87" spans="3:31" x14ac:dyDescent="0.2">
      <c r="C87" s="10"/>
      <c r="D87" s="52" t="s">
        <v>40</v>
      </c>
      <c r="E87" s="51"/>
      <c r="F87" s="51"/>
      <c r="G87" s="57"/>
      <c r="H87" s="60"/>
      <c r="I87" s="60"/>
      <c r="J87" s="35"/>
      <c r="K87" s="8"/>
      <c r="L87" s="35"/>
      <c r="M87" s="35"/>
      <c r="N87" s="35"/>
      <c r="O87" s="35"/>
      <c r="P87" s="35"/>
      <c r="Q87" s="35"/>
      <c r="R87" s="35"/>
      <c r="S87" s="35"/>
      <c r="T87" s="109"/>
      <c r="U87" s="109"/>
      <c r="V87" s="109"/>
      <c r="W87" s="107"/>
      <c r="X87" s="107"/>
      <c r="Y87" s="107"/>
      <c r="Z87" s="107"/>
      <c r="AA87" s="107"/>
      <c r="AB87" s="107"/>
      <c r="AC87" s="107"/>
      <c r="AD87" s="107"/>
    </row>
    <row r="88" spans="3:31" x14ac:dyDescent="0.2">
      <c r="C88" s="10"/>
      <c r="D88" s="52" t="s">
        <v>331</v>
      </c>
      <c r="E88" s="51">
        <f t="shared" ref="E88:L88" si="68">E79-E85</f>
        <v>40.549999999999997</v>
      </c>
      <c r="F88" s="51">
        <f t="shared" si="68"/>
        <v>171.19</v>
      </c>
      <c r="G88" s="7">
        <f t="shared" si="68"/>
        <v>-0.63999999999999968</v>
      </c>
      <c r="H88" s="4">
        <f t="shared" si="68"/>
        <v>9.73</v>
      </c>
      <c r="I88" s="1">
        <f t="shared" si="68"/>
        <v>20.04</v>
      </c>
      <c r="J88" s="1">
        <f t="shared" si="68"/>
        <v>36.14</v>
      </c>
      <c r="K88" s="1">
        <f t="shared" si="68"/>
        <v>29.73</v>
      </c>
      <c r="L88" s="1">
        <f t="shared" si="68"/>
        <v>24.93</v>
      </c>
      <c r="M88" s="1">
        <f>M79-M85</f>
        <v>46.8</v>
      </c>
      <c r="N88" s="1">
        <f>N79-N85</f>
        <v>17.64</v>
      </c>
      <c r="O88" s="1">
        <f t="shared" ref="O88:V88" si="69">O79-O85</f>
        <v>60.93</v>
      </c>
      <c r="P88" s="1">
        <f t="shared" si="69"/>
        <v>40.46</v>
      </c>
      <c r="Q88" s="1">
        <f t="shared" si="69"/>
        <v>33.19</v>
      </c>
      <c r="R88" s="1">
        <f t="shared" si="69"/>
        <v>26.8</v>
      </c>
      <c r="S88" s="1">
        <f t="shared" si="69"/>
        <v>178.5</v>
      </c>
      <c r="T88" s="112">
        <f t="shared" si="69"/>
        <v>44.24</v>
      </c>
      <c r="U88" s="112">
        <f t="shared" si="69"/>
        <v>89.92</v>
      </c>
      <c r="V88" s="112">
        <f t="shared" si="69"/>
        <v>36.5</v>
      </c>
      <c r="W88" s="106">
        <f>W79-W85</f>
        <v>40</v>
      </c>
      <c r="X88" s="106">
        <f>X79-X85</f>
        <v>40</v>
      </c>
      <c r="Y88" s="106">
        <f t="shared" ref="Y88:AD88" si="70">Y79-Y85</f>
        <v>40</v>
      </c>
      <c r="Z88" s="106">
        <f t="shared" si="70"/>
        <v>40</v>
      </c>
      <c r="AA88" s="106">
        <f t="shared" si="70"/>
        <v>40</v>
      </c>
      <c r="AB88" s="106">
        <f t="shared" si="70"/>
        <v>40</v>
      </c>
      <c r="AC88" s="106">
        <f t="shared" si="70"/>
        <v>40</v>
      </c>
      <c r="AD88" s="106">
        <f t="shared" si="70"/>
        <v>40</v>
      </c>
    </row>
    <row r="89" spans="3:31" x14ac:dyDescent="0.2">
      <c r="C89" s="10"/>
      <c r="D89" s="51"/>
      <c r="E89" s="51"/>
      <c r="F89" s="51"/>
      <c r="G89" s="57"/>
      <c r="H89" s="60"/>
      <c r="I89" s="60"/>
      <c r="J89" s="35"/>
      <c r="K89" s="8"/>
      <c r="L89" s="35"/>
      <c r="M89" s="35"/>
      <c r="N89" s="35"/>
      <c r="O89" s="35"/>
      <c r="P89" s="35"/>
      <c r="Q89" s="35"/>
      <c r="R89" s="35"/>
      <c r="S89" s="35"/>
      <c r="T89" s="109"/>
      <c r="U89" s="109"/>
      <c r="V89" s="109"/>
      <c r="W89" s="107"/>
      <c r="X89" s="107"/>
      <c r="Y89" s="107"/>
      <c r="Z89" s="107"/>
      <c r="AA89" s="107"/>
      <c r="AB89" s="107"/>
      <c r="AC89" s="107"/>
      <c r="AD89" s="107"/>
    </row>
    <row r="90" spans="3:31" x14ac:dyDescent="0.2">
      <c r="C90" s="16" t="s">
        <v>41</v>
      </c>
      <c r="D90" s="29" t="s">
        <v>287</v>
      </c>
      <c r="E90" s="42" t="e">
        <f t="shared" ref="E90:U90" si="71">E76+E88</f>
        <v>#REF!</v>
      </c>
      <c r="F90" s="42">
        <f t="shared" si="71"/>
        <v>230.64999999999966</v>
      </c>
      <c r="G90" s="43">
        <f t="shared" si="71"/>
        <v>88.329999999999231</v>
      </c>
      <c r="H90" s="43">
        <f t="shared" si="71"/>
        <v>181.77999999999909</v>
      </c>
      <c r="I90" s="43">
        <f t="shared" si="71"/>
        <v>288.44999999999925</v>
      </c>
      <c r="J90" s="44">
        <f t="shared" si="71"/>
        <v>314.02000000000049</v>
      </c>
      <c r="K90" s="44">
        <f t="shared" si="71"/>
        <v>646.98000000000013</v>
      </c>
      <c r="L90" s="44">
        <f t="shared" si="71"/>
        <v>664.60999999999854</v>
      </c>
      <c r="M90" s="44">
        <f t="shared" si="71"/>
        <v>691.45999999999856</v>
      </c>
      <c r="N90" s="81">
        <f t="shared" si="71"/>
        <v>-9.9999999998814815E-2</v>
      </c>
      <c r="O90" s="81">
        <f t="shared" si="71"/>
        <v>1.2399999999993199</v>
      </c>
      <c r="P90" s="81">
        <f t="shared" si="71"/>
        <v>-588.31999999999914</v>
      </c>
      <c r="Q90" s="81">
        <f t="shared" si="71"/>
        <v>-258.42000000000104</v>
      </c>
      <c r="R90" s="81">
        <f t="shared" si="71"/>
        <v>-982.13999999999817</v>
      </c>
      <c r="S90" s="81">
        <f t="shared" si="71"/>
        <v>-429.93000000000154</v>
      </c>
      <c r="T90" s="197">
        <f t="shared" si="71"/>
        <v>-88.849999999998261</v>
      </c>
      <c r="U90" s="196">
        <f t="shared" si="71"/>
        <v>-347.49000000000183</v>
      </c>
      <c r="V90" s="196">
        <f>V76+V88</f>
        <v>-375.84999999999951</v>
      </c>
      <c r="W90" s="196">
        <f>W76+W88</f>
        <v>-318.93999999999863</v>
      </c>
      <c r="X90" s="196">
        <f>X76+X88</f>
        <v>422.2265000000001</v>
      </c>
      <c r="Y90" s="196">
        <f t="shared" ref="Y90:AD90" si="72">Y76+Y88</f>
        <v>472.41149999999908</v>
      </c>
      <c r="Z90" s="196">
        <f t="shared" si="72"/>
        <v>519.14149999999904</v>
      </c>
      <c r="AA90" s="196">
        <f t="shared" si="72"/>
        <v>491.43149999999997</v>
      </c>
      <c r="AB90" s="196">
        <f t="shared" si="72"/>
        <v>509.56149999999997</v>
      </c>
      <c r="AC90" s="196">
        <f t="shared" si="72"/>
        <v>521.28149999999994</v>
      </c>
      <c r="AD90" s="196">
        <f t="shared" si="72"/>
        <v>529.88149999999996</v>
      </c>
    </row>
    <row r="91" spans="3:31" x14ac:dyDescent="0.2">
      <c r="C91" s="10"/>
      <c r="D91" s="31" t="s">
        <v>286</v>
      </c>
      <c r="E91" s="51"/>
      <c r="F91" s="51"/>
      <c r="G91" s="57"/>
      <c r="H91" s="35"/>
      <c r="I91" s="35"/>
      <c r="J91" s="35"/>
      <c r="K91" s="8"/>
      <c r="L91" s="35"/>
      <c r="M91" s="35"/>
      <c r="N91" s="35"/>
      <c r="O91" s="35"/>
      <c r="P91" s="35"/>
      <c r="Q91" s="35"/>
      <c r="R91" s="35"/>
      <c r="S91" s="104"/>
      <c r="T91" s="109"/>
      <c r="U91" s="109"/>
      <c r="V91" s="109"/>
      <c r="W91" s="107"/>
      <c r="X91" s="107"/>
      <c r="Y91" s="107"/>
      <c r="Z91" s="107"/>
      <c r="AA91" s="107"/>
      <c r="AB91" s="107"/>
      <c r="AC91" s="107"/>
      <c r="AD91" s="107"/>
    </row>
    <row r="92" spans="3:31" x14ac:dyDescent="0.2">
      <c r="C92" s="10" t="s">
        <v>42</v>
      </c>
      <c r="D92" s="52" t="s">
        <v>315</v>
      </c>
      <c r="E92" s="56">
        <v>24</v>
      </c>
      <c r="F92" s="56">
        <v>69</v>
      </c>
      <c r="G92" s="57">
        <v>18.28</v>
      </c>
      <c r="H92" s="3">
        <v>68.069999999999993</v>
      </c>
      <c r="I92" s="3">
        <v>104.04</v>
      </c>
      <c r="J92" s="8">
        <v>110.15</v>
      </c>
      <c r="K92" s="8">
        <v>242.3</v>
      </c>
      <c r="L92" s="8">
        <v>211.57</v>
      </c>
      <c r="M92" s="8">
        <v>230.31</v>
      </c>
      <c r="N92" s="62">
        <v>-9.2100000000000009</v>
      </c>
      <c r="O92" s="8">
        <v>19.68</v>
      </c>
      <c r="P92" s="62">
        <v>-165.89</v>
      </c>
      <c r="Q92" s="62">
        <v>-215.77</v>
      </c>
      <c r="R92" s="62">
        <v>-359.4</v>
      </c>
      <c r="S92" s="62">
        <f>-56.36</f>
        <v>-56.36</v>
      </c>
      <c r="T92" s="195">
        <v>-14.39</v>
      </c>
      <c r="U92" s="195">
        <v>-82.78</v>
      </c>
      <c r="V92" s="107">
        <v>2.66</v>
      </c>
      <c r="W92" s="107">
        <v>0</v>
      </c>
      <c r="X92" s="107">
        <f>ROUND(X90*15%,2)</f>
        <v>63.33</v>
      </c>
      <c r="Y92" s="107">
        <f>ROUND(Y90*20%,2)</f>
        <v>94.48</v>
      </c>
      <c r="Z92" s="107">
        <f>ROUND(Z90*20%,2)</f>
        <v>103.83</v>
      </c>
      <c r="AA92" s="107">
        <f>ROUND(AA90*20%,2)</f>
        <v>98.29</v>
      </c>
      <c r="AB92" s="107">
        <f>ROUND(AB90*26%,2)</f>
        <v>132.49</v>
      </c>
      <c r="AC92" s="107">
        <f t="shared" ref="AC92:AD92" si="73">ROUND(AC90*26%,2)</f>
        <v>135.53</v>
      </c>
      <c r="AD92" s="107">
        <f t="shared" si="73"/>
        <v>137.77000000000001</v>
      </c>
      <c r="AE92" s="288"/>
    </row>
    <row r="93" spans="3:31" x14ac:dyDescent="0.2">
      <c r="C93" s="10"/>
      <c r="D93" s="51"/>
      <c r="E93" s="63"/>
      <c r="F93" s="63"/>
      <c r="G93" s="57"/>
      <c r="H93" s="1"/>
      <c r="I93" s="69"/>
      <c r="J93" s="69"/>
      <c r="K93" s="2"/>
      <c r="L93" s="69"/>
      <c r="M93" s="69"/>
      <c r="N93" s="69"/>
      <c r="O93" s="69"/>
      <c r="P93" s="69"/>
      <c r="Q93" s="69"/>
      <c r="R93" s="103"/>
      <c r="S93" s="103"/>
      <c r="T93" s="112"/>
      <c r="U93" s="112"/>
      <c r="V93" s="112"/>
      <c r="W93" s="106"/>
      <c r="X93" s="106"/>
      <c r="Y93" s="106"/>
      <c r="Z93" s="106"/>
      <c r="AA93" s="106"/>
      <c r="AB93" s="106"/>
      <c r="AC93" s="106"/>
      <c r="AD93" s="106"/>
    </row>
    <row r="94" spans="3:31" x14ac:dyDescent="0.2">
      <c r="C94" s="16" t="s">
        <v>43</v>
      </c>
      <c r="D94" s="29" t="s">
        <v>284</v>
      </c>
      <c r="E94" s="42" t="e">
        <f t="shared" ref="E94:L94" si="74">E90-E92</f>
        <v>#REF!</v>
      </c>
      <c r="F94" s="42">
        <f t="shared" si="74"/>
        <v>161.64999999999966</v>
      </c>
      <c r="G94" s="43">
        <f t="shared" si="74"/>
        <v>70.04999999999923</v>
      </c>
      <c r="H94" s="44">
        <f t="shared" si="74"/>
        <v>113.7099999999991</v>
      </c>
      <c r="I94" s="44">
        <f t="shared" si="74"/>
        <v>184.40999999999923</v>
      </c>
      <c r="J94" s="44">
        <f t="shared" si="74"/>
        <v>203.87000000000049</v>
      </c>
      <c r="K94" s="44">
        <f t="shared" si="74"/>
        <v>404.68000000000012</v>
      </c>
      <c r="L94" s="44">
        <f t="shared" si="74"/>
        <v>453.03999999999854</v>
      </c>
      <c r="M94" s="44">
        <f>M90-M92</f>
        <v>461.14999999999856</v>
      </c>
      <c r="N94" s="81">
        <f>N90-N92</f>
        <v>9.110000000001186</v>
      </c>
      <c r="O94" s="81">
        <f t="shared" ref="O94:U94" si="75">O90-O92</f>
        <v>-18.44000000000068</v>
      </c>
      <c r="P94" s="81">
        <f t="shared" si="75"/>
        <v>-422.42999999999915</v>
      </c>
      <c r="Q94" s="81">
        <f t="shared" si="75"/>
        <v>-42.650000000001029</v>
      </c>
      <c r="R94" s="81">
        <f t="shared" si="75"/>
        <v>-622.73999999999819</v>
      </c>
      <c r="S94" s="81">
        <f t="shared" si="75"/>
        <v>-373.57000000000153</v>
      </c>
      <c r="T94" s="197">
        <f t="shared" si="75"/>
        <v>-74.45999999999826</v>
      </c>
      <c r="U94" s="196">
        <f t="shared" si="75"/>
        <v>-264.71000000000186</v>
      </c>
      <c r="V94" s="196">
        <f>V90-V92</f>
        <v>-378.50999999999954</v>
      </c>
      <c r="W94" s="196">
        <f>W90-W92</f>
        <v>-318.93999999999863</v>
      </c>
      <c r="X94" s="196">
        <f>X90-X92</f>
        <v>358.89650000000012</v>
      </c>
      <c r="Y94" s="196">
        <f t="shared" ref="Y94:AD94" si="76">Y90-Y92</f>
        <v>377.93149999999906</v>
      </c>
      <c r="Z94" s="196">
        <f t="shared" si="76"/>
        <v>415.31149999999906</v>
      </c>
      <c r="AA94" s="196">
        <f t="shared" si="76"/>
        <v>393.14149999999995</v>
      </c>
      <c r="AB94" s="196">
        <f t="shared" si="76"/>
        <v>377.07149999999996</v>
      </c>
      <c r="AC94" s="196">
        <f t="shared" si="76"/>
        <v>385.75149999999996</v>
      </c>
      <c r="AD94" s="196">
        <f t="shared" si="76"/>
        <v>392.11149999999998</v>
      </c>
    </row>
    <row r="95" spans="3:31" x14ac:dyDescent="0.2">
      <c r="C95" s="10"/>
      <c r="D95" s="31" t="s">
        <v>285</v>
      </c>
      <c r="E95" s="63"/>
      <c r="F95" s="63"/>
      <c r="G95" s="57"/>
      <c r="H95" s="60"/>
      <c r="I95" s="35"/>
      <c r="J95" s="35"/>
      <c r="K95" s="8"/>
      <c r="L95" s="35"/>
      <c r="M95" s="35"/>
      <c r="N95" s="35"/>
      <c r="O95" s="35"/>
      <c r="P95" s="35"/>
      <c r="Q95" s="35"/>
      <c r="R95" s="35"/>
      <c r="S95" s="35"/>
      <c r="T95" s="109"/>
      <c r="U95" s="109"/>
      <c r="V95" s="109"/>
      <c r="W95" s="107"/>
      <c r="X95" s="107"/>
      <c r="Y95" s="107"/>
      <c r="Z95" s="107"/>
      <c r="AA95" s="107"/>
      <c r="AB95" s="107"/>
      <c r="AC95" s="107"/>
      <c r="AD95" s="107"/>
    </row>
    <row r="96" spans="3:31" x14ac:dyDescent="0.2">
      <c r="C96" s="10" t="s">
        <v>44</v>
      </c>
      <c r="D96" s="52" t="s">
        <v>343</v>
      </c>
      <c r="E96" s="51">
        <v>-3.71</v>
      </c>
      <c r="F96" s="51">
        <v>19.05</v>
      </c>
      <c r="G96" s="57">
        <v>0.06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-7</v>
      </c>
      <c r="T96" s="112">
        <v>5.39</v>
      </c>
      <c r="U96" s="195">
        <v>40.08</v>
      </c>
      <c r="V96" s="112">
        <v>45.23</v>
      </c>
      <c r="W96" s="106">
        <v>0</v>
      </c>
      <c r="X96" s="106">
        <v>0</v>
      </c>
      <c r="Y96" s="106">
        <v>0</v>
      </c>
      <c r="Z96" s="106">
        <v>0</v>
      </c>
      <c r="AA96" s="106">
        <v>0</v>
      </c>
      <c r="AB96" s="106">
        <v>0</v>
      </c>
      <c r="AC96" s="106">
        <v>0</v>
      </c>
      <c r="AD96" s="106">
        <v>0</v>
      </c>
    </row>
    <row r="97" spans="3:30" x14ac:dyDescent="0.2">
      <c r="C97" s="10"/>
      <c r="D97" s="52"/>
      <c r="E97" s="51"/>
      <c r="F97" s="51"/>
      <c r="G97" s="57"/>
      <c r="H97" s="60"/>
      <c r="I97" s="60"/>
      <c r="J97" s="60"/>
      <c r="K97" s="8"/>
      <c r="L97" s="35"/>
      <c r="M97" s="35"/>
      <c r="N97" s="35"/>
      <c r="O97" s="35"/>
      <c r="P97" s="35"/>
      <c r="Q97" s="35"/>
      <c r="R97" s="35"/>
      <c r="S97" s="35"/>
      <c r="T97" s="109"/>
      <c r="U97" s="109"/>
      <c r="V97" s="109"/>
      <c r="W97" s="107"/>
      <c r="X97" s="107"/>
      <c r="Y97" s="107"/>
      <c r="Z97" s="107"/>
      <c r="AA97" s="107"/>
      <c r="AB97" s="107"/>
      <c r="AC97" s="107"/>
      <c r="AD97" s="107"/>
    </row>
    <row r="98" spans="3:30" x14ac:dyDescent="0.2">
      <c r="C98" s="10" t="s">
        <v>45</v>
      </c>
      <c r="D98" s="52" t="s">
        <v>46</v>
      </c>
      <c r="E98" s="51">
        <v>-7.46</v>
      </c>
      <c r="F98" s="51">
        <v>-9.15</v>
      </c>
      <c r="G98" s="57">
        <v>14.86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12">
        <v>0</v>
      </c>
      <c r="U98" s="112">
        <v>0</v>
      </c>
      <c r="V98" s="112">
        <v>0</v>
      </c>
      <c r="W98" s="106">
        <v>0</v>
      </c>
      <c r="X98" s="106">
        <v>0</v>
      </c>
      <c r="Y98" s="106">
        <v>0</v>
      </c>
      <c r="Z98" s="106">
        <v>0</v>
      </c>
      <c r="AA98" s="106">
        <v>0</v>
      </c>
      <c r="AB98" s="106">
        <v>0</v>
      </c>
      <c r="AC98" s="106">
        <v>0</v>
      </c>
      <c r="AD98" s="106">
        <v>0</v>
      </c>
    </row>
    <row r="99" spans="3:30" x14ac:dyDescent="0.2">
      <c r="C99" s="10"/>
      <c r="D99" s="51"/>
      <c r="E99" s="51"/>
      <c r="F99" s="51"/>
      <c r="G99" s="57"/>
      <c r="H99" s="60"/>
      <c r="I99" s="60"/>
      <c r="J99" s="35"/>
      <c r="K99" s="8"/>
      <c r="L99" s="35"/>
      <c r="M99" s="35"/>
      <c r="N99" s="35"/>
      <c r="O99" s="35"/>
      <c r="P99" s="35"/>
      <c r="Q99" s="35"/>
      <c r="R99" s="35"/>
      <c r="S99" s="35"/>
      <c r="T99" s="109"/>
      <c r="U99" s="109"/>
      <c r="V99" s="109"/>
      <c r="W99" s="107"/>
      <c r="X99" s="107"/>
      <c r="Y99" s="107"/>
      <c r="Z99" s="107"/>
      <c r="AA99" s="107"/>
      <c r="AB99" s="107"/>
      <c r="AC99" s="107"/>
      <c r="AD99" s="107"/>
    </row>
    <row r="100" spans="3:30" ht="13.5" thickBot="1" x14ac:dyDescent="0.25">
      <c r="C100" s="16" t="s">
        <v>47</v>
      </c>
      <c r="D100" s="29" t="s">
        <v>332</v>
      </c>
      <c r="E100" s="45" t="e">
        <f>SUM(E94:E99)</f>
        <v>#REF!</v>
      </c>
      <c r="F100" s="45">
        <f>SUM(F94:F99)</f>
        <v>171.54999999999967</v>
      </c>
      <c r="G100" s="46">
        <f t="shared" ref="G100:L100" si="77">G94-G98+G96</f>
        <v>55.249999999999233</v>
      </c>
      <c r="H100" s="47">
        <f t="shared" si="77"/>
        <v>113.7099999999991</v>
      </c>
      <c r="I100" s="47">
        <f t="shared" si="77"/>
        <v>184.40999999999923</v>
      </c>
      <c r="J100" s="47">
        <f t="shared" si="77"/>
        <v>203.87000000000049</v>
      </c>
      <c r="K100" s="47">
        <f t="shared" si="77"/>
        <v>404.68000000000012</v>
      </c>
      <c r="L100" s="47">
        <f t="shared" si="77"/>
        <v>453.03999999999854</v>
      </c>
      <c r="M100" s="47">
        <f>M94-M98+M96</f>
        <v>461.14999999999856</v>
      </c>
      <c r="N100" s="11">
        <f>N94-N98+N96</f>
        <v>9.110000000001186</v>
      </c>
      <c r="O100" s="11">
        <f t="shared" ref="O100:U100" si="78">O94-O98+O96</f>
        <v>-18.44000000000068</v>
      </c>
      <c r="P100" s="11">
        <f t="shared" si="78"/>
        <v>-422.42999999999915</v>
      </c>
      <c r="Q100" s="11">
        <f t="shared" si="78"/>
        <v>-42.650000000001029</v>
      </c>
      <c r="R100" s="11">
        <f t="shared" si="78"/>
        <v>-622.73999999999819</v>
      </c>
      <c r="S100" s="11">
        <f t="shared" si="78"/>
        <v>-380.57000000000153</v>
      </c>
      <c r="T100" s="198">
        <f>T94-T98+T96</f>
        <v>-69.069999999998259</v>
      </c>
      <c r="U100" s="199">
        <f t="shared" si="78"/>
        <v>-224.63000000000187</v>
      </c>
      <c r="V100" s="199">
        <f>V94-V98+V96</f>
        <v>-333.27999999999952</v>
      </c>
      <c r="W100" s="199">
        <f>W94-W98+W96</f>
        <v>-318.93999999999863</v>
      </c>
      <c r="X100" s="199">
        <f>X94-X98+X96</f>
        <v>358.89650000000012</v>
      </c>
      <c r="Y100" s="199">
        <f t="shared" ref="Y100:AD100" si="79">Y94-Y98+Y96</f>
        <v>377.93149999999906</v>
      </c>
      <c r="Z100" s="199">
        <f t="shared" si="79"/>
        <v>415.31149999999906</v>
      </c>
      <c r="AA100" s="199">
        <f t="shared" si="79"/>
        <v>393.14149999999995</v>
      </c>
      <c r="AB100" s="199">
        <f>ROUND(AB94-AB98+AB96,2)</f>
        <v>377.07</v>
      </c>
      <c r="AC100" s="199">
        <f t="shared" si="79"/>
        <v>385.75149999999996</v>
      </c>
      <c r="AD100" s="199">
        <f t="shared" si="79"/>
        <v>392.11149999999998</v>
      </c>
    </row>
    <row r="101" spans="3:30" ht="13.5" thickTop="1" x14ac:dyDescent="0.2">
      <c r="C101" s="9">
        <v>18</v>
      </c>
      <c r="D101" s="5" t="s">
        <v>314</v>
      </c>
      <c r="G101" s="3">
        <v>0</v>
      </c>
      <c r="H101" s="3">
        <v>0</v>
      </c>
      <c r="I101" s="3">
        <v>0</v>
      </c>
      <c r="J101" s="3">
        <v>0</v>
      </c>
      <c r="K101" s="3">
        <v>51.48</v>
      </c>
      <c r="L101" s="3">
        <v>76.959999999999994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200">
        <v>0</v>
      </c>
      <c r="U101" s="200">
        <v>0</v>
      </c>
      <c r="V101" s="200">
        <v>0</v>
      </c>
      <c r="W101" s="200">
        <v>0</v>
      </c>
      <c r="X101" s="200">
        <v>0</v>
      </c>
      <c r="Y101" s="200">
        <v>0</v>
      </c>
      <c r="Z101" s="200">
        <v>0</v>
      </c>
      <c r="AA101" s="200">
        <v>0</v>
      </c>
      <c r="AB101" s="200">
        <v>0</v>
      </c>
      <c r="AC101" s="200">
        <v>0</v>
      </c>
      <c r="AD101" s="200">
        <v>0</v>
      </c>
    </row>
    <row r="102" spans="3:30" x14ac:dyDescent="0.2">
      <c r="C102" s="9">
        <v>19</v>
      </c>
      <c r="D102" s="5" t="s">
        <v>266</v>
      </c>
      <c r="G102" s="70">
        <v>1</v>
      </c>
      <c r="H102" s="70">
        <v>1</v>
      </c>
      <c r="I102" s="70">
        <v>1</v>
      </c>
      <c r="J102" s="70">
        <v>1</v>
      </c>
      <c r="K102" s="71">
        <v>0.87280000000000002</v>
      </c>
      <c r="L102" s="70">
        <v>1</v>
      </c>
      <c r="M102" s="70">
        <v>1</v>
      </c>
      <c r="N102" s="70">
        <v>1</v>
      </c>
      <c r="O102" s="70">
        <v>1</v>
      </c>
      <c r="P102" s="70">
        <v>1</v>
      </c>
      <c r="Q102" s="70">
        <v>1</v>
      </c>
      <c r="R102" s="70">
        <v>1</v>
      </c>
      <c r="S102" s="70">
        <v>1</v>
      </c>
      <c r="T102" s="201">
        <v>1</v>
      </c>
      <c r="U102" s="201">
        <v>1</v>
      </c>
      <c r="V102" s="201">
        <v>1</v>
      </c>
      <c r="W102" s="201">
        <v>1</v>
      </c>
      <c r="X102" s="201">
        <v>1</v>
      </c>
      <c r="Y102" s="201">
        <v>1</v>
      </c>
      <c r="Z102" s="201">
        <v>1</v>
      </c>
      <c r="AA102" s="201">
        <v>1</v>
      </c>
      <c r="AB102" s="201">
        <v>1</v>
      </c>
      <c r="AC102" s="201">
        <v>1</v>
      </c>
      <c r="AD102" s="201">
        <v>1</v>
      </c>
    </row>
    <row r="103" spans="3:30" x14ac:dyDescent="0.2">
      <c r="C103" s="9"/>
      <c r="G103" s="72"/>
      <c r="J103" s="35"/>
      <c r="K103" s="60"/>
      <c r="L103" s="35"/>
      <c r="M103" s="35"/>
      <c r="T103" s="133"/>
      <c r="U103" s="133"/>
      <c r="V103" s="133"/>
      <c r="W103" s="133"/>
      <c r="X103" s="133"/>
      <c r="Y103" s="133"/>
      <c r="Z103" s="133"/>
      <c r="AA103" s="133"/>
      <c r="AB103" s="133"/>
      <c r="AC103" s="133"/>
      <c r="AD103" s="133"/>
    </row>
    <row r="104" spans="3:30" x14ac:dyDescent="0.2">
      <c r="C104" s="269"/>
      <c r="D104" s="269"/>
      <c r="E104" s="269"/>
      <c r="F104" s="269"/>
      <c r="G104" s="269"/>
      <c r="H104" s="269"/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  <c r="T104" s="278"/>
      <c r="U104" s="133"/>
      <c r="V104" s="133"/>
      <c r="W104" s="133"/>
      <c r="X104" s="133"/>
      <c r="Y104" s="133"/>
      <c r="Z104" s="133"/>
      <c r="AA104" s="133"/>
      <c r="AB104" s="133"/>
      <c r="AC104" s="133"/>
      <c r="AD104" s="133"/>
    </row>
    <row r="105" spans="3:30" x14ac:dyDescent="0.2">
      <c r="C105" s="269"/>
      <c r="D105" s="269"/>
      <c r="E105" s="269"/>
      <c r="F105" s="269"/>
      <c r="G105" s="269"/>
      <c r="H105" s="269"/>
      <c r="I105"/>
      <c r="J105"/>
      <c r="K105"/>
      <c r="L105"/>
      <c r="M105"/>
      <c r="N105"/>
      <c r="O105"/>
      <c r="P105"/>
      <c r="Q105"/>
      <c r="R105"/>
      <c r="T105" s="78"/>
    </row>
    <row r="106" spans="3:30" x14ac:dyDescent="0.2">
      <c r="C106" s="269"/>
      <c r="D106" s="269" t="s">
        <v>461</v>
      </c>
      <c r="E106" s="269"/>
      <c r="F106" s="269"/>
      <c r="G106" s="269"/>
      <c r="H106" s="269"/>
      <c r="I106" s="120">
        <f>I104-I105</f>
        <v>0</v>
      </c>
      <c r="J106" s="120">
        <f t="shared" ref="J106:R106" si="80">J104-J105</f>
        <v>0</v>
      </c>
      <c r="K106" s="120">
        <f t="shared" si="80"/>
        <v>0</v>
      </c>
      <c r="L106" s="120">
        <f t="shared" si="80"/>
        <v>0</v>
      </c>
      <c r="M106" s="120">
        <f t="shared" si="80"/>
        <v>0</v>
      </c>
      <c r="N106" s="120">
        <f t="shared" si="80"/>
        <v>0</v>
      </c>
      <c r="O106" s="120">
        <f t="shared" si="80"/>
        <v>0</v>
      </c>
      <c r="P106" s="120">
        <f t="shared" si="80"/>
        <v>0</v>
      </c>
      <c r="Q106" s="120">
        <f t="shared" si="80"/>
        <v>0</v>
      </c>
      <c r="R106" s="120">
        <f t="shared" si="80"/>
        <v>0</v>
      </c>
      <c r="T106" s="92">
        <f>T94</f>
        <v>-74.45999999999826</v>
      </c>
      <c r="U106" s="92">
        <f t="shared" ref="U106:AD106" si="81">U94</f>
        <v>-264.71000000000186</v>
      </c>
      <c r="V106" s="92">
        <f t="shared" si="81"/>
        <v>-378.50999999999954</v>
      </c>
      <c r="W106" s="92">
        <f t="shared" si="81"/>
        <v>-318.93999999999863</v>
      </c>
      <c r="X106" s="92">
        <f t="shared" si="81"/>
        <v>358.89650000000012</v>
      </c>
      <c r="Y106" s="92">
        <f t="shared" si="81"/>
        <v>377.93149999999906</v>
      </c>
      <c r="Z106" s="92">
        <f t="shared" si="81"/>
        <v>415.31149999999906</v>
      </c>
      <c r="AA106" s="92">
        <f t="shared" si="81"/>
        <v>393.14149999999995</v>
      </c>
      <c r="AB106" s="92">
        <f t="shared" si="81"/>
        <v>377.07149999999996</v>
      </c>
      <c r="AC106" s="92">
        <f t="shared" si="81"/>
        <v>385.75149999999996</v>
      </c>
      <c r="AD106" s="92">
        <f t="shared" si="81"/>
        <v>392.11149999999998</v>
      </c>
    </row>
    <row r="107" spans="3:30" x14ac:dyDescent="0.2">
      <c r="C107" s="269"/>
      <c r="D107" s="269" t="s">
        <v>523</v>
      </c>
      <c r="E107" s="269"/>
      <c r="F107" s="269"/>
      <c r="G107" s="269"/>
      <c r="H107" s="269"/>
      <c r="I107" s="120"/>
      <c r="J107" s="120"/>
      <c r="K107" s="120"/>
      <c r="L107" s="120"/>
      <c r="M107" s="120"/>
      <c r="N107" s="120"/>
      <c r="O107" s="120"/>
      <c r="P107" s="120"/>
      <c r="Q107" s="120"/>
      <c r="R107" s="120"/>
      <c r="T107" s="92">
        <f>T92</f>
        <v>-14.39</v>
      </c>
      <c r="U107" s="92">
        <f t="shared" ref="U107:AD107" si="82">U92</f>
        <v>-82.78</v>
      </c>
      <c r="V107" s="92">
        <f t="shared" si="82"/>
        <v>2.66</v>
      </c>
      <c r="W107" s="92">
        <f t="shared" si="82"/>
        <v>0</v>
      </c>
      <c r="X107" s="92">
        <f t="shared" si="82"/>
        <v>63.33</v>
      </c>
      <c r="Y107" s="92">
        <f t="shared" si="82"/>
        <v>94.48</v>
      </c>
      <c r="Z107" s="92">
        <f t="shared" si="82"/>
        <v>103.83</v>
      </c>
      <c r="AA107" s="92">
        <f t="shared" si="82"/>
        <v>98.29</v>
      </c>
      <c r="AB107" s="92">
        <f t="shared" si="82"/>
        <v>132.49</v>
      </c>
      <c r="AC107" s="92">
        <f t="shared" si="82"/>
        <v>135.53</v>
      </c>
      <c r="AD107" s="92">
        <f t="shared" si="82"/>
        <v>137.77000000000001</v>
      </c>
    </row>
    <row r="108" spans="3:30" x14ac:dyDescent="0.2">
      <c r="C108" s="269"/>
      <c r="D108" s="269" t="s">
        <v>33</v>
      </c>
      <c r="E108" s="269"/>
      <c r="F108" s="269"/>
      <c r="G108" s="269"/>
      <c r="H108" s="269"/>
      <c r="I108">
        <f>'FORM - II'!U167</f>
        <v>0</v>
      </c>
      <c r="J108">
        <f>'FORM - II'!V167</f>
        <v>0</v>
      </c>
      <c r="K108">
        <f>'FORM - II'!W167</f>
        <v>0</v>
      </c>
      <c r="L108">
        <f>'FORM - II'!X167</f>
        <v>0</v>
      </c>
      <c r="M108">
        <f>'FORM - II'!Y167</f>
        <v>0</v>
      </c>
      <c r="N108">
        <f>'FORM - II'!Z167</f>
        <v>0</v>
      </c>
      <c r="O108">
        <f>'FORM - II'!AA167</f>
        <v>0</v>
      </c>
      <c r="P108">
        <f>'FORM - II'!AB167</f>
        <v>0</v>
      </c>
      <c r="Q108">
        <f>'FORM - II'!AC167</f>
        <v>0</v>
      </c>
      <c r="R108">
        <f>'FORM - II'!AD167</f>
        <v>0</v>
      </c>
      <c r="T108" s="86">
        <f>T74</f>
        <v>466.92</v>
      </c>
      <c r="U108" s="86">
        <f t="shared" ref="U108:AD108" si="83">U74</f>
        <v>455.16</v>
      </c>
      <c r="V108" s="86">
        <f t="shared" si="83"/>
        <v>429.33</v>
      </c>
      <c r="W108" s="86">
        <f t="shared" si="83"/>
        <v>376.09000000000009</v>
      </c>
      <c r="X108" s="86">
        <f t="shared" si="83"/>
        <v>381.89</v>
      </c>
      <c r="Y108" s="86">
        <f t="shared" si="83"/>
        <v>366.62000000000006</v>
      </c>
      <c r="Z108" s="86">
        <f t="shared" si="83"/>
        <v>319.89000000000004</v>
      </c>
      <c r="AA108" s="86">
        <f t="shared" si="83"/>
        <v>278.89000000000004</v>
      </c>
      <c r="AB108" s="86">
        <f t="shared" si="83"/>
        <v>260.76000000000005</v>
      </c>
      <c r="AC108" s="86">
        <f t="shared" si="83"/>
        <v>249.04000000000005</v>
      </c>
      <c r="AD108" s="86">
        <f t="shared" si="83"/>
        <v>240.44000000000003</v>
      </c>
    </row>
    <row r="109" spans="3:30" x14ac:dyDescent="0.2">
      <c r="C109" s="269"/>
      <c r="D109" s="269" t="s">
        <v>524</v>
      </c>
      <c r="E109" s="269"/>
      <c r="F109" s="269"/>
      <c r="G109" s="269"/>
      <c r="H109" s="269"/>
      <c r="I109" s="120">
        <f>I106+I108</f>
        <v>0</v>
      </c>
      <c r="J109" s="120">
        <f t="shared" ref="J109:R109" si="84">J106+J108</f>
        <v>0</v>
      </c>
      <c r="K109" s="120">
        <f t="shared" si="84"/>
        <v>0</v>
      </c>
      <c r="L109" s="120">
        <f t="shared" si="84"/>
        <v>0</v>
      </c>
      <c r="M109" s="120">
        <f t="shared" si="84"/>
        <v>0</v>
      </c>
      <c r="N109" s="120">
        <f t="shared" si="84"/>
        <v>0</v>
      </c>
      <c r="O109" s="120">
        <f t="shared" si="84"/>
        <v>0</v>
      </c>
      <c r="P109" s="120">
        <f t="shared" si="84"/>
        <v>0</v>
      </c>
      <c r="Q109" s="120">
        <f t="shared" si="84"/>
        <v>0</v>
      </c>
      <c r="R109" s="120">
        <f t="shared" si="84"/>
        <v>0</v>
      </c>
      <c r="T109" s="86">
        <f>T42</f>
        <v>428.66</v>
      </c>
      <c r="U109" s="86">
        <f t="shared" ref="U109:AD109" si="85">U42</f>
        <v>419.95</v>
      </c>
      <c r="V109" s="86">
        <f t="shared" si="85"/>
        <v>402.34</v>
      </c>
      <c r="W109" s="86">
        <f t="shared" si="85"/>
        <v>390</v>
      </c>
      <c r="X109" s="86">
        <f t="shared" si="85"/>
        <v>390</v>
      </c>
      <c r="Y109" s="86">
        <f t="shared" si="85"/>
        <v>390</v>
      </c>
      <c r="Z109" s="86">
        <f t="shared" si="85"/>
        <v>390</v>
      </c>
      <c r="AA109" s="86">
        <f t="shared" si="85"/>
        <v>390</v>
      </c>
      <c r="AB109" s="86">
        <f t="shared" si="85"/>
        <v>390</v>
      </c>
      <c r="AC109" s="86">
        <f t="shared" si="85"/>
        <v>390</v>
      </c>
      <c r="AD109" s="86">
        <f t="shared" si="85"/>
        <v>390</v>
      </c>
    </row>
    <row r="110" spans="3:30" x14ac:dyDescent="0.2">
      <c r="C110"/>
      <c r="D110" s="269" t="s">
        <v>464</v>
      </c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T110" s="92">
        <f>SUM(T106:T109)</f>
        <v>806.73000000000184</v>
      </c>
      <c r="U110" s="92">
        <f t="shared" ref="U110:AD110" si="86">SUM(U106:U109)</f>
        <v>527.61999999999819</v>
      </c>
      <c r="V110" s="92">
        <f t="shared" si="86"/>
        <v>455.82000000000045</v>
      </c>
      <c r="W110" s="92">
        <f t="shared" si="86"/>
        <v>447.15000000000146</v>
      </c>
      <c r="X110" s="92">
        <f t="shared" si="86"/>
        <v>1194.1165000000001</v>
      </c>
      <c r="Y110" s="92">
        <f t="shared" si="86"/>
        <v>1229.0314999999991</v>
      </c>
      <c r="Z110" s="92">
        <f t="shared" si="86"/>
        <v>1229.0314999999991</v>
      </c>
      <c r="AA110" s="92">
        <f t="shared" si="86"/>
        <v>1160.3215</v>
      </c>
      <c r="AB110" s="92">
        <f t="shared" si="86"/>
        <v>1160.3215</v>
      </c>
      <c r="AC110" s="92">
        <f t="shared" si="86"/>
        <v>1160.3215</v>
      </c>
      <c r="AD110" s="92">
        <f t="shared" si="86"/>
        <v>1160.3215</v>
      </c>
    </row>
    <row r="111" spans="3:30" x14ac:dyDescent="0.2">
      <c r="C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</row>
    <row r="112" spans="3:30" x14ac:dyDescent="0.2">
      <c r="C112" s="269"/>
      <c r="E112" s="269"/>
      <c r="F112" s="269"/>
      <c r="G112" s="269"/>
      <c r="H112" s="269"/>
      <c r="I112" s="120">
        <f>I109+I105+I100+I99</f>
        <v>184.40999999999923</v>
      </c>
      <c r="J112" s="120">
        <f t="shared" ref="J112:R112" si="87">J109+J105+J100+J99</f>
        <v>203.87000000000049</v>
      </c>
      <c r="K112" s="120">
        <f t="shared" si="87"/>
        <v>404.68000000000012</v>
      </c>
      <c r="L112" s="120">
        <f t="shared" si="87"/>
        <v>453.03999999999854</v>
      </c>
      <c r="M112" s="120">
        <f t="shared" si="87"/>
        <v>461.14999999999856</v>
      </c>
      <c r="N112" s="120">
        <f t="shared" si="87"/>
        <v>9.110000000001186</v>
      </c>
      <c r="O112" s="120">
        <f t="shared" si="87"/>
        <v>-18.44000000000068</v>
      </c>
      <c r="P112" s="120">
        <f t="shared" si="87"/>
        <v>-422.42999999999915</v>
      </c>
      <c r="Q112" s="120">
        <f t="shared" si="87"/>
        <v>-42.650000000001029</v>
      </c>
      <c r="R112" s="120">
        <f t="shared" si="87"/>
        <v>-622.73999999999819</v>
      </c>
    </row>
    <row r="113" spans="10:13" x14ac:dyDescent="0.2">
      <c r="J113" s="35" t="s">
        <v>304</v>
      </c>
      <c r="K113" s="68">
        <v>200000</v>
      </c>
      <c r="L113" s="35"/>
      <c r="M113" s="35"/>
    </row>
    <row r="114" spans="10:13" x14ac:dyDescent="0.2">
      <c r="J114" s="35" t="s">
        <v>305</v>
      </c>
      <c r="K114" s="68">
        <v>1250000</v>
      </c>
      <c r="L114" s="35"/>
      <c r="M114" s="35"/>
    </row>
    <row r="115" spans="10:13" x14ac:dyDescent="0.2">
      <c r="J115" s="35"/>
      <c r="K115" s="48">
        <f>SUM(K112:K114)</f>
        <v>1450404.68</v>
      </c>
      <c r="L115" s="35"/>
      <c r="M115" s="35"/>
    </row>
    <row r="116" spans="10:13" x14ac:dyDescent="0.2">
      <c r="J116" s="35"/>
      <c r="K116" s="35"/>
      <c r="L116" s="35"/>
      <c r="M116" s="35"/>
    </row>
    <row r="117" spans="10:13" x14ac:dyDescent="0.2">
      <c r="J117" s="35"/>
      <c r="K117" s="35"/>
      <c r="L117" s="35"/>
      <c r="M117" s="35"/>
    </row>
    <row r="118" spans="10:13" x14ac:dyDescent="0.2">
      <c r="J118" s="35"/>
      <c r="K118" s="35"/>
      <c r="L118" s="35"/>
      <c r="M118" s="35"/>
    </row>
    <row r="119" spans="10:13" x14ac:dyDescent="0.2">
      <c r="J119" s="35"/>
      <c r="K119" s="35"/>
      <c r="L119" s="35"/>
      <c r="M119" s="35"/>
    </row>
    <row r="120" spans="10:13" x14ac:dyDescent="0.2">
      <c r="J120" s="35"/>
      <c r="K120" s="35"/>
      <c r="L120" s="35"/>
      <c r="M120" s="35"/>
    </row>
    <row r="121" spans="10:13" x14ac:dyDescent="0.2">
      <c r="J121" s="35"/>
      <c r="K121" s="35"/>
      <c r="L121" s="35"/>
      <c r="M121" s="35"/>
    </row>
    <row r="122" spans="10:13" x14ac:dyDescent="0.2">
      <c r="J122" s="35"/>
      <c r="K122" s="35"/>
      <c r="L122" s="35"/>
      <c r="M122" s="35"/>
    </row>
    <row r="123" spans="10:13" x14ac:dyDescent="0.2">
      <c r="J123" s="35"/>
      <c r="K123" s="35"/>
      <c r="L123" s="35"/>
      <c r="M123" s="35"/>
    </row>
    <row r="124" spans="10:13" x14ac:dyDescent="0.2">
      <c r="J124" s="35"/>
      <c r="K124" s="35"/>
      <c r="L124" s="35"/>
      <c r="M124" s="35"/>
    </row>
    <row r="125" spans="10:13" x14ac:dyDescent="0.2">
      <c r="J125" s="35"/>
      <c r="K125" s="35"/>
      <c r="L125" s="35"/>
      <c r="M125" s="35"/>
    </row>
    <row r="126" spans="10:13" x14ac:dyDescent="0.2">
      <c r="J126" s="35"/>
      <c r="K126" s="35"/>
      <c r="L126" s="35"/>
      <c r="M126" s="35"/>
    </row>
    <row r="127" spans="10:13" x14ac:dyDescent="0.2">
      <c r="J127" s="35"/>
      <c r="K127" s="35"/>
      <c r="L127" s="35"/>
      <c r="M127" s="35"/>
    </row>
    <row r="128" spans="10:13" x14ac:dyDescent="0.2">
      <c r="J128" s="35"/>
      <c r="K128" s="35"/>
      <c r="L128" s="35"/>
      <c r="M128" s="35"/>
    </row>
    <row r="129" spans="10:13" x14ac:dyDescent="0.2">
      <c r="J129" s="35"/>
      <c r="K129" s="35"/>
      <c r="L129" s="35"/>
      <c r="M129" s="35"/>
    </row>
    <row r="130" spans="10:13" x14ac:dyDescent="0.2">
      <c r="J130" s="35"/>
      <c r="K130" s="35"/>
      <c r="L130" s="35"/>
      <c r="M130" s="35"/>
    </row>
    <row r="131" spans="10:13" x14ac:dyDescent="0.2">
      <c r="J131" s="35"/>
      <c r="K131" s="35"/>
      <c r="L131" s="35"/>
      <c r="M131" s="35"/>
    </row>
    <row r="132" spans="10:13" x14ac:dyDescent="0.2">
      <c r="J132" s="35"/>
      <c r="K132" s="35"/>
      <c r="L132" s="35"/>
      <c r="M132" s="35"/>
    </row>
    <row r="133" spans="10:13" x14ac:dyDescent="0.2">
      <c r="J133" s="35"/>
      <c r="K133" s="35"/>
      <c r="L133" s="35"/>
      <c r="M133" s="35"/>
    </row>
    <row r="134" spans="10:13" x14ac:dyDescent="0.2">
      <c r="J134" s="35"/>
      <c r="K134" s="35"/>
      <c r="L134" s="35"/>
      <c r="M134" s="35"/>
    </row>
    <row r="135" spans="10:13" x14ac:dyDescent="0.2">
      <c r="J135" s="35"/>
      <c r="K135" s="35"/>
      <c r="L135" s="35"/>
      <c r="M135" s="35"/>
    </row>
    <row r="136" spans="10:13" x14ac:dyDescent="0.2">
      <c r="J136" s="35"/>
      <c r="K136" s="35"/>
      <c r="L136" s="35"/>
      <c r="M136" s="35"/>
    </row>
    <row r="137" spans="10:13" x14ac:dyDescent="0.2">
      <c r="J137" s="35"/>
      <c r="K137" s="35"/>
      <c r="L137" s="35"/>
      <c r="M137" s="35"/>
    </row>
    <row r="138" spans="10:13" x14ac:dyDescent="0.2">
      <c r="J138" s="35"/>
      <c r="K138" s="35"/>
      <c r="L138" s="35"/>
      <c r="M138" s="35"/>
    </row>
    <row r="139" spans="10:13" x14ac:dyDescent="0.2">
      <c r="J139" s="35"/>
      <c r="K139" s="35"/>
      <c r="L139" s="35"/>
      <c r="M139" s="35"/>
    </row>
    <row r="140" spans="10:13" x14ac:dyDescent="0.2">
      <c r="J140" s="35"/>
      <c r="K140" s="35"/>
    </row>
    <row r="141" spans="10:13" x14ac:dyDescent="0.2">
      <c r="J141" s="35"/>
      <c r="K141" s="35"/>
    </row>
    <row r="142" spans="10:13" x14ac:dyDescent="0.2">
      <c r="J142" s="35"/>
      <c r="K142" s="35"/>
    </row>
    <row r="143" spans="10:13" x14ac:dyDescent="0.2">
      <c r="J143" s="35"/>
      <c r="K143" s="35"/>
    </row>
    <row r="144" spans="10:13" x14ac:dyDescent="0.2">
      <c r="J144" s="35"/>
      <c r="K144" s="35"/>
    </row>
  </sheetData>
  <mergeCells count="1">
    <mergeCell ref="U5:W5"/>
  </mergeCells>
  <phoneticPr fontId="0" type="noConversion"/>
  <printOptions gridLines="1"/>
  <pageMargins left="0.23622047244094491" right="0" top="0.27559055118110237" bottom="1.1023622047244095" header="0.27559055118110237" footer="0.31496062992125984"/>
  <pageSetup paperSize="9" scale="94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D70"/>
  <sheetViews>
    <sheetView topLeftCell="A5" zoomScale="110" zoomScaleNormal="110" workbookViewId="0">
      <pane ySplit="2" topLeftCell="A30" activePane="bottomLeft" state="frozen"/>
      <selection activeCell="A5" sqref="A5"/>
      <selection pane="bottomLeft" activeCell="V37" sqref="V37"/>
    </sheetView>
  </sheetViews>
  <sheetFormatPr defaultRowHeight="12.75" x14ac:dyDescent="0.2"/>
  <cols>
    <col min="1" max="1" width="5" style="5" customWidth="1"/>
    <col min="2" max="2" width="3" style="5" customWidth="1"/>
    <col min="3" max="3" width="31.85546875" style="5" customWidth="1"/>
    <col min="4" max="4" width="9.140625" style="5" hidden="1" customWidth="1"/>
    <col min="5" max="5" width="12.140625" style="5" hidden="1" customWidth="1"/>
    <col min="6" max="6" width="13" style="5" hidden="1" customWidth="1"/>
    <col min="7" max="7" width="9.28515625" style="5" hidden="1" customWidth="1"/>
    <col min="8" max="8" width="9.7109375" style="5" hidden="1" customWidth="1"/>
    <col min="9" max="9" width="9.5703125" style="5" hidden="1" customWidth="1"/>
    <col min="10" max="10" width="10.140625" style="5" hidden="1" customWidth="1"/>
    <col min="11" max="11" width="0.140625" style="5" hidden="1" customWidth="1"/>
    <col min="12" max="13" width="9.28515625" style="5" hidden="1" customWidth="1"/>
    <col min="14" max="14" width="10.140625" style="5" hidden="1" customWidth="1"/>
    <col min="15" max="17" width="9.7109375" style="5" hidden="1" customWidth="1"/>
    <col min="18" max="18" width="0.28515625" style="5" customWidth="1"/>
    <col min="19" max="19" width="10.140625" style="5" customWidth="1"/>
    <col min="20" max="20" width="11.42578125" style="5" customWidth="1"/>
    <col min="21" max="21" width="11" style="5" customWidth="1"/>
    <col min="22" max="23" width="9.5703125" style="5" bestFit="1" customWidth="1"/>
    <col min="24" max="29" width="9.85546875" style="5" bestFit="1" customWidth="1"/>
    <col min="30" max="16384" width="9.140625" style="5"/>
  </cols>
  <sheetData>
    <row r="3" spans="2:30" ht="15.75" x14ac:dyDescent="0.25">
      <c r="B3" s="229"/>
      <c r="C3" s="230" t="s">
        <v>302</v>
      </c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31"/>
      <c r="P3" s="231"/>
      <c r="Q3" s="231"/>
      <c r="R3" s="231"/>
      <c r="S3" s="231"/>
      <c r="T3" s="231"/>
      <c r="U3" s="229"/>
      <c r="V3" s="229"/>
      <c r="W3" s="229"/>
      <c r="X3" s="232"/>
      <c r="Y3" s="232"/>
      <c r="Z3" s="232"/>
      <c r="AA3" s="232"/>
      <c r="AB3" s="232"/>
      <c r="AC3" s="232"/>
    </row>
    <row r="4" spans="2:30" x14ac:dyDescent="0.2">
      <c r="B4" s="233"/>
      <c r="C4" s="234" t="s">
        <v>360</v>
      </c>
      <c r="D4" s="235"/>
      <c r="E4" s="235"/>
      <c r="F4" s="235"/>
      <c r="G4" s="235"/>
      <c r="H4" s="235"/>
      <c r="I4" s="235"/>
      <c r="J4" s="229"/>
      <c r="K4" s="229"/>
      <c r="L4" s="229"/>
      <c r="M4" s="229"/>
      <c r="N4" s="229"/>
      <c r="O4" s="229"/>
      <c r="P4" s="229"/>
      <c r="Q4" s="236" t="s">
        <v>336</v>
      </c>
      <c r="R4" s="236"/>
      <c r="S4" s="236"/>
      <c r="T4" s="236"/>
      <c r="U4" s="286" t="s">
        <v>337</v>
      </c>
      <c r="V4" s="286"/>
      <c r="W4" s="232"/>
      <c r="X4" s="232"/>
      <c r="Y4" s="232"/>
      <c r="Z4" s="232"/>
      <c r="AA4" s="232"/>
      <c r="AB4" s="286" t="s">
        <v>337</v>
      </c>
      <c r="AC4" s="286"/>
    </row>
    <row r="5" spans="2:30" x14ac:dyDescent="0.2">
      <c r="B5" s="233"/>
      <c r="C5" s="233"/>
      <c r="D5" s="237" t="s">
        <v>1</v>
      </c>
      <c r="E5" s="238" t="s">
        <v>2</v>
      </c>
      <c r="F5" s="238">
        <v>38442</v>
      </c>
      <c r="G5" s="235"/>
      <c r="H5" s="235">
        <v>39538</v>
      </c>
      <c r="I5" s="235">
        <v>39903</v>
      </c>
      <c r="J5" s="235">
        <v>40268</v>
      </c>
      <c r="K5" s="235">
        <v>40633</v>
      </c>
      <c r="L5" s="235">
        <v>40999</v>
      </c>
      <c r="M5" s="239">
        <v>41364</v>
      </c>
      <c r="N5" s="239">
        <v>41729</v>
      </c>
      <c r="O5" s="239">
        <v>42094</v>
      </c>
      <c r="P5" s="239">
        <v>42460</v>
      </c>
      <c r="Q5" s="239">
        <v>42825</v>
      </c>
      <c r="R5" s="239">
        <v>43190</v>
      </c>
      <c r="S5" s="239">
        <v>43555</v>
      </c>
      <c r="T5" s="239">
        <v>43921</v>
      </c>
      <c r="U5" s="239">
        <v>44286</v>
      </c>
      <c r="V5" s="239">
        <v>44651</v>
      </c>
      <c r="W5" s="239">
        <v>45016</v>
      </c>
      <c r="X5" s="239">
        <v>45382</v>
      </c>
      <c r="Y5" s="239">
        <v>45747</v>
      </c>
      <c r="Z5" s="239">
        <v>46112</v>
      </c>
      <c r="AA5" s="239">
        <v>46477</v>
      </c>
      <c r="AB5" s="239">
        <v>46843</v>
      </c>
      <c r="AC5" s="239">
        <v>47208</v>
      </c>
    </row>
    <row r="6" spans="2:30" x14ac:dyDescent="0.2">
      <c r="B6" s="233"/>
      <c r="C6" s="233"/>
      <c r="D6" s="240" t="s">
        <v>3</v>
      </c>
      <c r="E6" s="240" t="s">
        <v>3</v>
      </c>
      <c r="F6" s="240" t="str">
        <f>E6</f>
        <v>Audited</v>
      </c>
      <c r="G6" s="235"/>
      <c r="H6" s="235" t="s">
        <v>3</v>
      </c>
      <c r="I6" s="235" t="s">
        <v>3</v>
      </c>
      <c r="J6" s="235" t="s">
        <v>3</v>
      </c>
      <c r="K6" s="235"/>
      <c r="L6" s="235"/>
      <c r="M6" s="235"/>
      <c r="N6" s="235"/>
      <c r="O6" s="235" t="s">
        <v>3</v>
      </c>
      <c r="P6" s="235" t="s">
        <v>3</v>
      </c>
      <c r="Q6" s="235" t="s">
        <v>3</v>
      </c>
      <c r="R6" s="235" t="s">
        <v>3</v>
      </c>
      <c r="S6" s="241" t="s">
        <v>3</v>
      </c>
      <c r="T6" s="235" t="s">
        <v>3</v>
      </c>
      <c r="U6" s="235" t="s">
        <v>359</v>
      </c>
      <c r="V6" s="235" t="s">
        <v>303</v>
      </c>
      <c r="W6" s="235" t="s">
        <v>303</v>
      </c>
      <c r="X6" s="242" t="s">
        <v>303</v>
      </c>
      <c r="Y6" s="242" t="s">
        <v>303</v>
      </c>
      <c r="Z6" s="242" t="s">
        <v>303</v>
      </c>
      <c r="AA6" s="242" t="s">
        <v>303</v>
      </c>
      <c r="AB6" s="242" t="s">
        <v>303</v>
      </c>
      <c r="AC6" s="242" t="s">
        <v>303</v>
      </c>
    </row>
    <row r="7" spans="2:30" x14ac:dyDescent="0.2">
      <c r="B7" s="234" t="s">
        <v>4</v>
      </c>
      <c r="C7" s="243" t="s">
        <v>218</v>
      </c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32"/>
      <c r="Y7" s="232"/>
      <c r="Z7" s="232"/>
      <c r="AA7" s="232"/>
      <c r="AB7" s="232"/>
      <c r="AC7" s="232"/>
    </row>
    <row r="8" spans="2:30" x14ac:dyDescent="0.2">
      <c r="B8" s="233"/>
      <c r="C8" s="244" t="s">
        <v>340</v>
      </c>
      <c r="D8" s="233">
        <v>57.55</v>
      </c>
      <c r="E8" s="233">
        <v>171.55</v>
      </c>
      <c r="F8" s="245">
        <f>'FORM - II'!G94</f>
        <v>70.04999999999923</v>
      </c>
      <c r="G8" s="245">
        <f>'FORM - II'!H94</f>
        <v>113.7099999999991</v>
      </c>
      <c r="H8" s="245">
        <f>'FORM - II'!I94</f>
        <v>184.40999999999923</v>
      </c>
      <c r="I8" s="245">
        <f>'FORM - II'!J94</f>
        <v>203.87000000000049</v>
      </c>
      <c r="J8" s="245">
        <v>404.68</v>
      </c>
      <c r="K8" s="245">
        <f>'FORM - II'!L100</f>
        <v>453.03999999999854</v>
      </c>
      <c r="L8" s="245">
        <f>'FORM - II'!M94</f>
        <v>461.14999999999856</v>
      </c>
      <c r="M8" s="245">
        <f>'FORM - II'!N94</f>
        <v>9.110000000001186</v>
      </c>
      <c r="N8" s="246">
        <f>'FORM - II'!O94</f>
        <v>-18.44000000000068</v>
      </c>
      <c r="O8" s="246">
        <f>'FORM - II'!P94</f>
        <v>-422.42999999999915</v>
      </c>
      <c r="P8" s="246">
        <f>'FORM - II'!Q94</f>
        <v>-42.650000000001029</v>
      </c>
      <c r="Q8" s="246">
        <f>'FORM - II'!R94</f>
        <v>-622.73999999999819</v>
      </c>
      <c r="R8" s="246">
        <f>'FORM - II'!S100</f>
        <v>-380.57000000000153</v>
      </c>
      <c r="S8" s="246">
        <f>'FORM - II'!T100</f>
        <v>-69.069999999998259</v>
      </c>
      <c r="T8" s="246">
        <f>'FORM - II'!U100</f>
        <v>-224.63000000000187</v>
      </c>
      <c r="U8" s="246">
        <f>'FORM - II'!V100</f>
        <v>-333.27999999999952</v>
      </c>
      <c r="V8" s="246">
        <f>'FORM - II'!W100</f>
        <v>-318.93999999999863</v>
      </c>
      <c r="W8" s="246">
        <f>'FORM - II'!X100</f>
        <v>358.89650000000012</v>
      </c>
      <c r="X8" s="246">
        <f>'FORM - II'!Y100</f>
        <v>377.93149999999906</v>
      </c>
      <c r="Y8" s="246">
        <f>'FORM - II'!Z100</f>
        <v>415.31149999999906</v>
      </c>
      <c r="Z8" s="246">
        <f>'FORM - II'!AA100</f>
        <v>393.14149999999995</v>
      </c>
      <c r="AA8" s="246">
        <f>'FORM - II'!AB100</f>
        <v>377.07</v>
      </c>
      <c r="AB8" s="246">
        <f>'FORM - II'!AC100</f>
        <v>385.75149999999996</v>
      </c>
      <c r="AC8" s="246">
        <f>'FORM - II'!AD100</f>
        <v>392.11149999999998</v>
      </c>
    </row>
    <row r="9" spans="2:30" x14ac:dyDescent="0.2">
      <c r="B9" s="233"/>
      <c r="C9" s="244" t="s">
        <v>219</v>
      </c>
      <c r="D9" s="233">
        <v>40.450000000000003</v>
      </c>
      <c r="E9" s="233">
        <v>47.21</v>
      </c>
      <c r="F9" s="245">
        <f>'FORM - II'!G42</f>
        <v>56.48</v>
      </c>
      <c r="G9" s="245">
        <f>'FORM - II'!H42</f>
        <v>69.5</v>
      </c>
      <c r="H9" s="245">
        <f>'FORM - II'!I42</f>
        <v>75.98</v>
      </c>
      <c r="I9" s="245">
        <f>'FORM - II'!J42</f>
        <v>77.569999999999993</v>
      </c>
      <c r="J9" s="245">
        <f>'FORM - II'!K42</f>
        <v>88.16</v>
      </c>
      <c r="K9" s="245">
        <f>'FORM - II'!L42</f>
        <v>96.94</v>
      </c>
      <c r="L9" s="245">
        <f>'FORM - II'!M42</f>
        <v>112.5</v>
      </c>
      <c r="M9" s="245">
        <f>'FORM - II'!N42</f>
        <v>182.42</v>
      </c>
      <c r="N9" s="245">
        <f>'FORM - II'!O42</f>
        <v>272.29000000000002</v>
      </c>
      <c r="O9" s="245">
        <f>'FORM - II'!P42</f>
        <v>474.73</v>
      </c>
      <c r="P9" s="245">
        <f>'FORM - II'!Q42</f>
        <v>498.26</v>
      </c>
      <c r="Q9" s="245">
        <f>'FORM - II'!R42</f>
        <v>433.43</v>
      </c>
      <c r="R9" s="245">
        <f>'FORM - II'!S42</f>
        <v>470.54</v>
      </c>
      <c r="S9" s="245">
        <f>'FORM - II'!T42</f>
        <v>428.66</v>
      </c>
      <c r="T9" s="245">
        <f>'FORM - II'!U42</f>
        <v>419.95</v>
      </c>
      <c r="U9" s="245">
        <f>'FORM - II'!V42</f>
        <v>402.34</v>
      </c>
      <c r="V9" s="245">
        <f>'FORM - II'!W42</f>
        <v>390</v>
      </c>
      <c r="W9" s="245">
        <f>'FORM - II'!X42</f>
        <v>390</v>
      </c>
      <c r="X9" s="245">
        <f>'FORM - II'!Y42</f>
        <v>390</v>
      </c>
      <c r="Y9" s="246">
        <f>'FORM - II'!Z42</f>
        <v>390</v>
      </c>
      <c r="Z9" s="245">
        <f>'FORM - II'!AA42</f>
        <v>390</v>
      </c>
      <c r="AA9" s="245">
        <f>'FORM - II'!AB42</f>
        <v>390</v>
      </c>
      <c r="AB9" s="245">
        <f>'FORM - II'!AC42</f>
        <v>390</v>
      </c>
      <c r="AC9" s="245">
        <f>'FORM - II'!AD42</f>
        <v>390</v>
      </c>
      <c r="AD9" s="5" t="s">
        <v>507</v>
      </c>
    </row>
    <row r="10" spans="2:30" x14ac:dyDescent="0.2">
      <c r="B10" s="233"/>
      <c r="C10" s="244" t="s">
        <v>312</v>
      </c>
      <c r="D10" s="233">
        <v>0</v>
      </c>
      <c r="E10" s="233">
        <v>0</v>
      </c>
      <c r="F10" s="245">
        <v>0</v>
      </c>
      <c r="G10" s="245">
        <v>0</v>
      </c>
      <c r="H10" s="245">
        <v>147.69</v>
      </c>
      <c r="I10" s="245">
        <v>18</v>
      </c>
      <c r="J10" s="245">
        <v>114.31</v>
      </c>
      <c r="K10" s="245">
        <v>208.31</v>
      </c>
      <c r="L10" s="245">
        <v>608.09</v>
      </c>
      <c r="M10" s="245">
        <v>659.19</v>
      </c>
      <c r="N10" s="245">
        <v>0</v>
      </c>
      <c r="O10" s="245">
        <v>0</v>
      </c>
      <c r="P10" s="245">
        <v>0</v>
      </c>
      <c r="Q10" s="245">
        <v>0</v>
      </c>
      <c r="R10" s="245">
        <v>0</v>
      </c>
      <c r="S10" s="245">
        <v>0</v>
      </c>
      <c r="T10" s="245">
        <v>0</v>
      </c>
      <c r="U10" s="245">
        <v>0</v>
      </c>
      <c r="V10" s="245">
        <v>0</v>
      </c>
      <c r="W10" s="245">
        <v>0</v>
      </c>
      <c r="X10" s="245">
        <v>0</v>
      </c>
      <c r="Y10" s="246">
        <v>0</v>
      </c>
      <c r="Z10" s="245">
        <v>0</v>
      </c>
      <c r="AA10" s="245">
        <v>0</v>
      </c>
      <c r="AB10" s="245">
        <v>0</v>
      </c>
      <c r="AC10" s="245">
        <v>0</v>
      </c>
    </row>
    <row r="11" spans="2:30" x14ac:dyDescent="0.2">
      <c r="B11" s="233"/>
      <c r="C11" s="244" t="s">
        <v>311</v>
      </c>
      <c r="D11" s="233"/>
      <c r="E11" s="233"/>
      <c r="F11" s="245"/>
      <c r="G11" s="245">
        <v>0</v>
      </c>
      <c r="H11" s="245">
        <v>0</v>
      </c>
      <c r="I11" s="245">
        <v>21.92</v>
      </c>
      <c r="J11" s="245">
        <v>460</v>
      </c>
      <c r="K11" s="245">
        <v>0</v>
      </c>
      <c r="L11" s="245">
        <v>0</v>
      </c>
      <c r="M11" s="245">
        <v>0</v>
      </c>
      <c r="N11" s="245">
        <v>0</v>
      </c>
      <c r="O11" s="245">
        <v>0</v>
      </c>
      <c r="P11" s="245">
        <v>0</v>
      </c>
      <c r="Q11" s="245">
        <v>0</v>
      </c>
      <c r="R11" s="245">
        <v>0</v>
      </c>
      <c r="S11" s="245">
        <v>0</v>
      </c>
      <c r="T11" s="245">
        <v>0</v>
      </c>
      <c r="U11" s="245">
        <v>0</v>
      </c>
      <c r="V11" s="245">
        <v>0</v>
      </c>
      <c r="W11" s="245">
        <v>0</v>
      </c>
      <c r="X11" s="245">
        <v>0</v>
      </c>
      <c r="Y11" s="246">
        <v>0</v>
      </c>
      <c r="Z11" s="245">
        <v>0</v>
      </c>
      <c r="AA11" s="245">
        <v>0</v>
      </c>
      <c r="AB11" s="245">
        <v>0</v>
      </c>
      <c r="AC11" s="245">
        <v>0</v>
      </c>
    </row>
    <row r="12" spans="2:30" x14ac:dyDescent="0.2">
      <c r="B12" s="233"/>
      <c r="C12" s="244" t="s">
        <v>306</v>
      </c>
      <c r="D12" s="233">
        <v>0</v>
      </c>
      <c r="E12" s="233">
        <v>0</v>
      </c>
      <c r="F12" s="245">
        <v>0</v>
      </c>
      <c r="G12" s="245">
        <v>0</v>
      </c>
      <c r="H12" s="245">
        <v>0</v>
      </c>
      <c r="I12" s="245">
        <v>0</v>
      </c>
      <c r="J12" s="245">
        <v>0</v>
      </c>
      <c r="K12" s="245">
        <v>0</v>
      </c>
      <c r="L12" s="245">
        <v>0</v>
      </c>
      <c r="M12" s="245">
        <v>0</v>
      </c>
      <c r="N12" s="245">
        <v>0</v>
      </c>
      <c r="O12" s="245">
        <v>0</v>
      </c>
      <c r="P12" s="245">
        <v>0</v>
      </c>
      <c r="Q12" s="245">
        <v>0</v>
      </c>
      <c r="R12" s="245">
        <v>0</v>
      </c>
      <c r="S12" s="245">
        <v>0</v>
      </c>
      <c r="T12" s="245">
        <v>0</v>
      </c>
      <c r="U12" s="245">
        <v>0</v>
      </c>
      <c r="V12" s="245">
        <v>0</v>
      </c>
      <c r="W12" s="245">
        <v>0</v>
      </c>
      <c r="X12" s="245">
        <v>0</v>
      </c>
      <c r="Y12" s="246">
        <v>0</v>
      </c>
      <c r="Z12" s="245">
        <v>0</v>
      </c>
      <c r="AA12" s="245">
        <v>0</v>
      </c>
      <c r="AB12" s="245">
        <v>0</v>
      </c>
      <c r="AC12" s="245">
        <v>0</v>
      </c>
    </row>
    <row r="13" spans="2:30" x14ac:dyDescent="0.2">
      <c r="B13" s="233"/>
      <c r="C13" s="244" t="s">
        <v>307</v>
      </c>
      <c r="D13" s="229"/>
      <c r="E13" s="229"/>
      <c r="F13" s="247"/>
      <c r="G13" s="247"/>
      <c r="H13" s="247"/>
      <c r="I13" s="247"/>
      <c r="J13" s="229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52"/>
      <c r="Z13" s="247"/>
      <c r="AA13" s="247"/>
      <c r="AB13" s="247"/>
      <c r="AC13" s="247"/>
    </row>
    <row r="14" spans="2:30" x14ac:dyDescent="0.2">
      <c r="B14" s="233"/>
      <c r="C14" s="244" t="s">
        <v>342</v>
      </c>
      <c r="D14" s="233">
        <v>0</v>
      </c>
      <c r="E14" s="233">
        <v>0</v>
      </c>
      <c r="F14" s="245">
        <v>0</v>
      </c>
      <c r="G14" s="245">
        <v>0</v>
      </c>
      <c r="H14" s="245">
        <v>4</v>
      </c>
      <c r="I14" s="245">
        <v>0</v>
      </c>
      <c r="J14" s="245">
        <v>8.23</v>
      </c>
      <c r="K14" s="245">
        <v>0</v>
      </c>
      <c r="L14" s="245">
        <v>0</v>
      </c>
      <c r="M14" s="245">
        <v>0</v>
      </c>
      <c r="N14" s="245">
        <v>0</v>
      </c>
      <c r="O14" s="245">
        <v>0</v>
      </c>
      <c r="P14" s="245">
        <v>0</v>
      </c>
      <c r="Q14" s="245">
        <v>0</v>
      </c>
      <c r="R14" s="245">
        <v>0</v>
      </c>
      <c r="S14" s="245">
        <v>211.3</v>
      </c>
      <c r="T14" s="245">
        <v>8.56</v>
      </c>
      <c r="U14" s="245">
        <f>'FORM - III'!V174-21.39</f>
        <v>13.36</v>
      </c>
      <c r="V14" s="245">
        <f>'FORM - III'!V175-'FORM - III'!W175</f>
        <v>0</v>
      </c>
      <c r="W14" s="245">
        <f>'FORM - III'!W170-'FORM - III'!X170</f>
        <v>0</v>
      </c>
      <c r="X14" s="245">
        <f>'FORM - III'!X175-'FORM - III'!Y175</f>
        <v>0</v>
      </c>
      <c r="Y14" s="246">
        <f>'FORM - III'!Y170-'FORM - III'!Z170</f>
        <v>0</v>
      </c>
      <c r="Z14" s="245">
        <f>'FORM - III'!Z170-'FORM - III'!AA170</f>
        <v>0</v>
      </c>
      <c r="AA14" s="245">
        <v>0</v>
      </c>
      <c r="AB14" s="245">
        <v>0</v>
      </c>
      <c r="AC14" s="245">
        <v>0</v>
      </c>
      <c r="AD14" s="5" t="s">
        <v>506</v>
      </c>
    </row>
    <row r="15" spans="2:30" x14ac:dyDescent="0.2">
      <c r="B15" s="233"/>
      <c r="C15" s="244" t="s">
        <v>221</v>
      </c>
      <c r="D15" s="233">
        <v>0.22</v>
      </c>
      <c r="E15" s="233">
        <v>26.8</v>
      </c>
      <c r="F15" s="245">
        <v>39.61</v>
      </c>
      <c r="G15" s="245">
        <v>0</v>
      </c>
      <c r="H15" s="245">
        <v>43.54</v>
      </c>
      <c r="I15" s="245">
        <v>0</v>
      </c>
      <c r="J15" s="245">
        <v>0</v>
      </c>
      <c r="K15" s="245">
        <v>0</v>
      </c>
      <c r="L15" s="245">
        <v>675.33</v>
      </c>
      <c r="M15" s="245">
        <v>0</v>
      </c>
      <c r="N15" s="245">
        <v>0</v>
      </c>
      <c r="O15" s="245">
        <v>459.7</v>
      </c>
      <c r="P15" s="245">
        <v>0</v>
      </c>
      <c r="Q15" s="245">
        <v>0</v>
      </c>
      <c r="R15" s="245">
        <v>0</v>
      </c>
      <c r="S15" s="245">
        <v>0</v>
      </c>
      <c r="T15" s="245">
        <v>0</v>
      </c>
      <c r="U15" s="245">
        <f>'FORM - III'!U204-'FORM - III'!V204</f>
        <v>2.6599999999999682</v>
      </c>
      <c r="V15" s="245">
        <f>'FORM - III'!V204-'FORM - III'!W204</f>
        <v>375.81</v>
      </c>
      <c r="W15" s="245">
        <f>'FORM - III'!W204-'FORM - III'!X204</f>
        <v>63.329999999999984</v>
      </c>
      <c r="X15" s="245">
        <f>'FORM - III'!X204-'FORM - III'!Y204</f>
        <v>94.480000000000018</v>
      </c>
      <c r="Y15" s="246">
        <f>'FORM - III'!Y204-'FORM - III'!Z204</f>
        <v>103.82999999999998</v>
      </c>
      <c r="Z15" s="245">
        <f>'FORM - III'!Z204-'FORM - III'!AA204</f>
        <v>58.360000000000014</v>
      </c>
      <c r="AA15" s="245">
        <v>0</v>
      </c>
      <c r="AB15" s="245">
        <v>0</v>
      </c>
      <c r="AC15" s="245">
        <v>0</v>
      </c>
      <c r="AD15" s="5" t="s">
        <v>508</v>
      </c>
    </row>
    <row r="16" spans="2:30" x14ac:dyDescent="0.2">
      <c r="B16" s="233"/>
      <c r="C16" s="244" t="s">
        <v>324</v>
      </c>
      <c r="D16" s="233">
        <v>1.27</v>
      </c>
      <c r="E16" s="233">
        <v>1.27</v>
      </c>
      <c r="F16" s="245">
        <v>0</v>
      </c>
      <c r="G16" s="245">
        <v>3.56</v>
      </c>
      <c r="H16" s="245">
        <v>0</v>
      </c>
      <c r="I16" s="245">
        <v>0</v>
      </c>
      <c r="J16" s="245">
        <v>6.31</v>
      </c>
      <c r="K16" s="245">
        <v>3.27</v>
      </c>
      <c r="L16" s="245">
        <v>0</v>
      </c>
      <c r="M16" s="245">
        <v>0</v>
      </c>
      <c r="N16" s="245">
        <v>0</v>
      </c>
      <c r="O16" s="245">
        <v>0</v>
      </c>
      <c r="P16" s="245">
        <v>0</v>
      </c>
      <c r="Q16" s="245">
        <v>0</v>
      </c>
      <c r="R16" s="245">
        <v>0</v>
      </c>
      <c r="S16" s="245">
        <v>0</v>
      </c>
      <c r="T16" s="245">
        <v>0</v>
      </c>
      <c r="U16" s="245">
        <v>0</v>
      </c>
      <c r="V16" s="245">
        <v>0</v>
      </c>
      <c r="W16" s="245">
        <v>0</v>
      </c>
      <c r="X16" s="247">
        <v>0</v>
      </c>
      <c r="Y16" s="246">
        <v>0</v>
      </c>
      <c r="Z16" s="245">
        <v>0</v>
      </c>
      <c r="AA16" s="245">
        <f>'FORM - III'!AA204-'FORM - III'!AB204</f>
        <v>0</v>
      </c>
      <c r="AB16" s="245">
        <f>'FORM - III'!AB204-'FORM - III'!AC204</f>
        <v>0</v>
      </c>
      <c r="AC16" s="245">
        <f>'FORM - III'!AC204-'FORM - III'!AD204</f>
        <v>0</v>
      </c>
    </row>
    <row r="17" spans="2:30" x14ac:dyDescent="0.2">
      <c r="B17" s="229"/>
      <c r="C17" s="244" t="s">
        <v>308</v>
      </c>
      <c r="D17" s="233">
        <v>7.46</v>
      </c>
      <c r="E17" s="233">
        <v>9.15</v>
      </c>
      <c r="F17" s="245">
        <v>0</v>
      </c>
      <c r="G17" s="245">
        <v>0</v>
      </c>
      <c r="H17" s="245">
        <v>28.19</v>
      </c>
      <c r="I17" s="245">
        <v>7.31</v>
      </c>
      <c r="J17" s="245">
        <v>0</v>
      </c>
      <c r="K17" s="245">
        <v>0</v>
      </c>
      <c r="L17" s="245">
        <v>31.23</v>
      </c>
      <c r="M17" s="245">
        <v>62.34</v>
      </c>
      <c r="N17" s="245">
        <v>19.850000000000001</v>
      </c>
      <c r="O17" s="245">
        <v>0</v>
      </c>
      <c r="P17" s="245">
        <v>0</v>
      </c>
      <c r="Q17" s="245">
        <v>0</v>
      </c>
      <c r="R17" s="245">
        <v>0</v>
      </c>
      <c r="S17" s="245">
        <v>0</v>
      </c>
      <c r="T17" s="245">
        <v>0</v>
      </c>
      <c r="U17" s="245">
        <v>0</v>
      </c>
      <c r="V17" s="245">
        <v>0</v>
      </c>
      <c r="W17" s="245">
        <v>0</v>
      </c>
      <c r="X17" s="245">
        <v>0</v>
      </c>
      <c r="Y17" s="246">
        <v>0</v>
      </c>
      <c r="Z17" s="245">
        <v>0</v>
      </c>
      <c r="AA17" s="245">
        <v>0</v>
      </c>
      <c r="AB17" s="245">
        <v>0</v>
      </c>
      <c r="AC17" s="245">
        <v>0</v>
      </c>
    </row>
    <row r="18" spans="2:30" x14ac:dyDescent="0.2">
      <c r="B18" s="229"/>
      <c r="C18" s="244" t="s">
        <v>309</v>
      </c>
      <c r="D18" s="233">
        <v>0</v>
      </c>
      <c r="E18" s="233">
        <v>0</v>
      </c>
      <c r="F18" s="245">
        <v>0</v>
      </c>
      <c r="G18" s="245">
        <v>134.71</v>
      </c>
      <c r="H18" s="245">
        <v>18.649999999999999</v>
      </c>
      <c r="I18" s="245">
        <v>0</v>
      </c>
      <c r="J18" s="245">
        <v>0</v>
      </c>
      <c r="K18" s="245">
        <v>35.049999999999997</v>
      </c>
      <c r="L18" s="245">
        <v>1655.09</v>
      </c>
      <c r="M18" s="245">
        <v>0</v>
      </c>
      <c r="N18" s="245">
        <v>446.75</v>
      </c>
      <c r="O18" s="245">
        <v>0</v>
      </c>
      <c r="P18" s="245">
        <v>0</v>
      </c>
      <c r="Q18" s="245">
        <v>0</v>
      </c>
      <c r="R18" s="245">
        <v>0</v>
      </c>
      <c r="S18" s="245">
        <f>+'FORM - III'!T80-'FORM - III'!S80</f>
        <v>1491.4099999999999</v>
      </c>
      <c r="T18" s="245">
        <v>0</v>
      </c>
      <c r="U18" s="245">
        <f>SUM('FORM - III'!V80-'FORM - III'!U80)</f>
        <v>498.01999999999953</v>
      </c>
      <c r="V18" s="245">
        <f>SUM('FORM - III'!W80-'FORM - III'!V80)</f>
        <v>677.21</v>
      </c>
      <c r="W18" s="245">
        <v>0</v>
      </c>
      <c r="X18" s="245">
        <v>0</v>
      </c>
      <c r="Y18" s="246">
        <v>0</v>
      </c>
      <c r="Z18" s="245">
        <v>0</v>
      </c>
      <c r="AA18" s="245">
        <v>0</v>
      </c>
      <c r="AB18" s="245">
        <v>0</v>
      </c>
      <c r="AC18" s="245">
        <v>0</v>
      </c>
      <c r="AD18" s="5" t="s">
        <v>505</v>
      </c>
    </row>
    <row r="19" spans="2:30" x14ac:dyDescent="0.2">
      <c r="B19" s="233"/>
      <c r="C19" s="233"/>
      <c r="D19" s="248" t="s">
        <v>0</v>
      </c>
      <c r="E19" s="248" t="s">
        <v>0</v>
      </c>
      <c r="F19" s="245"/>
      <c r="G19" s="245"/>
      <c r="H19" s="245"/>
      <c r="I19" s="245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90"/>
      <c r="Z19" s="248"/>
      <c r="AA19" s="248"/>
      <c r="AB19" s="248"/>
      <c r="AC19" s="248"/>
    </row>
    <row r="20" spans="2:30" x14ac:dyDescent="0.2">
      <c r="B20" s="233"/>
      <c r="C20" s="234" t="s">
        <v>222</v>
      </c>
      <c r="D20" s="233">
        <f t="shared" ref="D20:T20" si="0">SUM(D7:D18)</f>
        <v>106.94999999999999</v>
      </c>
      <c r="E20" s="233">
        <f t="shared" si="0"/>
        <v>255.98000000000005</v>
      </c>
      <c r="F20" s="235">
        <f t="shared" si="0"/>
        <v>166.13999999999925</v>
      </c>
      <c r="G20" s="235">
        <f t="shared" si="0"/>
        <v>321.47999999999911</v>
      </c>
      <c r="H20" s="235">
        <f t="shared" si="0"/>
        <v>502.45999999999924</v>
      </c>
      <c r="I20" s="235">
        <f t="shared" si="0"/>
        <v>328.67000000000053</v>
      </c>
      <c r="J20" s="235">
        <f t="shared" si="0"/>
        <v>1081.69</v>
      </c>
      <c r="K20" s="235">
        <f t="shared" si="0"/>
        <v>796.60999999999854</v>
      </c>
      <c r="L20" s="235">
        <f t="shared" si="0"/>
        <v>3543.3899999999985</v>
      </c>
      <c r="M20" s="235">
        <f t="shared" si="0"/>
        <v>913.0600000000012</v>
      </c>
      <c r="N20" s="235">
        <f t="shared" si="0"/>
        <v>720.44999999999936</v>
      </c>
      <c r="O20" s="245">
        <f t="shared" si="0"/>
        <v>512.00000000000091</v>
      </c>
      <c r="P20" s="245">
        <f t="shared" si="0"/>
        <v>455.60999999999899</v>
      </c>
      <c r="Q20" s="249">
        <f t="shared" si="0"/>
        <v>-189.30999999999818</v>
      </c>
      <c r="R20" s="235">
        <f t="shared" si="0"/>
        <v>89.969999999998493</v>
      </c>
      <c r="S20" s="235">
        <f t="shared" si="0"/>
        <v>2062.3000000000015</v>
      </c>
      <c r="T20" s="235">
        <f t="shared" si="0"/>
        <v>203.87999999999812</v>
      </c>
      <c r="U20" s="235">
        <f>SUM(U7:U18)</f>
        <v>583.09999999999991</v>
      </c>
      <c r="V20" s="235">
        <f>SUM(V7:V18)</f>
        <v>1124.0800000000013</v>
      </c>
      <c r="W20" s="235">
        <f>SUM(W7:W18)</f>
        <v>812.22649999999999</v>
      </c>
      <c r="X20" s="235">
        <f t="shared" ref="X20:AC20" si="1">SUM(X7:X18)</f>
        <v>862.41149999999902</v>
      </c>
      <c r="Y20" s="249">
        <f t="shared" si="1"/>
        <v>909.14149999999904</v>
      </c>
      <c r="Z20" s="235">
        <f t="shared" si="1"/>
        <v>841.50149999999996</v>
      </c>
      <c r="AA20" s="235">
        <f t="shared" si="1"/>
        <v>767.06999999999994</v>
      </c>
      <c r="AB20" s="235">
        <f t="shared" si="1"/>
        <v>775.75149999999996</v>
      </c>
      <c r="AC20" s="235">
        <f t="shared" si="1"/>
        <v>782.11149999999998</v>
      </c>
    </row>
    <row r="21" spans="2:30" x14ac:dyDescent="0.2">
      <c r="B21" s="234" t="s">
        <v>9</v>
      </c>
      <c r="C21" s="243" t="s">
        <v>223</v>
      </c>
      <c r="D21" s="229"/>
      <c r="E21" s="229"/>
      <c r="F21" s="247"/>
      <c r="G21" s="247"/>
      <c r="H21" s="247"/>
      <c r="I21" s="247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29"/>
      <c r="X21" s="229"/>
      <c r="Y21" s="250"/>
      <c r="Z21" s="229"/>
      <c r="AA21" s="229"/>
      <c r="AB21" s="229"/>
      <c r="AC21" s="229"/>
    </row>
    <row r="22" spans="2:30" x14ac:dyDescent="0.2">
      <c r="B22" s="233"/>
      <c r="C22" s="244" t="s">
        <v>224</v>
      </c>
      <c r="D22" s="233">
        <v>0</v>
      </c>
      <c r="E22" s="233">
        <v>0</v>
      </c>
      <c r="F22" s="245">
        <v>0</v>
      </c>
      <c r="G22" s="245">
        <v>0</v>
      </c>
      <c r="H22" s="245">
        <v>0</v>
      </c>
      <c r="I22" s="245">
        <v>0</v>
      </c>
      <c r="J22" s="245">
        <v>0</v>
      </c>
      <c r="K22" s="245">
        <v>0</v>
      </c>
      <c r="L22" s="245">
        <v>0</v>
      </c>
      <c r="M22" s="245">
        <v>0</v>
      </c>
      <c r="N22" s="245">
        <v>0</v>
      </c>
      <c r="O22" s="245">
        <v>0</v>
      </c>
      <c r="P22" s="245">
        <v>0</v>
      </c>
      <c r="Q22" s="245">
        <v>0</v>
      </c>
      <c r="R22" s="245">
        <v>0</v>
      </c>
      <c r="S22" s="245">
        <v>0</v>
      </c>
      <c r="T22" s="245">
        <v>0</v>
      </c>
      <c r="U22" s="245">
        <v>0</v>
      </c>
      <c r="V22" s="245">
        <v>0</v>
      </c>
      <c r="W22" s="245">
        <v>0</v>
      </c>
      <c r="X22" s="245">
        <v>0</v>
      </c>
      <c r="Y22" s="246">
        <v>0</v>
      </c>
      <c r="Z22" s="245">
        <v>0</v>
      </c>
      <c r="AA22" s="245">
        <v>0</v>
      </c>
      <c r="AB22" s="245">
        <v>0</v>
      </c>
      <c r="AC22" s="245">
        <v>0</v>
      </c>
    </row>
    <row r="23" spans="2:30" x14ac:dyDescent="0.2">
      <c r="B23" s="233"/>
      <c r="C23" s="244" t="s">
        <v>225</v>
      </c>
      <c r="D23" s="233">
        <v>5.05</v>
      </c>
      <c r="E23" s="233">
        <v>16.41</v>
      </c>
      <c r="F23" s="245">
        <v>8.56</v>
      </c>
      <c r="G23" s="245">
        <v>0</v>
      </c>
      <c r="H23" s="245">
        <v>0</v>
      </c>
      <c r="I23" s="245">
        <f>SUM('FORM - III'!I80-'FORM - III'!J80)</f>
        <v>4.6700000000000728</v>
      </c>
      <c r="J23" s="245">
        <v>64.39</v>
      </c>
      <c r="K23" s="245">
        <v>0</v>
      </c>
      <c r="L23" s="245">
        <v>0</v>
      </c>
      <c r="M23" s="246">
        <f>SUM('FORM - III'!M80-'FORM - III'!N80)</f>
        <v>-1229.3000000000002</v>
      </c>
      <c r="N23" s="245">
        <v>0</v>
      </c>
      <c r="O23" s="245">
        <v>173.88</v>
      </c>
      <c r="P23" s="245">
        <f>SUM('FORM - III'!P80-'FORM - III'!Q80)</f>
        <v>1539.9699999999998</v>
      </c>
      <c r="Q23" s="245">
        <v>569.47</v>
      </c>
      <c r="R23" s="245">
        <v>525.55999999999995</v>
      </c>
      <c r="S23" s="245"/>
      <c r="T23" s="245">
        <f>+'FORM - III'!T80-'FORM - III'!U80</f>
        <v>166.4699999999998</v>
      </c>
      <c r="U23" s="245">
        <v>0</v>
      </c>
      <c r="V23" s="245">
        <v>0</v>
      </c>
      <c r="W23" s="245">
        <f>SUM('FORM - III'!W80-'FORM - III'!X80)</f>
        <v>365.81999999999971</v>
      </c>
      <c r="X23" s="245">
        <f>'FORM - III'!X80-'FORM - III'!Y80</f>
        <v>789.99000000000024</v>
      </c>
      <c r="Y23" s="246">
        <f>SUM('FORM - III'!Y80-'FORM - III'!Z80)</f>
        <v>704.17999999999984</v>
      </c>
      <c r="Z23" s="245">
        <f>SUM('FORM - III'!Z80-'FORM - III'!AA80)</f>
        <v>467.48000000000013</v>
      </c>
      <c r="AA23" s="245">
        <f>SUM('FORM - III'!AA80-'FORM - III'!AB80)</f>
        <v>444.95999999999992</v>
      </c>
      <c r="AB23" s="245">
        <f>SUM('FORM - III'!AB80-'FORM - III'!AC80)</f>
        <v>36.44</v>
      </c>
      <c r="AC23" s="245">
        <f>SUM('FORM - III'!AC80-'FORM - III'!AD80)</f>
        <v>-1.1368683772161603E-13</v>
      </c>
      <c r="AD23" s="5" t="s">
        <v>505</v>
      </c>
    </row>
    <row r="24" spans="2:30" x14ac:dyDescent="0.2">
      <c r="B24" s="233"/>
      <c r="C24" s="244" t="s">
        <v>226</v>
      </c>
      <c r="D24" s="229"/>
      <c r="E24" s="229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52"/>
      <c r="Z24" s="247"/>
      <c r="AA24" s="247"/>
      <c r="AB24" s="247"/>
      <c r="AC24" s="247"/>
    </row>
    <row r="25" spans="2:30" x14ac:dyDescent="0.2">
      <c r="B25" s="233"/>
      <c r="C25" s="244" t="s">
        <v>227</v>
      </c>
      <c r="D25" s="229"/>
      <c r="E25" s="229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52"/>
      <c r="Z25" s="247"/>
      <c r="AA25" s="247"/>
      <c r="AB25" s="247"/>
      <c r="AC25" s="247"/>
    </row>
    <row r="26" spans="2:30" x14ac:dyDescent="0.2">
      <c r="B26" s="233"/>
      <c r="C26" s="244" t="s">
        <v>220</v>
      </c>
      <c r="D26" s="233">
        <v>135.57</v>
      </c>
      <c r="E26" s="233">
        <v>216</v>
      </c>
      <c r="F26" s="245">
        <v>117.14</v>
      </c>
      <c r="G26" s="245">
        <v>53.89</v>
      </c>
      <c r="H26" s="245">
        <v>197.41</v>
      </c>
      <c r="I26" s="245">
        <v>109.9</v>
      </c>
      <c r="J26" s="245">
        <v>310.75</v>
      </c>
      <c r="K26" s="245">
        <v>167.65</v>
      </c>
      <c r="L26" s="245">
        <v>1661.43</v>
      </c>
      <c r="M26" s="245">
        <f>2207.53-152.94</f>
        <v>2054.59</v>
      </c>
      <c r="N26" s="245">
        <v>1441.71</v>
      </c>
      <c r="O26" s="245">
        <v>1107.73</v>
      </c>
      <c r="P26" s="245">
        <v>311.98</v>
      </c>
      <c r="Q26" s="245">
        <f>142.44+12.44</f>
        <v>154.88</v>
      </c>
      <c r="R26" s="245">
        <v>189.95</v>
      </c>
      <c r="S26" s="245">
        <f>212.58-3.8</f>
        <v>208.78</v>
      </c>
      <c r="T26" s="245">
        <v>21.6</v>
      </c>
      <c r="U26" s="245">
        <f>'FORM - III'!V173</f>
        <v>55.74</v>
      </c>
      <c r="V26" s="245">
        <f>'FORM - III'!W175-'FORM - III'!V175</f>
        <v>0</v>
      </c>
      <c r="W26" s="245">
        <f>'FORM - III'!X175-'FORM - III'!W175</f>
        <v>0</v>
      </c>
      <c r="X26" s="245">
        <f>'FORM - III'!Y175-'FORM - III'!X175</f>
        <v>0</v>
      </c>
      <c r="Y26" s="246">
        <f>'FORM - III'!Z175-'FORM - III'!Y175</f>
        <v>0</v>
      </c>
      <c r="Z26" s="245">
        <f>'FORM - III'!AA175-'FORM - III'!Z175</f>
        <v>0</v>
      </c>
      <c r="AA26" s="245">
        <f>'FORM - III'!AB175-'FORM - III'!AA175</f>
        <v>150</v>
      </c>
      <c r="AB26" s="245">
        <f>'FORM - III'!AC175-'FORM - III'!AB175</f>
        <v>625</v>
      </c>
      <c r="AC26" s="245">
        <f>'FORM - III'!AD175-'FORM - III'!AC175</f>
        <v>800</v>
      </c>
      <c r="AD26" s="5" t="s">
        <v>506</v>
      </c>
    </row>
    <row r="27" spans="2:30" x14ac:dyDescent="0.2">
      <c r="B27" s="233"/>
      <c r="C27" s="244" t="s">
        <v>228</v>
      </c>
      <c r="D27" s="233">
        <v>0</v>
      </c>
      <c r="E27" s="233">
        <v>0</v>
      </c>
      <c r="F27" s="245">
        <v>0</v>
      </c>
      <c r="G27" s="245">
        <v>132.47999999999999</v>
      </c>
      <c r="H27" s="245">
        <v>0</v>
      </c>
      <c r="I27" s="245">
        <v>0</v>
      </c>
      <c r="J27" s="245">
        <v>0</v>
      </c>
      <c r="K27" s="245">
        <v>0</v>
      </c>
      <c r="L27" s="245">
        <v>0</v>
      </c>
      <c r="M27" s="245">
        <v>0</v>
      </c>
      <c r="N27" s="245">
        <v>0</v>
      </c>
      <c r="O27" s="245">
        <v>0</v>
      </c>
      <c r="P27" s="245">
        <v>0</v>
      </c>
      <c r="Q27" s="245">
        <v>0</v>
      </c>
      <c r="R27" s="245">
        <v>0</v>
      </c>
      <c r="S27" s="245">
        <v>0</v>
      </c>
      <c r="T27" s="245">
        <v>0</v>
      </c>
      <c r="U27" s="245">
        <v>0</v>
      </c>
      <c r="V27" s="245">
        <v>0</v>
      </c>
      <c r="W27" s="245">
        <v>0</v>
      </c>
      <c r="X27" s="245">
        <v>0</v>
      </c>
      <c r="Y27" s="246">
        <v>0</v>
      </c>
      <c r="Z27" s="245">
        <v>0</v>
      </c>
      <c r="AA27" s="245">
        <v>0</v>
      </c>
      <c r="AB27" s="245">
        <v>0</v>
      </c>
      <c r="AC27" s="245">
        <v>0</v>
      </c>
    </row>
    <row r="28" spans="2:30" x14ac:dyDescent="0.2">
      <c r="B28" s="233"/>
      <c r="C28" s="244" t="s">
        <v>221</v>
      </c>
      <c r="D28" s="233">
        <v>0</v>
      </c>
      <c r="E28" s="233">
        <v>0</v>
      </c>
      <c r="F28" s="245">
        <v>0</v>
      </c>
      <c r="G28" s="245">
        <v>14.32</v>
      </c>
      <c r="H28" s="245">
        <v>0</v>
      </c>
      <c r="I28" s="245">
        <f>SUM('FORM - III'!J204+'FORM - III'!J206-'FORM - III'!I204-'FORM - III'!I206)</f>
        <v>152.5</v>
      </c>
      <c r="J28" s="245">
        <f>SUM(526.75+17.16)</f>
        <v>543.91</v>
      </c>
      <c r="K28" s="245">
        <v>191.85</v>
      </c>
      <c r="L28" s="245">
        <v>0</v>
      </c>
      <c r="M28" s="245">
        <f>SUM('FORM - III'!N204+'FORM - III'!N206-'FORM - III'!M204-'FORM - III'!M206)-0.01</f>
        <v>505.6</v>
      </c>
      <c r="N28" s="245">
        <f>SUM('FORM - III'!O204+'FORM - III'!O206-'FORM - III'!N204-'FORM - III'!N206)</f>
        <v>61.8599999999999</v>
      </c>
      <c r="O28" s="245">
        <v>0</v>
      </c>
      <c r="P28" s="246">
        <v>-60.06</v>
      </c>
      <c r="Q28" s="246">
        <v>349.59</v>
      </c>
      <c r="R28" s="245">
        <v>64.12</v>
      </c>
      <c r="S28" s="245">
        <f>'FORM - III'!T204-'FORM - III'!S204</f>
        <v>21.159999999999968</v>
      </c>
      <c r="T28" s="245">
        <f>'FORM - III'!U204-'FORM - III'!T204</f>
        <v>89.139999999999986</v>
      </c>
      <c r="U28" s="245">
        <v>0</v>
      </c>
      <c r="V28" s="245"/>
      <c r="W28" s="245"/>
      <c r="X28" s="245"/>
      <c r="Y28" s="246"/>
      <c r="Z28" s="245"/>
      <c r="AA28" s="245"/>
      <c r="AB28" s="245"/>
      <c r="AC28" s="245"/>
      <c r="AD28" s="5" t="s">
        <v>508</v>
      </c>
    </row>
    <row r="29" spans="2:30" x14ac:dyDescent="0.2">
      <c r="B29" s="233"/>
      <c r="C29" s="244" t="s">
        <v>229</v>
      </c>
      <c r="D29" s="233">
        <v>0</v>
      </c>
      <c r="E29" s="233">
        <v>0</v>
      </c>
      <c r="F29" s="245">
        <v>0</v>
      </c>
      <c r="G29" s="245">
        <v>0</v>
      </c>
      <c r="H29" s="245">
        <v>0</v>
      </c>
      <c r="I29" s="245">
        <v>0</v>
      </c>
      <c r="J29" s="245">
        <v>0</v>
      </c>
      <c r="K29" s="245">
        <v>0</v>
      </c>
      <c r="L29" s="245">
        <v>0</v>
      </c>
      <c r="M29" s="245">
        <v>0</v>
      </c>
      <c r="N29" s="245">
        <v>0</v>
      </c>
      <c r="O29" s="245">
        <v>0</v>
      </c>
      <c r="P29" s="245">
        <v>0</v>
      </c>
      <c r="Q29" s="245">
        <v>0</v>
      </c>
      <c r="R29" s="245">
        <v>0</v>
      </c>
      <c r="S29" s="245">
        <v>0</v>
      </c>
      <c r="T29" s="245">
        <v>0</v>
      </c>
      <c r="U29" s="245">
        <v>0</v>
      </c>
      <c r="V29" s="245">
        <v>0</v>
      </c>
      <c r="W29" s="245">
        <v>0</v>
      </c>
      <c r="X29" s="245">
        <v>0</v>
      </c>
      <c r="Y29" s="246">
        <v>0</v>
      </c>
      <c r="Z29" s="245">
        <v>0</v>
      </c>
      <c r="AA29" s="245">
        <v>0</v>
      </c>
      <c r="AB29" s="245">
        <v>0</v>
      </c>
      <c r="AC29" s="245">
        <v>0</v>
      </c>
    </row>
    <row r="30" spans="2:30" x14ac:dyDescent="0.2">
      <c r="B30" s="233"/>
      <c r="C30" s="244" t="s">
        <v>230</v>
      </c>
      <c r="D30" s="233">
        <v>0</v>
      </c>
      <c r="E30" s="233">
        <v>11.33</v>
      </c>
      <c r="F30" s="245">
        <v>0</v>
      </c>
      <c r="G30" s="245">
        <v>0</v>
      </c>
      <c r="H30" s="245">
        <f>SUM(82.01+0.41)</f>
        <v>82.42</v>
      </c>
      <c r="I30" s="245">
        <v>10.65</v>
      </c>
      <c r="J30" s="245">
        <v>0</v>
      </c>
      <c r="K30" s="245">
        <f>73.69+16.83</f>
        <v>90.52</v>
      </c>
      <c r="L30" s="245">
        <v>0</v>
      </c>
      <c r="M30" s="245">
        <v>0</v>
      </c>
      <c r="N30" s="245">
        <v>16.43</v>
      </c>
      <c r="O30" s="245">
        <f>166.52+10.3</f>
        <v>176.82000000000002</v>
      </c>
      <c r="P30" s="245">
        <v>83.17</v>
      </c>
      <c r="Q30" s="245">
        <v>0</v>
      </c>
      <c r="R30" s="245">
        <v>144.71</v>
      </c>
      <c r="S30" s="245"/>
      <c r="T30" s="245">
        <v>0</v>
      </c>
      <c r="U30" s="245">
        <v>0</v>
      </c>
      <c r="V30" s="245">
        <v>0</v>
      </c>
      <c r="W30" s="245">
        <v>0</v>
      </c>
      <c r="X30" s="245">
        <v>0</v>
      </c>
      <c r="Y30" s="246">
        <v>0</v>
      </c>
      <c r="Z30" s="245">
        <v>0</v>
      </c>
      <c r="AA30" s="245">
        <v>0</v>
      </c>
      <c r="AB30" s="245">
        <v>0</v>
      </c>
      <c r="AC30" s="245">
        <v>0</v>
      </c>
    </row>
    <row r="31" spans="2:30" x14ac:dyDescent="0.2">
      <c r="B31" s="233"/>
      <c r="C31" s="244" t="s">
        <v>231</v>
      </c>
      <c r="D31" s="233">
        <v>0</v>
      </c>
      <c r="E31" s="233">
        <v>0</v>
      </c>
      <c r="F31" s="245">
        <v>0</v>
      </c>
      <c r="G31" s="245">
        <v>0</v>
      </c>
      <c r="H31" s="245">
        <v>0</v>
      </c>
      <c r="I31" s="245">
        <v>0</v>
      </c>
      <c r="J31" s="245">
        <v>0</v>
      </c>
      <c r="K31" s="245">
        <v>0</v>
      </c>
      <c r="L31" s="245">
        <v>0</v>
      </c>
      <c r="M31" s="245">
        <v>0</v>
      </c>
      <c r="N31" s="245">
        <v>0</v>
      </c>
      <c r="O31" s="245">
        <v>0</v>
      </c>
      <c r="P31" s="245">
        <v>0</v>
      </c>
      <c r="Q31" s="245">
        <v>0</v>
      </c>
      <c r="R31" s="245">
        <v>0</v>
      </c>
      <c r="S31" s="245">
        <v>0</v>
      </c>
      <c r="T31" s="245">
        <v>0</v>
      </c>
      <c r="U31" s="245">
        <v>0</v>
      </c>
      <c r="V31" s="245">
        <v>0</v>
      </c>
      <c r="W31" s="245">
        <v>0</v>
      </c>
      <c r="X31" s="245">
        <v>0</v>
      </c>
      <c r="Y31" s="246">
        <v>0</v>
      </c>
      <c r="Z31" s="245">
        <v>0</v>
      </c>
      <c r="AA31" s="245">
        <v>0</v>
      </c>
      <c r="AB31" s="245">
        <v>0</v>
      </c>
      <c r="AC31" s="245">
        <v>0</v>
      </c>
    </row>
    <row r="32" spans="2:30" x14ac:dyDescent="0.2">
      <c r="B32" s="233"/>
      <c r="C32" s="234" t="s">
        <v>232</v>
      </c>
      <c r="D32" s="233">
        <f t="shared" ref="D32:AC32" si="2">SUM(D22:D31)</f>
        <v>140.62</v>
      </c>
      <c r="E32" s="233">
        <f t="shared" si="2"/>
        <v>243.74</v>
      </c>
      <c r="F32" s="235">
        <f t="shared" si="2"/>
        <v>125.7</v>
      </c>
      <c r="G32" s="235">
        <f t="shared" si="2"/>
        <v>200.69</v>
      </c>
      <c r="H32" s="235">
        <f t="shared" si="2"/>
        <v>279.83</v>
      </c>
      <c r="I32" s="235">
        <f t="shared" si="2"/>
        <v>277.72000000000003</v>
      </c>
      <c r="J32" s="235">
        <f t="shared" si="2"/>
        <v>919.05</v>
      </c>
      <c r="K32" s="235">
        <f t="shared" si="2"/>
        <v>450.02</v>
      </c>
      <c r="L32" s="235">
        <f t="shared" si="2"/>
        <v>1661.43</v>
      </c>
      <c r="M32" s="235">
        <f t="shared" si="2"/>
        <v>1330.8899999999999</v>
      </c>
      <c r="N32" s="235">
        <f t="shared" si="2"/>
        <v>1520</v>
      </c>
      <c r="O32" s="235">
        <f t="shared" si="2"/>
        <v>1458.43</v>
      </c>
      <c r="P32" s="235">
        <f t="shared" si="2"/>
        <v>1875.06</v>
      </c>
      <c r="Q32" s="235">
        <f t="shared" si="2"/>
        <v>1073.94</v>
      </c>
      <c r="R32" s="235">
        <f t="shared" si="2"/>
        <v>924.34</v>
      </c>
      <c r="S32" s="249">
        <f t="shared" si="2"/>
        <v>229.93999999999997</v>
      </c>
      <c r="T32" s="235">
        <f t="shared" si="2"/>
        <v>277.20999999999981</v>
      </c>
      <c r="U32" s="235">
        <f t="shared" si="2"/>
        <v>55.74</v>
      </c>
      <c r="V32" s="235">
        <f t="shared" si="2"/>
        <v>0</v>
      </c>
      <c r="W32" s="235">
        <f t="shared" si="2"/>
        <v>365.81999999999971</v>
      </c>
      <c r="X32" s="235">
        <f t="shared" si="2"/>
        <v>789.99000000000024</v>
      </c>
      <c r="Y32" s="249">
        <f t="shared" si="2"/>
        <v>704.17999999999984</v>
      </c>
      <c r="Z32" s="235">
        <f t="shared" si="2"/>
        <v>467.48000000000013</v>
      </c>
      <c r="AA32" s="235">
        <f t="shared" si="2"/>
        <v>594.95999999999992</v>
      </c>
      <c r="AB32" s="235">
        <f t="shared" si="2"/>
        <v>661.44</v>
      </c>
      <c r="AC32" s="235">
        <f t="shared" si="2"/>
        <v>799.99999999999989</v>
      </c>
    </row>
    <row r="33" spans="2:30" x14ac:dyDescent="0.2">
      <c r="B33" s="233"/>
      <c r="C33" s="233"/>
      <c r="D33" s="248" t="s">
        <v>0</v>
      </c>
      <c r="E33" s="248"/>
      <c r="F33" s="245"/>
      <c r="G33" s="245"/>
      <c r="H33" s="245"/>
      <c r="I33" s="245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90"/>
      <c r="Z33" s="248"/>
      <c r="AA33" s="248"/>
      <c r="AB33" s="248"/>
      <c r="AC33" s="248"/>
    </row>
    <row r="34" spans="2:30" x14ac:dyDescent="0.2">
      <c r="B34" s="244" t="s">
        <v>10</v>
      </c>
      <c r="C34" s="244" t="s">
        <v>323</v>
      </c>
      <c r="D34" s="233">
        <f t="shared" ref="D34:AC34" si="3">D20-D32</f>
        <v>-33.670000000000016</v>
      </c>
      <c r="E34" s="233">
        <f t="shared" si="3"/>
        <v>12.240000000000038</v>
      </c>
      <c r="F34" s="245">
        <f t="shared" si="3"/>
        <v>40.439999999999245</v>
      </c>
      <c r="G34" s="245">
        <f t="shared" si="3"/>
        <v>120.78999999999911</v>
      </c>
      <c r="H34" s="245">
        <f t="shared" si="3"/>
        <v>222.62999999999926</v>
      </c>
      <c r="I34" s="245">
        <f t="shared" si="3"/>
        <v>50.9500000000005</v>
      </c>
      <c r="J34" s="245">
        <f t="shared" si="3"/>
        <v>162.6400000000001</v>
      </c>
      <c r="K34" s="245">
        <f t="shared" si="3"/>
        <v>346.58999999999855</v>
      </c>
      <c r="L34" s="245">
        <f t="shared" si="3"/>
        <v>1881.9599999999984</v>
      </c>
      <c r="M34" s="246">
        <f t="shared" si="3"/>
        <v>-417.82999999999868</v>
      </c>
      <c r="N34" s="246">
        <f t="shared" si="3"/>
        <v>-799.55000000000064</v>
      </c>
      <c r="O34" s="246">
        <f t="shared" si="3"/>
        <v>-946.42999999999915</v>
      </c>
      <c r="P34" s="246">
        <f t="shared" si="3"/>
        <v>-1419.450000000001</v>
      </c>
      <c r="Q34" s="246">
        <f t="shared" si="3"/>
        <v>-1263.2499999999982</v>
      </c>
      <c r="R34" s="246">
        <f t="shared" si="3"/>
        <v>-834.37000000000148</v>
      </c>
      <c r="S34" s="245">
        <f t="shared" si="3"/>
        <v>1832.3600000000015</v>
      </c>
      <c r="T34" s="245">
        <f t="shared" si="3"/>
        <v>-73.330000000001689</v>
      </c>
      <c r="U34" s="245">
        <f t="shared" si="3"/>
        <v>527.3599999999999</v>
      </c>
      <c r="V34" s="245">
        <f t="shared" si="3"/>
        <v>1124.0800000000013</v>
      </c>
      <c r="W34" s="245">
        <f t="shared" si="3"/>
        <v>446.40650000000028</v>
      </c>
      <c r="X34" s="245">
        <f t="shared" si="3"/>
        <v>72.421499999998787</v>
      </c>
      <c r="Y34" s="246">
        <f t="shared" si="3"/>
        <v>204.96149999999921</v>
      </c>
      <c r="Z34" s="245">
        <f t="shared" si="3"/>
        <v>374.02149999999983</v>
      </c>
      <c r="AA34" s="246">
        <f t="shared" si="3"/>
        <v>172.11</v>
      </c>
      <c r="AB34" s="245">
        <f t="shared" si="3"/>
        <v>114.31149999999991</v>
      </c>
      <c r="AC34" s="245">
        <f t="shared" si="3"/>
        <v>-17.888499999999908</v>
      </c>
    </row>
    <row r="35" spans="2:30" x14ac:dyDescent="0.2">
      <c r="B35" s="244" t="s">
        <v>12</v>
      </c>
      <c r="C35" s="244" t="s">
        <v>233</v>
      </c>
      <c r="D35" s="229"/>
      <c r="E35" s="229"/>
      <c r="F35" s="247"/>
      <c r="G35" s="247"/>
      <c r="H35" s="247"/>
      <c r="I35" s="247"/>
      <c r="J35" s="229"/>
      <c r="K35" s="229"/>
      <c r="L35" s="229"/>
      <c r="M35" s="229"/>
      <c r="N35" s="229"/>
      <c r="O35" s="229"/>
      <c r="P35" s="229"/>
      <c r="Q35" s="229"/>
      <c r="R35" s="250"/>
      <c r="S35" s="229"/>
      <c r="T35" s="229"/>
      <c r="U35" s="229"/>
      <c r="V35" s="229"/>
      <c r="W35" s="229"/>
      <c r="X35" s="229"/>
      <c r="Y35" s="250"/>
      <c r="Z35" s="229"/>
      <c r="AA35" s="229"/>
      <c r="AB35" s="229"/>
      <c r="AC35" s="229"/>
    </row>
    <row r="36" spans="2:30" x14ac:dyDescent="0.2">
      <c r="B36" s="233"/>
      <c r="C36" s="244" t="s">
        <v>234</v>
      </c>
      <c r="D36" s="233">
        <v>209.94</v>
      </c>
      <c r="E36" s="233">
        <v>113.42</v>
      </c>
      <c r="F36" s="245">
        <v>333.23</v>
      </c>
      <c r="G36" s="245">
        <v>17.41</v>
      </c>
      <c r="H36" s="245">
        <f>SUM('FORM - IV'!H50-'FORM - IV'!G50)</f>
        <v>636.81999999999971</v>
      </c>
      <c r="I36" s="245">
        <f>SUM('FORM - IV'!I50-'FORM - IV'!H50)</f>
        <v>53.040000000000418</v>
      </c>
      <c r="J36" s="245">
        <f>SUM('FORM - IV'!J50-'FORM - IV'!I50)</f>
        <v>391.52999999999975</v>
      </c>
      <c r="K36" s="245">
        <f>SUM('FORM - IV'!K50-'FORM - IV'!J50)</f>
        <v>1437.2399999999998</v>
      </c>
      <c r="L36" s="245">
        <f>SUM('FORM - IV'!L50-'FORM - IV'!K50)</f>
        <v>2693.16</v>
      </c>
      <c r="M36" s="246">
        <f>SUM('FORM - IV'!M50-'FORM - IV'!L50)</f>
        <v>-670.19999999999982</v>
      </c>
      <c r="N36" s="246">
        <f>SUM('FORM - IV'!N50-'FORM - IV'!M50)</f>
        <v>-531.17999999999847</v>
      </c>
      <c r="O36" s="246">
        <f>SUM('FORM - IV'!O50-'FORM - IV'!N50)</f>
        <v>-86.180000000001201</v>
      </c>
      <c r="P36" s="246">
        <f>SUM('FORM - IV'!P50-'FORM - IV'!O50)</f>
        <v>-34.399999999999636</v>
      </c>
      <c r="Q36" s="246">
        <f>SUM('FORM - IV'!Q50-'FORM - IV'!P50)</f>
        <v>-255.67000000000098</v>
      </c>
      <c r="R36" s="246">
        <f>SUM('FORM - IV'!R50-'FORM - IV'!Q50)</f>
        <v>-109.52999999999884</v>
      </c>
      <c r="S36" s="246">
        <f>SUM('FORM - IV'!S50-'FORM - IV'!R50)</f>
        <v>-321.30000000000018</v>
      </c>
      <c r="T36" s="246">
        <f>SUM('FORM - IV'!T50-'FORM - IV'!S50)</f>
        <v>-193.22999999999956</v>
      </c>
      <c r="U36" s="246">
        <f>SUM('FORM - IV'!U50-'FORM - IV'!T50)</f>
        <v>180.27999999999884</v>
      </c>
      <c r="V36" s="246">
        <f>SUM('FORM - IV'!V50-'FORM - IV'!U50)</f>
        <v>-665.53999999999905</v>
      </c>
      <c r="W36" s="246">
        <f>SUM('FORM - IV'!W50-'FORM - IV'!V50)</f>
        <v>673.25999999999931</v>
      </c>
      <c r="X36" s="246">
        <f>'FORM - III'!Y163-'FORM - III'!X163</f>
        <v>172.24000000000069</v>
      </c>
      <c r="Y36" s="246">
        <f>SUM('FORM - IV'!Y50-'FORM - IV'!X50)</f>
        <v>-35.760000000000218</v>
      </c>
      <c r="Z36" s="246">
        <f>SUM('FORM - IV'!Z50-'FORM - IV'!Y50)</f>
        <v>102.31999999999971</v>
      </c>
      <c r="AA36" s="246">
        <f>SUM('FORM - IV'!AA50-'FORM - IV'!Z50)</f>
        <v>49.590000000000146</v>
      </c>
      <c r="AB36" s="246">
        <f>SUM('FORM - IV'!AB50-'FORM - IV'!AA50)</f>
        <v>5.7899999999999636</v>
      </c>
      <c r="AC36" s="246">
        <f>SUM('FORM - IV'!AC50-'FORM - IV'!AB50)</f>
        <v>-54.329999999999927</v>
      </c>
      <c r="AD36" s="5" t="s">
        <v>507</v>
      </c>
    </row>
    <row r="37" spans="2:30" x14ac:dyDescent="0.2">
      <c r="B37" s="244" t="s">
        <v>13</v>
      </c>
      <c r="C37" s="244" t="s">
        <v>235</v>
      </c>
      <c r="D37" s="229"/>
      <c r="E37" s="229"/>
      <c r="F37" s="247"/>
      <c r="G37" s="247"/>
      <c r="H37" s="247"/>
      <c r="I37" s="247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50"/>
      <c r="Z37" s="229"/>
      <c r="AA37" s="229"/>
      <c r="AB37" s="229"/>
      <c r="AC37" s="229"/>
    </row>
    <row r="38" spans="2:30" x14ac:dyDescent="0.2">
      <c r="B38" s="233"/>
      <c r="C38" s="244" t="s">
        <v>236</v>
      </c>
      <c r="D38" s="233">
        <v>25.43</v>
      </c>
      <c r="E38" s="233">
        <v>133.97</v>
      </c>
      <c r="F38" s="245">
        <v>305.37</v>
      </c>
      <c r="G38" s="245">
        <v>-222.77</v>
      </c>
      <c r="H38" s="245" t="e">
        <f>SUM('FORM - IV'!H73-'FORM - IV'!G73)</f>
        <v>#REF!</v>
      </c>
      <c r="I38" s="245" t="e">
        <f>SUM('FORM - IV'!I73-'FORM - IV'!H73)</f>
        <v>#REF!</v>
      </c>
      <c r="J38" s="245" t="e">
        <f>SUM('FORM - IV'!J73-'FORM - IV'!I73)</f>
        <v>#REF!</v>
      </c>
      <c r="K38" s="245" t="e">
        <f>SUM('FORM - IV'!K73-'FORM - IV'!J73)</f>
        <v>#REF!</v>
      </c>
      <c r="L38" s="245" t="e">
        <f>SUM('FORM - IV'!L73-'FORM - IV'!K73)</f>
        <v>#REF!</v>
      </c>
      <c r="M38" s="246" t="e">
        <f>SUM('FORM - IV'!M73-'FORM - IV'!L73)</f>
        <v>#REF!</v>
      </c>
      <c r="N38" s="245" t="e">
        <f>SUM('FORM - IV'!N73-'FORM - IV'!M73)</f>
        <v>#REF!</v>
      </c>
      <c r="O38" s="245">
        <f>SUM('FORM - IV'!O73-'FORM - IV'!N73)</f>
        <v>751.52999999999975</v>
      </c>
      <c r="P38" s="245">
        <f>SUM('FORM - IV'!P73-'FORM - IV'!O73)</f>
        <v>1347.8200000000006</v>
      </c>
      <c r="Q38" s="245">
        <f>SUM('FORM - IV'!Q73-'FORM - IV'!P73)</f>
        <v>993.01999999999953</v>
      </c>
      <c r="R38" s="245">
        <f>SUM('FORM - IV'!R73-'FORM - IV'!Q73)</f>
        <v>771.21999999999935</v>
      </c>
      <c r="S38" s="246">
        <f>SUM('FORM - IV'!S73-'FORM - IV'!R73)</f>
        <v>-2248.639999999999</v>
      </c>
      <c r="T38" s="246">
        <f>SUM('FORM - IV'!T73-'FORM - IV'!S73)</f>
        <v>-219.45000000000027</v>
      </c>
      <c r="U38" s="246">
        <f>SUM('FORM - IV'!U73-'FORM - IV'!T73)</f>
        <v>-219.88000000000011</v>
      </c>
      <c r="V38" s="246">
        <f>SUM('FORM - IV'!V73-'FORM - IV'!U73)</f>
        <v>-1114.8499999999999</v>
      </c>
      <c r="W38" s="245">
        <f>SUM('FORM - IV'!W73-'FORM - IV'!V73)</f>
        <v>226.84999999999991</v>
      </c>
      <c r="X38" s="245">
        <f>SUM('FORM - IV'!X73-'FORM - IV'!W73)</f>
        <v>99.820000000000164</v>
      </c>
      <c r="Y38" s="246">
        <f>SUM('FORM - IV'!Y73-'FORM - IV'!X73)</f>
        <v>-240.72000000000003</v>
      </c>
      <c r="Z38" s="246">
        <f>SUM('FORM - IV'!Z73-'FORM - IV'!Y73)</f>
        <v>-271.70000000000005</v>
      </c>
      <c r="AA38" s="246">
        <f>SUM('FORM - IV'!AA73-'FORM - IV'!Z73)</f>
        <v>-122.51999999999998</v>
      </c>
      <c r="AB38" s="246">
        <f>SUM('FORM - IV'!AB73-'FORM - IV'!AA73)</f>
        <v>-108.51999999999998</v>
      </c>
      <c r="AC38" s="246">
        <f>SUM('FORM - IV'!AC73-'FORM - IV'!AB73)</f>
        <v>-36.440000000000055</v>
      </c>
      <c r="AD38" s="5" t="s">
        <v>507</v>
      </c>
    </row>
    <row r="39" spans="2:30" x14ac:dyDescent="0.2">
      <c r="B39" s="233"/>
      <c r="C39" s="244" t="s">
        <v>237</v>
      </c>
      <c r="D39" s="229"/>
      <c r="E39" s="229"/>
      <c r="F39" s="247"/>
      <c r="G39" s="247"/>
      <c r="H39" s="247"/>
      <c r="I39" s="247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50"/>
      <c r="Z39" s="229"/>
      <c r="AA39" s="229"/>
      <c r="AB39" s="229"/>
      <c r="AC39" s="229"/>
    </row>
    <row r="40" spans="2:30" x14ac:dyDescent="0.2">
      <c r="B40" s="244" t="s">
        <v>27</v>
      </c>
      <c r="C40" s="244" t="s">
        <v>238</v>
      </c>
      <c r="D40" s="233">
        <f>D36-D38</f>
        <v>184.51</v>
      </c>
      <c r="E40" s="233">
        <v>-20.54</v>
      </c>
      <c r="F40" s="245">
        <f t="shared" ref="F40:AC40" si="4">F36-F38</f>
        <v>27.860000000000014</v>
      </c>
      <c r="G40" s="245">
        <f t="shared" si="4"/>
        <v>240.18</v>
      </c>
      <c r="H40" s="245" t="e">
        <f t="shared" si="4"/>
        <v>#REF!</v>
      </c>
      <c r="I40" s="245" t="e">
        <f t="shared" si="4"/>
        <v>#REF!</v>
      </c>
      <c r="J40" s="245" t="e">
        <f t="shared" si="4"/>
        <v>#REF!</v>
      </c>
      <c r="K40" s="245" t="e">
        <f t="shared" si="4"/>
        <v>#REF!</v>
      </c>
      <c r="L40" s="245" t="e">
        <f t="shared" si="4"/>
        <v>#REF!</v>
      </c>
      <c r="M40" s="246" t="e">
        <f t="shared" si="4"/>
        <v>#REF!</v>
      </c>
      <c r="N40" s="246" t="e">
        <f t="shared" si="4"/>
        <v>#REF!</v>
      </c>
      <c r="O40" s="246">
        <f t="shared" si="4"/>
        <v>-837.71000000000095</v>
      </c>
      <c r="P40" s="246">
        <f t="shared" si="4"/>
        <v>-1382.2200000000003</v>
      </c>
      <c r="Q40" s="246">
        <f t="shared" si="4"/>
        <v>-1248.6900000000005</v>
      </c>
      <c r="R40" s="246">
        <f t="shared" si="4"/>
        <v>-880.74999999999818</v>
      </c>
      <c r="S40" s="246">
        <f t="shared" si="4"/>
        <v>1927.3399999999988</v>
      </c>
      <c r="T40" s="246">
        <f t="shared" si="4"/>
        <v>26.220000000000709</v>
      </c>
      <c r="U40" s="246">
        <f t="shared" si="4"/>
        <v>400.15999999999894</v>
      </c>
      <c r="V40" s="246">
        <f t="shared" si="4"/>
        <v>449.31000000000085</v>
      </c>
      <c r="W40" s="246">
        <f t="shared" si="4"/>
        <v>446.4099999999994</v>
      </c>
      <c r="X40" s="246">
        <f t="shared" si="4"/>
        <v>72.420000000000528</v>
      </c>
      <c r="Y40" s="246">
        <f t="shared" si="4"/>
        <v>204.95999999999981</v>
      </c>
      <c r="Z40" s="246">
        <f t="shared" si="4"/>
        <v>374.01999999999975</v>
      </c>
      <c r="AA40" s="246">
        <f t="shared" si="4"/>
        <v>172.11000000000013</v>
      </c>
      <c r="AB40" s="246">
        <f t="shared" si="4"/>
        <v>114.30999999999995</v>
      </c>
      <c r="AC40" s="246">
        <f t="shared" si="4"/>
        <v>-17.889999999999873</v>
      </c>
    </row>
    <row r="41" spans="2:30" x14ac:dyDescent="0.2">
      <c r="B41" s="233"/>
      <c r="C41" s="244" t="s">
        <v>239</v>
      </c>
      <c r="D41" s="229"/>
      <c r="E41" s="229"/>
      <c r="F41" s="247"/>
      <c r="G41" s="247"/>
      <c r="H41" s="247"/>
      <c r="I41" s="247"/>
      <c r="J41" s="229"/>
      <c r="K41" s="229"/>
      <c r="L41" s="229"/>
      <c r="M41" s="229"/>
      <c r="N41" s="229"/>
      <c r="O41" s="229"/>
      <c r="P41" s="229"/>
      <c r="Q41" s="229"/>
      <c r="R41" s="229"/>
      <c r="S41" s="229"/>
      <c r="T41" s="229"/>
      <c r="U41" s="229"/>
      <c r="V41" s="229"/>
      <c r="W41" s="229"/>
      <c r="X41" s="229"/>
      <c r="Y41" s="250"/>
      <c r="Z41" s="229"/>
      <c r="AA41" s="229"/>
      <c r="AB41" s="229"/>
      <c r="AC41" s="229"/>
    </row>
    <row r="42" spans="2:30" x14ac:dyDescent="0.2">
      <c r="B42" s="233"/>
      <c r="C42" s="233"/>
      <c r="D42" s="229"/>
      <c r="E42" s="229"/>
      <c r="F42" s="247"/>
      <c r="G42" s="247"/>
      <c r="H42" s="247"/>
      <c r="I42" s="247"/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29"/>
      <c r="U42" s="229"/>
      <c r="V42" s="229"/>
      <c r="W42" s="229"/>
      <c r="X42" s="229"/>
      <c r="Y42" s="250"/>
      <c r="Z42" s="229"/>
      <c r="AA42" s="229"/>
      <c r="AB42" s="229"/>
      <c r="AC42" s="229"/>
    </row>
    <row r="43" spans="2:30" x14ac:dyDescent="0.2">
      <c r="B43" s="244" t="s">
        <v>29</v>
      </c>
      <c r="C43" s="244" t="s">
        <v>240</v>
      </c>
      <c r="D43" s="233">
        <f>D34-D40</f>
        <v>-218.18</v>
      </c>
      <c r="E43" s="233">
        <v>32.78</v>
      </c>
      <c r="F43" s="245">
        <f>F34-F40</f>
        <v>12.579999999999231</v>
      </c>
      <c r="G43" s="245">
        <f>G34-G40</f>
        <v>-119.3900000000009</v>
      </c>
      <c r="H43" s="245" t="e">
        <f>H34-H40</f>
        <v>#REF!</v>
      </c>
      <c r="I43" s="245" t="e">
        <f>I34-I40</f>
        <v>#REF!</v>
      </c>
      <c r="J43" s="245" t="e">
        <f>J34-J40</f>
        <v>#REF!</v>
      </c>
      <c r="K43" s="245" t="e">
        <f>K34-K40+0.01</f>
        <v>#REF!</v>
      </c>
      <c r="L43" s="245" t="e">
        <f>L34-L40</f>
        <v>#REF!</v>
      </c>
      <c r="M43" s="246" t="e">
        <f>M34-M40-0.01</f>
        <v>#REF!</v>
      </c>
      <c r="N43" s="246" t="e">
        <f>N34-N40+0.02</f>
        <v>#REF!</v>
      </c>
      <c r="O43" s="246">
        <f t="shared" ref="O43:X43" si="5">O34-O40</f>
        <v>-108.71999999999821</v>
      </c>
      <c r="P43" s="246">
        <f t="shared" si="5"/>
        <v>-37.2300000000007</v>
      </c>
      <c r="Q43" s="246">
        <f t="shared" si="5"/>
        <v>-14.559999999997672</v>
      </c>
      <c r="R43" s="246">
        <f t="shared" si="5"/>
        <v>46.379999999996699</v>
      </c>
      <c r="S43" s="246">
        <f t="shared" si="5"/>
        <v>-94.97999999999729</v>
      </c>
      <c r="T43" s="246">
        <f t="shared" si="5"/>
        <v>-99.550000000002399</v>
      </c>
      <c r="U43" s="246">
        <f t="shared" si="5"/>
        <v>127.20000000000095</v>
      </c>
      <c r="V43" s="246">
        <f t="shared" si="5"/>
        <v>674.77000000000044</v>
      </c>
      <c r="W43" s="246">
        <f t="shared" si="5"/>
        <v>-3.4999999991214281E-3</v>
      </c>
      <c r="X43" s="246">
        <f t="shared" si="5"/>
        <v>1.4999999982592271E-3</v>
      </c>
      <c r="Y43" s="246">
        <f>Y34-Y40</f>
        <v>1.4999999993960955E-3</v>
      </c>
      <c r="Z43" s="246">
        <f>Z34-Z40</f>
        <v>1.5000000000782165E-3</v>
      </c>
      <c r="AA43" s="246">
        <f>AA34-AA40</f>
        <v>0</v>
      </c>
      <c r="AB43" s="246">
        <f>AB34-AB40</f>
        <v>1.4999999999645297E-3</v>
      </c>
      <c r="AC43" s="246">
        <f>AC34-AC40</f>
        <v>1.4999999999645297E-3</v>
      </c>
    </row>
    <row r="44" spans="2:30" x14ac:dyDescent="0.2">
      <c r="B44" s="233"/>
      <c r="C44" s="244" t="s">
        <v>241</v>
      </c>
      <c r="D44" s="229"/>
      <c r="E44" s="229"/>
      <c r="F44" s="247"/>
      <c r="G44" s="247"/>
      <c r="H44" s="247"/>
      <c r="I44" s="247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50"/>
      <c r="Z44" s="229"/>
      <c r="AA44" s="229"/>
      <c r="AB44" s="229"/>
      <c r="AC44" s="229"/>
    </row>
    <row r="45" spans="2:30" x14ac:dyDescent="0.2">
      <c r="B45" s="244" t="s">
        <v>31</v>
      </c>
      <c r="C45" s="244" t="s">
        <v>242</v>
      </c>
      <c r="D45" s="233">
        <v>218.18</v>
      </c>
      <c r="E45" s="233">
        <v>-32.79</v>
      </c>
      <c r="F45" s="245">
        <v>-12.58</v>
      </c>
      <c r="G45" s="245">
        <v>119.39</v>
      </c>
      <c r="H45" s="245">
        <f>'FORM - III'!I20-'FORM - III'!H20</f>
        <v>25.269999999999982</v>
      </c>
      <c r="I45" s="245">
        <f>'FORM - III'!J20-'FORM - III'!I20</f>
        <v>242.45000000000005</v>
      </c>
      <c r="J45" s="245">
        <f>'FORM - III'!K20-'FORM - III'!J20</f>
        <v>-4.6800000000000637</v>
      </c>
      <c r="K45" s="245">
        <f>'FORM - III'!L20-'FORM - III'!K20</f>
        <v>656.75000000000011</v>
      </c>
      <c r="L45" s="245">
        <f>'FORM - III'!M20-'FORM - III'!L20</f>
        <v>297.02</v>
      </c>
      <c r="M45" s="245">
        <f>'FORM - III'!N20-'FORM - III'!M20</f>
        <v>350.09999999999991</v>
      </c>
      <c r="N45" s="245">
        <f>'FORM - III'!O20-'FORM - III'!N20</f>
        <v>258.02</v>
      </c>
      <c r="O45" s="245">
        <f>'FORM - III'!P20-'FORM - III'!O20</f>
        <v>108.72000000000025</v>
      </c>
      <c r="P45" s="245">
        <f>'FORM - III'!Q20-'FORM - III'!P20</f>
        <v>37.230000000000018</v>
      </c>
      <c r="Q45" s="245">
        <f>'FORM - III'!R20-'FORM - III'!Q20</f>
        <v>14.559999999999945</v>
      </c>
      <c r="R45" s="246">
        <f>'FORM - III'!S20-'FORM - III'!R20</f>
        <v>-46.380000000000109</v>
      </c>
      <c r="S45" s="245">
        <f>'FORM - III'!T20-'FORM - III'!S20</f>
        <v>94.980000000000018</v>
      </c>
      <c r="T45" s="246">
        <f>'FORM - III'!U20-'FORM - III'!T20</f>
        <v>99.549999999999727</v>
      </c>
      <c r="U45" s="246">
        <f>'FORM - III'!V20-'FORM - III'!U20</f>
        <v>-127.19999999999982</v>
      </c>
      <c r="V45" s="246">
        <f>'FORM - III'!W20-'FORM - III'!V20</f>
        <v>-674.77</v>
      </c>
      <c r="W45" s="245">
        <f>'FORM - III'!X20-'FORM - III'!W20</f>
        <v>0</v>
      </c>
      <c r="X45" s="245">
        <f>'FORM - III'!Y20-'FORM - III'!X20</f>
        <v>0</v>
      </c>
      <c r="Y45" s="246">
        <f>'FORM - III'!Z20-'FORM - III'!Y20</f>
        <v>0</v>
      </c>
      <c r="Z45" s="245">
        <f>'FORM - III'!AA20-'FORM - III'!Z20</f>
        <v>0</v>
      </c>
      <c r="AA45" s="245">
        <f>'FORM - III'!AB20-'FORM - III'!AA20</f>
        <v>0</v>
      </c>
      <c r="AB45" s="245">
        <f>'FORM - III'!AC20-'FORM - III'!AB20</f>
        <v>0</v>
      </c>
      <c r="AC45" s="245">
        <f>'FORM - III'!AD20-'FORM - III'!AC20</f>
        <v>0</v>
      </c>
      <c r="AD45" s="5" t="s">
        <v>509</v>
      </c>
    </row>
    <row r="46" spans="2:30" x14ac:dyDescent="0.2">
      <c r="B46" s="233"/>
      <c r="C46" s="244" t="s">
        <v>243</v>
      </c>
      <c r="D46" s="229"/>
      <c r="E46" s="229"/>
      <c r="F46" s="247"/>
      <c r="G46" s="247"/>
      <c r="H46" s="247"/>
      <c r="I46" s="247"/>
      <c r="J46" s="229"/>
      <c r="K46" s="229"/>
      <c r="L46" s="229"/>
      <c r="M46" s="229"/>
      <c r="N46" s="229"/>
      <c r="O46" s="241"/>
      <c r="P46" s="229"/>
      <c r="Q46" s="229"/>
      <c r="R46" s="229"/>
      <c r="S46" s="229"/>
      <c r="T46" s="229"/>
      <c r="U46" s="229"/>
      <c r="V46" s="229"/>
      <c r="W46" s="229"/>
      <c r="X46" s="229"/>
      <c r="Y46" s="250"/>
      <c r="Z46" s="229"/>
      <c r="AA46" s="229"/>
      <c r="AB46" s="229"/>
      <c r="AC46" s="229"/>
    </row>
    <row r="47" spans="2:30" x14ac:dyDescent="0.2">
      <c r="B47" s="233"/>
      <c r="C47" s="233"/>
      <c r="D47" s="248"/>
      <c r="E47" s="248"/>
      <c r="F47" s="245"/>
      <c r="G47" s="245"/>
      <c r="H47" s="245"/>
      <c r="I47" s="245"/>
      <c r="J47" s="248"/>
      <c r="K47" s="248"/>
      <c r="L47" s="248"/>
      <c r="M47" s="229"/>
      <c r="N47" s="229"/>
      <c r="O47" s="241"/>
      <c r="P47" s="229"/>
      <c r="Q47" s="229"/>
      <c r="R47" s="229"/>
      <c r="S47" s="229"/>
      <c r="T47" s="229"/>
      <c r="U47" s="229"/>
      <c r="V47" s="229"/>
      <c r="W47" s="229"/>
      <c r="X47" s="229"/>
      <c r="Y47" s="250"/>
      <c r="Z47" s="229"/>
      <c r="AA47" s="229"/>
      <c r="AB47" s="229"/>
      <c r="AC47" s="229"/>
    </row>
    <row r="48" spans="2:30" x14ac:dyDescent="0.2">
      <c r="B48" s="234" t="s">
        <v>244</v>
      </c>
      <c r="C48" s="233"/>
      <c r="D48" s="233">
        <v>458.47</v>
      </c>
      <c r="E48" s="233">
        <v>916.93</v>
      </c>
      <c r="F48" s="245">
        <v>1218.79</v>
      </c>
      <c r="G48" s="235">
        <v>346.5</v>
      </c>
      <c r="H48" s="235">
        <f>'FORM - II'!I18-'FORM - II'!H18</f>
        <v>909.50999999999931</v>
      </c>
      <c r="I48" s="235">
        <f>'FORM - II'!J18-'FORM - II'!I18</f>
        <v>1119.7800000000025</v>
      </c>
      <c r="J48" s="235">
        <f>'FORM - II'!K18-'FORM - II'!J18</f>
        <v>1009.2299999999996</v>
      </c>
      <c r="K48" s="235">
        <f>'FORM - II'!L18-'FORM - II'!K18</f>
        <v>1687.42</v>
      </c>
      <c r="L48" s="235">
        <f>'FORM - II'!M18-'FORM - II'!L18</f>
        <v>1116.7999999999993</v>
      </c>
      <c r="M48" s="249">
        <f>'FORM - II'!N18-'FORM - II'!M18</f>
        <v>-598.38000000000102</v>
      </c>
      <c r="N48" s="235">
        <f>'FORM - II'!O18-'FORM - II'!N18</f>
        <v>485.4900000000016</v>
      </c>
      <c r="O48" s="235">
        <f>'FORM - II'!P18-'FORM - II'!O18</f>
        <v>2559.7299999999996</v>
      </c>
      <c r="P48" s="235">
        <f>'FORM - II'!Q18-'FORM - II'!P18</f>
        <v>860.06000000000131</v>
      </c>
      <c r="Q48" s="249">
        <f>'FORM - II'!R18-'FORM - II'!Q18</f>
        <v>-4107.7700000000004</v>
      </c>
      <c r="R48" s="235">
        <f>'FORM - II'!S18-'FORM - II'!R18</f>
        <v>816.67000000000007</v>
      </c>
      <c r="S48" s="235">
        <f>'FORM - II'!T18-'FORM - II'!S18</f>
        <v>2296.5499999999993</v>
      </c>
      <c r="T48" s="246">
        <f>'FORM - II'!U18-'FORM - II'!T18</f>
        <v>-6999.4400000000005</v>
      </c>
      <c r="U48" s="246">
        <f>'FORM - II'!V18-'FORM - II'!U18</f>
        <v>-664.68999999999869</v>
      </c>
      <c r="V48" s="235">
        <f>'FORM - II'!W18-'FORM - II'!V18</f>
        <v>2344.619999999999</v>
      </c>
      <c r="W48" s="235">
        <f>'FORM - II'!X18-'FORM - II'!W18</f>
        <v>1875</v>
      </c>
      <c r="X48" s="235">
        <f>'FORM - II'!Y18-'FORM - II'!X18</f>
        <v>1795</v>
      </c>
      <c r="Y48" s="249">
        <f>'FORM - II'!Z18-'FORM - II'!Y18</f>
        <v>0</v>
      </c>
      <c r="Z48" s="235">
        <f>'FORM - II'!AA18-'FORM - II'!Z18</f>
        <v>0</v>
      </c>
      <c r="AA48" s="235">
        <f>'FORM - II'!AB18-'FORM - II'!AA18</f>
        <v>0</v>
      </c>
      <c r="AB48" s="235">
        <f>'FORM - II'!AC18-'FORM - II'!AB18</f>
        <v>0</v>
      </c>
      <c r="AC48" s="235">
        <f>'FORM - II'!AD18-'FORM - II'!AC18</f>
        <v>0</v>
      </c>
    </row>
    <row r="49" spans="2:30" x14ac:dyDescent="0.2">
      <c r="B49" s="233"/>
      <c r="C49" s="233"/>
      <c r="D49" s="248" t="s">
        <v>0</v>
      </c>
      <c r="E49" s="248"/>
      <c r="F49" s="245"/>
      <c r="G49" s="245"/>
      <c r="H49" s="245"/>
      <c r="I49" s="245"/>
      <c r="J49" s="248"/>
      <c r="K49" s="248"/>
      <c r="L49" s="248"/>
      <c r="M49" s="248"/>
      <c r="N49" s="248"/>
      <c r="O49" s="251"/>
      <c r="P49" s="248"/>
      <c r="Q49" s="248"/>
      <c r="R49" s="248"/>
      <c r="S49" s="248"/>
      <c r="T49" s="248"/>
      <c r="U49" s="248"/>
      <c r="V49" s="248"/>
      <c r="W49" s="248"/>
      <c r="X49" s="248"/>
      <c r="Y49" s="290"/>
      <c r="Z49" s="248"/>
      <c r="AA49" s="248"/>
      <c r="AB49" s="248"/>
      <c r="AC49" s="248"/>
    </row>
    <row r="50" spans="2:30" x14ac:dyDescent="0.2">
      <c r="B50" s="234" t="s">
        <v>245</v>
      </c>
      <c r="C50" s="233"/>
      <c r="D50" s="229"/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241"/>
      <c r="P50" s="229"/>
      <c r="Q50" s="229"/>
      <c r="R50" s="229"/>
      <c r="S50" s="229"/>
      <c r="T50" s="229"/>
      <c r="U50" s="229"/>
      <c r="V50" s="229"/>
      <c r="W50" s="229"/>
      <c r="X50" s="229"/>
      <c r="Y50" s="250"/>
      <c r="Z50" s="229"/>
      <c r="AA50" s="229"/>
      <c r="AB50" s="229"/>
      <c r="AC50" s="229"/>
    </row>
    <row r="51" spans="2:30" x14ac:dyDescent="0.2">
      <c r="B51" s="233"/>
      <c r="C51" s="244" t="s">
        <v>246</v>
      </c>
      <c r="D51" s="233">
        <v>37.380000000000003</v>
      </c>
      <c r="E51" s="233">
        <v>59.27</v>
      </c>
      <c r="F51" s="245">
        <v>63.15</v>
      </c>
      <c r="G51" s="245">
        <v>-15.75</v>
      </c>
      <c r="H51" s="245">
        <f>'FORM - III'!I144-'FORM - III'!H144</f>
        <v>233.37</v>
      </c>
      <c r="I51" s="245">
        <f>'FORM - III'!J144-'FORM - III'!I144</f>
        <v>-86.69</v>
      </c>
      <c r="J51" s="245">
        <f>'FORM - III'!K144-'FORM - III'!J144</f>
        <v>61.399999999999977</v>
      </c>
      <c r="K51" s="245">
        <f>'FORM - III'!L144-'FORM - III'!K144</f>
        <v>150.91000000000003</v>
      </c>
      <c r="L51" s="245">
        <f>'FORM - III'!M144-'FORM - III'!L144</f>
        <v>52.740000000000009</v>
      </c>
      <c r="M51" s="245">
        <f>'FORM - III'!N144-'FORM - III'!M144</f>
        <v>52.220000000000027</v>
      </c>
      <c r="N51" s="246">
        <f>'FORM - III'!O144-'FORM - III'!N144</f>
        <v>-148.51</v>
      </c>
      <c r="O51" s="245">
        <f>'FORM - III'!P144-'FORM - III'!O144</f>
        <v>148.5</v>
      </c>
      <c r="P51" s="246">
        <f>'FORM - III'!Q144-'FORM - III'!P144</f>
        <v>-197.68000000000006</v>
      </c>
      <c r="Q51" s="246">
        <f>'FORM - III'!R144-'FORM - III'!Q144+0.01</f>
        <v>-213.08999999999997</v>
      </c>
      <c r="R51" s="245">
        <f>'FORM - III'!S144-'FORM - III'!R144</f>
        <v>67.669999999999959</v>
      </c>
      <c r="S51" s="246">
        <f>'FORM - III'!T144-'FORM - III'!S144</f>
        <v>-141.94999999999999</v>
      </c>
      <c r="T51" s="246">
        <f>'FORM - III'!U144-'FORM - III'!T144</f>
        <v>-141.77999999999997</v>
      </c>
      <c r="U51" s="245">
        <f>'FORM - III'!V144-'FORM - III'!U144</f>
        <v>141.27999999999997</v>
      </c>
      <c r="V51" s="245">
        <f>'FORM - III'!W144-'FORM - III'!V144</f>
        <v>245.86</v>
      </c>
      <c r="W51" s="245">
        <f>'FORM - III'!X144-'FORM - III'!W144</f>
        <v>150</v>
      </c>
      <c r="X51" s="245">
        <f>'FORM - III'!Y144-'FORM - III'!X144</f>
        <v>150</v>
      </c>
      <c r="Y51" s="246">
        <f>'FORM - III'!Z144-'FORM - III'!Y144</f>
        <v>0</v>
      </c>
      <c r="Z51" s="245">
        <f>'FORM - III'!AA144-'FORM - III'!Z144</f>
        <v>100</v>
      </c>
      <c r="AA51" s="245">
        <f>'FORM - III'!AB144-'FORM - III'!AA144</f>
        <v>0</v>
      </c>
      <c r="AB51" s="245">
        <f>'FORM - III'!AC144-'FORM - III'!AB144</f>
        <v>0</v>
      </c>
      <c r="AC51" s="245">
        <f>'FORM - III'!AD144-'FORM - III'!AC144</f>
        <v>0</v>
      </c>
      <c r="AD51" s="5" t="s">
        <v>507</v>
      </c>
    </row>
    <row r="52" spans="2:30" x14ac:dyDescent="0.2">
      <c r="B52" s="233"/>
      <c r="C52" s="244" t="s">
        <v>247</v>
      </c>
      <c r="D52" s="229"/>
      <c r="E52" s="229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  <c r="R52" s="247"/>
      <c r="S52" s="247"/>
      <c r="T52" s="247"/>
      <c r="U52" s="247"/>
      <c r="V52" s="247"/>
      <c r="W52" s="247"/>
      <c r="X52" s="247"/>
      <c r="Y52" s="252"/>
      <c r="Z52" s="247"/>
      <c r="AA52" s="247"/>
      <c r="AB52" s="247"/>
      <c r="AC52" s="247"/>
    </row>
    <row r="53" spans="2:30" x14ac:dyDescent="0.2">
      <c r="B53" s="233"/>
      <c r="C53" s="244" t="s">
        <v>248</v>
      </c>
      <c r="D53" s="233">
        <v>17.43</v>
      </c>
      <c r="E53" s="233">
        <v>32.770000000000003</v>
      </c>
      <c r="F53" s="245">
        <v>62.22</v>
      </c>
      <c r="G53" s="245">
        <v>16.77</v>
      </c>
      <c r="H53" s="245">
        <f>'FORM - III'!I146-'FORM - III'!H146</f>
        <v>54.849999999999994</v>
      </c>
      <c r="I53" s="245">
        <f>'FORM - III'!J146-'FORM - III'!I146</f>
        <v>-148.80000000000001</v>
      </c>
      <c r="J53" s="245">
        <f>'FORM - III'!K146-'FORM - III'!J146</f>
        <v>47.790000000000006</v>
      </c>
      <c r="K53" s="245">
        <f>'FORM - III'!L146-'FORM - III'!K146</f>
        <v>65.990000000000009</v>
      </c>
      <c r="L53" s="245">
        <f>'FORM - III'!M146-'FORM - III'!L146</f>
        <v>50.779999999999973</v>
      </c>
      <c r="M53" s="245">
        <f>'FORM - III'!N146-'FORM - III'!M146</f>
        <v>42.020000000000039</v>
      </c>
      <c r="N53" s="245">
        <f>'FORM - III'!O146-'FORM - III'!N146</f>
        <v>49.229999999999961</v>
      </c>
      <c r="O53" s="245">
        <f>'FORM - III'!P146-'FORM - III'!O146</f>
        <v>103.86000000000001</v>
      </c>
      <c r="P53" s="246">
        <f>'FORM - III'!Q146-'FORM - III'!P146</f>
        <v>-103.75</v>
      </c>
      <c r="Q53" s="245">
        <f>'FORM - III'!R146-'FORM - III'!Q146</f>
        <v>86.04000000000002</v>
      </c>
      <c r="R53" s="245">
        <f>'FORM - III'!S146-'FORM - III'!R146</f>
        <v>70.430000000000007</v>
      </c>
      <c r="S53" s="246">
        <f>'FORM - III'!T146-'FORM - III'!S146</f>
        <v>66.389999999999986</v>
      </c>
      <c r="T53" s="245">
        <f>'FORM - III'!U146-'FORM - III'!T146</f>
        <v>342.39</v>
      </c>
      <c r="U53" s="245">
        <f>'FORM - III'!V146-'FORM - III'!U146</f>
        <v>169.07999999999993</v>
      </c>
      <c r="V53" s="245">
        <f>'FORM - III'!W146-'FORM - III'!V146</f>
        <v>-299.32999999999993</v>
      </c>
      <c r="W53" s="245">
        <f>'FORM - III'!X146-'FORM - III'!W146</f>
        <v>0</v>
      </c>
      <c r="X53" s="245">
        <f>'FORM - III'!Y146-'FORM - III'!X146</f>
        <v>0</v>
      </c>
      <c r="Y53" s="246">
        <f>'FORM - III'!Z146-'FORM - III'!Y146</f>
        <v>0</v>
      </c>
      <c r="Z53" s="245">
        <f>'FORM - III'!AA146-'FORM - III'!Z146</f>
        <v>0</v>
      </c>
      <c r="AA53" s="245">
        <f>'FORM - III'!AB146-'FORM - III'!AA146</f>
        <v>0</v>
      </c>
      <c r="AB53" s="245">
        <f>'FORM - III'!AC146-'FORM - III'!AB146</f>
        <v>0</v>
      </c>
      <c r="AC53" s="245">
        <f>'FORM - III'!AD146-'FORM - III'!AC146</f>
        <v>0</v>
      </c>
      <c r="AD53" s="5" t="s">
        <v>507</v>
      </c>
    </row>
    <row r="54" spans="2:30" x14ac:dyDescent="0.2">
      <c r="B54" s="233"/>
      <c r="C54" s="244" t="s">
        <v>249</v>
      </c>
      <c r="D54" s="229"/>
      <c r="E54" s="229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52"/>
      <c r="Q54" s="247"/>
      <c r="R54" s="247"/>
      <c r="S54" s="247"/>
      <c r="T54" s="247"/>
      <c r="U54" s="247"/>
      <c r="V54" s="247"/>
      <c r="W54" s="247"/>
      <c r="X54" s="247"/>
      <c r="Y54" s="252"/>
      <c r="Z54" s="247"/>
      <c r="AA54" s="247"/>
      <c r="AB54" s="247"/>
      <c r="AC54" s="247"/>
    </row>
    <row r="55" spans="2:30" x14ac:dyDescent="0.2">
      <c r="B55" s="233"/>
      <c r="C55" s="233"/>
      <c r="D55" s="229"/>
      <c r="E55" s="229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52"/>
      <c r="Q55" s="247"/>
      <c r="R55" s="247"/>
      <c r="S55" s="247"/>
      <c r="T55" s="247"/>
      <c r="U55" s="247"/>
      <c r="V55" s="247"/>
      <c r="W55" s="247"/>
      <c r="X55" s="247"/>
      <c r="Y55" s="252"/>
      <c r="Z55" s="247"/>
      <c r="AA55" s="247"/>
      <c r="AB55" s="247"/>
      <c r="AC55" s="247"/>
    </row>
    <row r="56" spans="2:30" x14ac:dyDescent="0.2">
      <c r="B56" s="233"/>
      <c r="C56" s="244" t="s">
        <v>250</v>
      </c>
      <c r="D56" s="233">
        <v>-12.83</v>
      </c>
      <c r="E56" s="233">
        <v>-13.65</v>
      </c>
      <c r="F56" s="245">
        <v>55.24</v>
      </c>
      <c r="G56" s="245">
        <v>50.62</v>
      </c>
      <c r="H56" s="245">
        <f>'FORM - III'!I148-'FORM - III'!H148</f>
        <v>7.3999999999999773</v>
      </c>
      <c r="I56" s="245">
        <f>'FORM - III'!J148-'FORM - III'!I148</f>
        <v>73.190000000000026</v>
      </c>
      <c r="J56" s="245">
        <f>'FORM - III'!K148-'FORM - III'!J148</f>
        <v>-33.920000000000016</v>
      </c>
      <c r="K56" s="245">
        <f>'FORM - III'!L148-'FORM - III'!K148</f>
        <v>236.66000000000003</v>
      </c>
      <c r="L56" s="245">
        <f>'FORM - III'!M148-'FORM - III'!L148</f>
        <v>-17.480000000000018</v>
      </c>
      <c r="M56" s="245">
        <f>'FORM - III'!N148-'FORM - III'!M148</f>
        <v>152.46000000000004</v>
      </c>
      <c r="N56" s="245">
        <f>'FORM - III'!O148-'FORM - III'!N148</f>
        <v>43.199999999999932</v>
      </c>
      <c r="O56" s="245">
        <f>'FORM - III'!P148-'FORM - III'!O148</f>
        <v>90.090000000000032</v>
      </c>
      <c r="P56" s="246">
        <f>'FORM - III'!Q148-'FORM - III'!P148</f>
        <v>-164.46000000000004</v>
      </c>
      <c r="Q56" s="245">
        <f>'FORM - III'!R148-'FORM - III'!Q148</f>
        <v>49.600000000000023</v>
      </c>
      <c r="R56" s="246">
        <f>'FORM - III'!S148-'FORM - III'!R148</f>
        <v>56.460000000000036</v>
      </c>
      <c r="S56" s="245">
        <f>'FORM - III'!T148-'FORM - III'!S148</f>
        <v>457.92000000000007</v>
      </c>
      <c r="T56" s="245">
        <f>'FORM - III'!U148-'FORM - III'!T148</f>
        <v>141.34999999999991</v>
      </c>
      <c r="U56" s="245">
        <f>'FORM - III'!V148-'FORM - III'!U148</f>
        <v>80.509999999999991</v>
      </c>
      <c r="V56" s="246">
        <f>'FORM - III'!W148-'FORM - III'!V148</f>
        <v>-423</v>
      </c>
      <c r="W56" s="246">
        <f>'FORM - III'!X148-'FORM - III'!W148</f>
        <v>150</v>
      </c>
      <c r="X56" s="245">
        <f>'FORM - III'!Y148-'FORM - III'!X148</f>
        <v>0</v>
      </c>
      <c r="Y56" s="246">
        <f>'FORM - III'!Z148-'FORM - III'!Y148</f>
        <v>0</v>
      </c>
      <c r="Z56" s="245">
        <f>'FORM - III'!AA148-'FORM - III'!Z148</f>
        <v>0</v>
      </c>
      <c r="AA56" s="245">
        <f>'FORM - III'!AB148-'FORM - III'!AA148</f>
        <v>0</v>
      </c>
      <c r="AB56" s="245">
        <f>'FORM - III'!AC148-'FORM - III'!AB148</f>
        <v>0</v>
      </c>
      <c r="AC56" s="245">
        <f>'FORM - III'!AD148-'FORM - III'!AC148</f>
        <v>0</v>
      </c>
      <c r="AD56" s="5" t="s">
        <v>507</v>
      </c>
    </row>
    <row r="57" spans="2:30" x14ac:dyDescent="0.2">
      <c r="B57" s="233"/>
      <c r="C57" s="244" t="s">
        <v>251</v>
      </c>
      <c r="D57" s="229"/>
      <c r="E57" s="229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  <c r="R57" s="247"/>
      <c r="S57" s="247"/>
      <c r="T57" s="247"/>
      <c r="U57" s="247"/>
      <c r="V57" s="247"/>
      <c r="W57" s="247"/>
      <c r="X57" s="247"/>
      <c r="Y57" s="252"/>
      <c r="Z57" s="247"/>
      <c r="AA57" s="247"/>
      <c r="AB57" s="247"/>
      <c r="AC57" s="247"/>
    </row>
    <row r="58" spans="2:30" x14ac:dyDescent="0.2">
      <c r="B58" s="233"/>
      <c r="C58" s="244" t="s">
        <v>252</v>
      </c>
      <c r="D58" s="229"/>
      <c r="E58" s="229"/>
      <c r="F58" s="247"/>
      <c r="G58" s="247"/>
      <c r="H58" s="247"/>
      <c r="I58" s="247"/>
      <c r="J58" s="247"/>
      <c r="K58" s="247"/>
      <c r="L58" s="247"/>
      <c r="M58" s="247"/>
      <c r="N58" s="247"/>
      <c r="O58" s="247"/>
      <c r="P58" s="247"/>
      <c r="Q58" s="247"/>
      <c r="R58" s="247"/>
      <c r="S58" s="247"/>
      <c r="T58" s="247"/>
      <c r="U58" s="247"/>
      <c r="V58" s="247"/>
      <c r="W58" s="247"/>
      <c r="X58" s="247"/>
      <c r="Y58" s="252"/>
      <c r="Z58" s="247"/>
      <c r="AA58" s="247"/>
      <c r="AB58" s="247"/>
      <c r="AC58" s="247"/>
    </row>
    <row r="59" spans="2:30" x14ac:dyDescent="0.2">
      <c r="B59" s="233"/>
      <c r="C59" s="244" t="s">
        <v>253</v>
      </c>
      <c r="D59" s="229"/>
      <c r="E59" s="229"/>
      <c r="F59" s="247"/>
      <c r="G59" s="247"/>
      <c r="H59" s="247"/>
      <c r="I59" s="247"/>
      <c r="J59" s="247"/>
      <c r="K59" s="247"/>
      <c r="L59" s="247"/>
      <c r="M59" s="247"/>
      <c r="N59" s="247"/>
      <c r="O59" s="247"/>
      <c r="P59" s="247"/>
      <c r="Q59" s="247"/>
      <c r="R59" s="247"/>
      <c r="S59" s="247"/>
      <c r="T59" s="247"/>
      <c r="U59" s="247"/>
      <c r="V59" s="247"/>
      <c r="W59" s="247"/>
      <c r="X59" s="247"/>
      <c r="Y59" s="252"/>
      <c r="Z59" s="247"/>
      <c r="AA59" s="247"/>
      <c r="AB59" s="247"/>
      <c r="AC59" s="247"/>
    </row>
    <row r="60" spans="2:30" x14ac:dyDescent="0.2">
      <c r="B60" s="233"/>
      <c r="C60" s="244" t="s">
        <v>254</v>
      </c>
      <c r="D60" s="233">
        <v>101</v>
      </c>
      <c r="E60" s="233">
        <v>68.010000000000005</v>
      </c>
      <c r="F60" s="245">
        <v>-86.94</v>
      </c>
      <c r="G60" s="245">
        <v>-12.23</v>
      </c>
      <c r="H60" s="245">
        <f>'FORM - III'!I128-'FORM - III'!H128</f>
        <v>180.86999999999989</v>
      </c>
      <c r="I60" s="245">
        <f>'FORM - III'!J128-'FORM - III'!I128</f>
        <v>-36.099999999999682</v>
      </c>
      <c r="J60" s="245">
        <f>'FORM - III'!K128-'FORM - III'!J128</f>
        <v>170.24999999999977</v>
      </c>
      <c r="K60" s="245">
        <f>'FORM - III'!L128-'FORM - III'!K128</f>
        <v>499.92000000000007</v>
      </c>
      <c r="L60" s="245">
        <f>'FORM - III'!M128-'FORM - III'!L128</f>
        <v>1057.6599999999999</v>
      </c>
      <c r="M60" s="246">
        <f>'FORM - III'!N128-'FORM - III'!M128</f>
        <v>-542.79</v>
      </c>
      <c r="N60" s="246">
        <f>'FORM - III'!O128-'FORM - III'!N128</f>
        <v>-57.379999999999654</v>
      </c>
      <c r="O60" s="246">
        <f>'FORM - III'!P128-'FORM - III'!O128</f>
        <v>-173.89000000000033</v>
      </c>
      <c r="P60" s="245">
        <f>'FORM - III'!Q128-'FORM - III'!P128</f>
        <v>628.09000000000015</v>
      </c>
      <c r="Q60" s="246">
        <f>'FORM - III'!R128-'FORM - III'!Q128</f>
        <v>-259.88999999999987</v>
      </c>
      <c r="R60" s="245">
        <f>'FORM - III'!S128-'FORM - III'!R128</f>
        <v>171.61999999999989</v>
      </c>
      <c r="S60" s="245">
        <f>'FORM - III'!T128-'FORM - III'!S128</f>
        <v>-375.80000000000018</v>
      </c>
      <c r="T60" s="245">
        <f>'FORM - III'!U128-'FORM - III'!T128</f>
        <v>-319.76</v>
      </c>
      <c r="U60" s="245">
        <f>'FORM - III'!V128-'FORM - III'!U128</f>
        <v>-302.02</v>
      </c>
      <c r="V60" s="245">
        <f>'FORM - III'!W128-'FORM - III'!V128</f>
        <v>-281.6099999999999</v>
      </c>
      <c r="W60" s="245">
        <f>'FORM - III'!X128-'FORM - III'!W128</f>
        <v>300</v>
      </c>
      <c r="X60" s="245">
        <f>'FORM - III'!Y128-'FORM - III'!X128</f>
        <v>0</v>
      </c>
      <c r="Y60" s="246">
        <f>'FORM - III'!Z128-'FORM - III'!Y128</f>
        <v>-50</v>
      </c>
      <c r="Z60" s="245">
        <f>'FORM - III'!AA128-'FORM - III'!Z128</f>
        <v>0</v>
      </c>
      <c r="AA60" s="245">
        <f>'FORM - III'!AB128-'FORM - III'!AA128</f>
        <v>0</v>
      </c>
      <c r="AB60" s="245">
        <f>'FORM - III'!AC128-'FORM - III'!AB128</f>
        <v>0</v>
      </c>
      <c r="AC60" s="245">
        <f>'FORM - III'!AD128-'FORM - III'!AC128</f>
        <v>0</v>
      </c>
      <c r="AD60" s="5" t="s">
        <v>507</v>
      </c>
    </row>
    <row r="61" spans="2:30" x14ac:dyDescent="0.2">
      <c r="B61" s="233"/>
      <c r="C61" s="244" t="s">
        <v>255</v>
      </c>
      <c r="D61" s="233">
        <v>72.53</v>
      </c>
      <c r="E61" s="233">
        <v>-35.79</v>
      </c>
      <c r="F61" s="245">
        <v>153.06</v>
      </c>
      <c r="G61" s="245">
        <v>107.62</v>
      </c>
      <c r="H61" s="245">
        <f>'FORM - III'!I132-'FORM - III'!H132</f>
        <v>-57.31</v>
      </c>
      <c r="I61" s="245">
        <f>'FORM - III'!J132-'FORM - III'!I132</f>
        <v>44.990000000000009</v>
      </c>
      <c r="J61" s="245">
        <f>'FORM - III'!K132-'FORM - III'!J132</f>
        <v>62.81</v>
      </c>
      <c r="K61" s="245">
        <f>'FORM - III'!L132-'FORM - III'!K132</f>
        <v>8.089999999999975</v>
      </c>
      <c r="L61" s="245">
        <f>'FORM - III'!M132-'FORM - III'!L132</f>
        <v>86.140000000000043</v>
      </c>
      <c r="M61" s="245">
        <f>'FORM - III'!N132-'FORM - III'!M132</f>
        <v>4.0699999999999932</v>
      </c>
      <c r="N61" s="246">
        <f>'FORM - III'!O132-'FORM - III'!N132</f>
        <v>-61.970000000000027</v>
      </c>
      <c r="O61" s="246">
        <f>'FORM - III'!P132-'FORM - III'!O132</f>
        <v>-0.82999999999998408</v>
      </c>
      <c r="P61" s="246">
        <f>'FORM - III'!Q132-'FORM - III'!P132</f>
        <v>-33.889999999999986</v>
      </c>
      <c r="Q61" s="246">
        <f>'FORM - III'!R132-'FORM - III'!Q132</f>
        <v>-67.560000000000031</v>
      </c>
      <c r="R61" s="246">
        <f>'FORM - III'!S132-'FORM - III'!R132</f>
        <v>49.34</v>
      </c>
      <c r="S61" s="246">
        <f>'FORM - III'!T132-'FORM - III'!S132</f>
        <v>-98.4</v>
      </c>
      <c r="T61" s="245">
        <f>'FORM - III'!U132-'FORM - III'!T132</f>
        <v>-70.11999999999999</v>
      </c>
      <c r="U61" s="245">
        <f>'FORM - III'!V132-'FORM - III'!U132</f>
        <v>-0.87999999999999545</v>
      </c>
      <c r="V61" s="245">
        <f>'FORM - III'!W132-'FORM - III'!V132</f>
        <v>115.08</v>
      </c>
      <c r="W61" s="245">
        <f>'FORM - III'!X132-'FORM - III'!W132</f>
        <v>50</v>
      </c>
      <c r="X61" s="245">
        <f>'FORM - III'!Y132-'FORM - III'!X132</f>
        <v>0</v>
      </c>
      <c r="Y61" s="246">
        <f>'FORM - III'!Z132-'FORM - III'!Y132</f>
        <v>0</v>
      </c>
      <c r="Z61" s="245">
        <f>'FORM - III'!AA132-'FORM - III'!Z132</f>
        <v>0</v>
      </c>
      <c r="AA61" s="245">
        <f>'FORM - III'!AB132-'FORM - III'!AA132</f>
        <v>0</v>
      </c>
      <c r="AB61" s="245">
        <f>'FORM - III'!AC132-'FORM - III'!AB132</f>
        <v>0</v>
      </c>
      <c r="AC61" s="245">
        <f>'FORM - III'!AD132-'FORM - III'!AC132</f>
        <v>0</v>
      </c>
      <c r="AD61" s="5" t="s">
        <v>507</v>
      </c>
    </row>
    <row r="62" spans="2:30" x14ac:dyDescent="0.2">
      <c r="B62" s="233"/>
      <c r="C62" s="233"/>
      <c r="D62" s="229"/>
      <c r="E62" s="229"/>
      <c r="F62" s="247"/>
      <c r="G62" s="247"/>
      <c r="H62" s="247"/>
      <c r="I62" s="247"/>
      <c r="J62" s="247"/>
      <c r="K62" s="247"/>
      <c r="L62" s="247"/>
      <c r="M62" s="247"/>
      <c r="N62" s="247"/>
      <c r="O62" s="247"/>
      <c r="P62" s="247"/>
      <c r="Q62" s="247"/>
      <c r="R62" s="247"/>
      <c r="S62" s="252"/>
      <c r="T62" s="247"/>
      <c r="U62" s="247"/>
      <c r="V62" s="247"/>
      <c r="W62" s="247"/>
      <c r="X62" s="247"/>
      <c r="Y62" s="252"/>
      <c r="Z62" s="247"/>
      <c r="AA62" s="247"/>
      <c r="AB62" s="247"/>
      <c r="AC62" s="247"/>
    </row>
    <row r="63" spans="2:30" x14ac:dyDescent="0.2">
      <c r="B63" s="233"/>
      <c r="C63" s="244" t="s">
        <v>256</v>
      </c>
      <c r="D63" s="233">
        <v>16.73</v>
      </c>
      <c r="E63" s="233">
        <v>14.43</v>
      </c>
      <c r="F63" s="245">
        <v>1.43</v>
      </c>
      <c r="G63" s="245">
        <v>7.66</v>
      </c>
      <c r="H63" s="245">
        <f>'FORM - III'!I153-'FORM - III'!H153</f>
        <v>22.71</v>
      </c>
      <c r="I63" s="245">
        <f>'FORM - III'!J153-'FORM - III'!I153</f>
        <v>-11.659999999999997</v>
      </c>
      <c r="J63" s="245">
        <f>'FORM - III'!K153-'FORM - III'!J153</f>
        <v>14.409999999999997</v>
      </c>
      <c r="K63" s="245">
        <f>'FORM - III'!L153-'FORM - III'!K153</f>
        <v>17.679999999999993</v>
      </c>
      <c r="L63" s="245">
        <f>'FORM - III'!M153-'FORM - III'!L153</f>
        <v>19.560000000000002</v>
      </c>
      <c r="M63" s="245">
        <f>'FORM - III'!N153-'FORM - III'!M153</f>
        <v>58.530000000000015</v>
      </c>
      <c r="N63" s="245">
        <f>'FORM - III'!O153-'FORM - III'!N153</f>
        <v>25.929999999999978</v>
      </c>
      <c r="O63" s="245">
        <f>'FORM - III'!P153-'FORM - III'!O153</f>
        <v>43.670000000000016</v>
      </c>
      <c r="P63" s="246">
        <f>'FORM - III'!Q153-'FORM - III'!P153</f>
        <v>-6.5300000000000011</v>
      </c>
      <c r="Q63" s="245">
        <f>'FORM - III'!R153-'FORM - III'!Q153-0.01</f>
        <v>64.969999999999985</v>
      </c>
      <c r="R63" s="245">
        <f>'FORM - III'!S153-'FORM - III'!R153</f>
        <v>85.170000000000016</v>
      </c>
      <c r="S63" s="246">
        <f>'FORM - III'!T153-'FORM - III'!S153</f>
        <v>-76.170000000000016</v>
      </c>
      <c r="T63" s="245">
        <f>'FORM - III'!U153-'FORM - III'!T153</f>
        <v>-41.129999999999995</v>
      </c>
      <c r="U63" s="245">
        <f>'FORM - III'!V153-'FORM - III'!U153</f>
        <v>42.56</v>
      </c>
      <c r="V63" s="246">
        <f>'FORM - III'!W153-'FORM - III'!V153</f>
        <v>-20.310000000000002</v>
      </c>
      <c r="W63" s="246">
        <f>'FORM - III'!X153-'FORM - III'!W153</f>
        <v>0</v>
      </c>
      <c r="X63" s="246">
        <f>'FORM - III'!Y153-'FORM - III'!X153</f>
        <v>0</v>
      </c>
      <c r="Y63" s="246">
        <f>'FORM - III'!Z153-'FORM - III'!Y153</f>
        <v>0</v>
      </c>
      <c r="Z63" s="246">
        <f>'FORM - III'!AA153-'FORM - III'!Z153</f>
        <v>0</v>
      </c>
      <c r="AA63" s="246">
        <f>'FORM - III'!AB153-'FORM - III'!AA153</f>
        <v>0</v>
      </c>
      <c r="AB63" s="246">
        <f>'FORM - III'!AC153-'FORM - III'!AB153</f>
        <v>0</v>
      </c>
      <c r="AC63" s="246">
        <f>'FORM - III'!AD153-'FORM - III'!AC153</f>
        <v>0</v>
      </c>
      <c r="AD63" s="5" t="s">
        <v>507</v>
      </c>
    </row>
    <row r="64" spans="2:30" x14ac:dyDescent="0.2">
      <c r="B64" s="233"/>
      <c r="C64" s="244" t="s">
        <v>257</v>
      </c>
      <c r="D64" s="229"/>
      <c r="E64" s="229"/>
      <c r="F64" s="247"/>
      <c r="G64" s="247"/>
      <c r="H64" s="247"/>
      <c r="I64" s="247"/>
      <c r="J64" s="247"/>
      <c r="K64" s="247"/>
      <c r="L64" s="247"/>
      <c r="M64" s="247"/>
      <c r="N64" s="247"/>
      <c r="O64" s="247"/>
      <c r="P64" s="247"/>
      <c r="Q64" s="247"/>
      <c r="R64" s="247"/>
      <c r="S64" s="247"/>
      <c r="T64" s="247"/>
      <c r="U64" s="247"/>
      <c r="V64" s="247"/>
      <c r="W64" s="247"/>
      <c r="X64" s="247"/>
      <c r="Y64" s="252"/>
      <c r="Z64" s="247"/>
      <c r="AA64" s="247"/>
      <c r="AB64" s="247"/>
      <c r="AC64" s="247"/>
    </row>
    <row r="65" spans="2:30" x14ac:dyDescent="0.2">
      <c r="B65" s="233"/>
      <c r="C65" s="233"/>
      <c r="D65" s="229"/>
      <c r="E65" s="229"/>
      <c r="F65" s="247"/>
      <c r="G65" s="247"/>
      <c r="H65" s="247"/>
      <c r="I65" s="247"/>
      <c r="J65" s="247"/>
      <c r="K65" s="247"/>
      <c r="L65" s="247"/>
      <c r="M65" s="247"/>
      <c r="N65" s="247"/>
      <c r="O65" s="247"/>
      <c r="P65" s="247"/>
      <c r="Q65" s="247"/>
      <c r="R65" s="247"/>
      <c r="S65" s="247"/>
      <c r="T65" s="247"/>
      <c r="U65" s="247"/>
      <c r="V65" s="247"/>
      <c r="W65" s="247"/>
      <c r="X65" s="247"/>
      <c r="Y65" s="252"/>
      <c r="Z65" s="247"/>
      <c r="AA65" s="247"/>
      <c r="AB65" s="247"/>
      <c r="AC65" s="247"/>
    </row>
    <row r="66" spans="2:30" x14ac:dyDescent="0.2">
      <c r="B66" s="233"/>
      <c r="C66" s="244" t="s">
        <v>258</v>
      </c>
      <c r="D66" s="233">
        <v>-22.3</v>
      </c>
      <c r="E66" s="233">
        <v>-11.61</v>
      </c>
      <c r="F66" s="245">
        <v>85.07</v>
      </c>
      <c r="G66" s="245">
        <v>-137.28</v>
      </c>
      <c r="H66" s="245">
        <f>SUM('FORM - III'!I119+'FORM - III'!I126+'FORM - III'!I155+'FORM - III'!I158+'FORM - III'!I160)-'FORM - III'!H160-'FORM - III'!H158-'FORM - III'!H155-'FORM - III'!H126-'FORM - III'!H119</f>
        <v>194.93</v>
      </c>
      <c r="I66" s="245">
        <f>SUM('FORM - III'!J119+'FORM - III'!J126+'FORM - III'!J155+'FORM - III'!J158+'FORM - III'!J160)-'FORM - III'!I160-'FORM - III'!I158-'FORM - III'!I155-'FORM - III'!I126-'FORM - III'!I119</f>
        <v>218.11</v>
      </c>
      <c r="J66" s="245">
        <f>SUM('FORM - III'!K119+'FORM - III'!K126+'FORM - III'!K155+'FORM - III'!K158+'FORM - III'!K160)-'FORM - III'!J160-'FORM - III'!J158-'FORM - III'!J155-'FORM - III'!J126-'FORM - III'!J119</f>
        <v>68.79000000000002</v>
      </c>
      <c r="K66" s="245">
        <f>SUM('FORM - III'!L119+'FORM - III'!L126+'FORM - III'!L155+'FORM - III'!L158+'FORM - III'!L160)-'FORM - III'!K160-'FORM - III'!K158-'FORM - III'!K155-'FORM - III'!K126-'FORM - III'!K119</f>
        <v>457.98999999999972</v>
      </c>
      <c r="L66" s="245">
        <f>SUM('FORM - III'!M119+'FORM - III'!M126+'FORM - III'!M155+'FORM - III'!M158+'FORM - III'!M160)-'FORM - III'!L160-'FORM - III'!L158-'FORM - III'!L155-'FORM - III'!L126-'FORM - III'!L119</f>
        <v>1443.7600000000004</v>
      </c>
      <c r="M66" s="246">
        <f>SUM('FORM - III'!N119+'FORM - III'!N126+'FORM - III'!N155+'FORM - III'!N158+'FORM - III'!N160)-'FORM - III'!M160-'FORM - III'!M158-'FORM - III'!M155-'FORM - III'!M126-'FORM - III'!M119+'FORM - III'!N124</f>
        <v>-436.71000000000032</v>
      </c>
      <c r="N66" s="246">
        <f>SUM('FORM - III'!O119+'FORM - III'!O124+'FORM - III'!O126+'FORM - III'!O155+'FORM - III'!O158+'FORM - III'!O160-'FORM - III'!N160-'FORM - III'!N158-'FORM - III'!N155-'FORM - III'!N126-'FORM - III'!N124-'FORM - III'!N119)</f>
        <v>-381.67999999999995</v>
      </c>
      <c r="O66" s="246">
        <f>SUM('FORM - III'!P119+'FORM - III'!P126+'FORM - III'!P155+'FORM - III'!P158+'FORM - III'!P160)-'FORM - III'!O160-'FORM - III'!O158-'FORM - III'!O155-'FORM - III'!O126-'FORM - III'!O119</f>
        <v>-297.57999999999993</v>
      </c>
      <c r="P66" s="246">
        <f>SUM('FORM - III'!Q119+'FORM - III'!Q126+'FORM - III'!Q155+'FORM - III'!Q158+'FORM - III'!Q160)-'FORM - III'!P160-'FORM - III'!P158-'FORM - III'!P155-'FORM - III'!P126-'FORM - III'!P119</f>
        <v>-156.18000000000012</v>
      </c>
      <c r="Q66" s="245">
        <f>SUM('FORM - III'!R119+'FORM - III'!R126+'FORM - III'!R155+'FORM - III'!R158+'FORM - III'!R160)-'FORM - III'!Q160-'FORM - III'!Q158-'FORM - III'!Q155-'FORM - III'!Q126-'FORM - III'!Q119</f>
        <v>84.260000000000161</v>
      </c>
      <c r="R66" s="246">
        <f>SUM('FORM - III'!S119+'FORM - III'!S126+'FORM - III'!S155+'FORM - III'!S158+'FORM - III'!S160)-'FORM - III'!R160-'FORM - III'!R158-'FORM - III'!R155-'FORM - III'!R126-'FORM - III'!R119</f>
        <v>-610.21999999999991</v>
      </c>
      <c r="S66" s="246">
        <f>SUM('FORM - III'!T119+'FORM - III'!T126+'FORM - III'!T155+'FORM - III'!T158+'FORM - III'!T160)-'FORM - III'!S160-'FORM - III'!S158-'FORM - III'!S155-'FORM - III'!S126-'FORM - III'!S119</f>
        <v>-153.29000000000002</v>
      </c>
      <c r="T66" s="246">
        <f>SUM('FORM - III'!U119+'FORM - III'!U126+'FORM - III'!U155+'FORM - III'!U158+'FORM - III'!U160)-'FORM - III'!T160-'FORM - III'!T158-'FORM - III'!T155-'FORM - III'!T126-'FORM - III'!T119</f>
        <v>-104.18000000000006</v>
      </c>
      <c r="U66" s="246">
        <f>SUM('FORM - III'!V119+'FORM - III'!V126+'FORM - III'!V155+'FORM - III'!V158+'FORM - III'!V160)-'FORM - III'!U160-'FORM - III'!U158-'FORM - III'!U155-'FORM - III'!U126-'FORM - III'!U119</f>
        <v>49.749999999999943</v>
      </c>
      <c r="V66" s="245">
        <f>SUM('FORM - III'!W119+'FORM - III'!W126+'FORM - III'!W155+'FORM - III'!W158+'FORM - III'!W160)-'FORM - III'!V160-'FORM - III'!V158-'FORM - III'!V155-'FORM - III'!V126-'FORM - III'!V119</f>
        <v>-2.2299999999999329</v>
      </c>
      <c r="W66" s="245">
        <f>SUM('FORM - III'!X119+'FORM - III'!X126+'FORM - III'!X155+'FORM - III'!X158+'FORM - III'!X160)-'FORM - III'!W160-'FORM - III'!W158-'FORM - III'!W155-'FORM - III'!W126-'FORM - III'!W119</f>
        <v>23.260000000000048</v>
      </c>
      <c r="X66" s="245">
        <f>SUM('FORM - III'!Y119+'FORM - III'!Y126+'FORM - III'!Y155+'FORM - III'!Y158+'FORM - III'!Y160)-'FORM - III'!X160-'FORM - III'!X158-'FORM - III'!X155-'FORM - III'!X126-'FORM - III'!X119</f>
        <v>22.240000000000052</v>
      </c>
      <c r="Y66" s="246">
        <f>SUM('FORM - III'!Z119+'FORM - III'!Z126+'FORM - III'!Z155+'FORM - III'!Z158+'FORM - III'!Z160)-'FORM - III'!Y160-'FORM - III'!Y158-'FORM - III'!Y155-'FORM - III'!Y126-'FORM - III'!Y119</f>
        <v>14.240000000000066</v>
      </c>
      <c r="Z66" s="245">
        <f>SUM('FORM - III'!AA119+'FORM - III'!AA126+'FORM - III'!AA155+'FORM - III'!AA158+'FORM - III'!AA160)-'FORM - III'!Z160-'FORM - III'!Z158-'FORM - III'!Z155-'FORM - III'!Z126-'FORM - III'!Z119</f>
        <v>2.3199999999999932</v>
      </c>
      <c r="AA66" s="245">
        <f>SUM('FORM - III'!AB119+'FORM - III'!AB126+'FORM - III'!AB155+'FORM - III'!AB158+'FORM - III'!AB160)-'FORM - III'!AA160-'FORM - III'!AA158-'FORM - III'!AA155-'FORM - III'!AA126-'FORM - III'!AA119</f>
        <v>49.590000000000032</v>
      </c>
      <c r="AB66" s="245">
        <f>SUM('FORM - III'!AC119+'FORM - III'!AC126+'FORM - III'!AC155+'FORM - III'!AC158+'FORM - III'!AC160)-'FORM - III'!AB160-'FORM - III'!AB158-'FORM - III'!AB155-'FORM - III'!AB126-'FORM - III'!AB119</f>
        <v>5.789999999999992</v>
      </c>
      <c r="AC66" s="245">
        <f>SUM('FORM - III'!AD119+'FORM - III'!AD126+'FORM - III'!AD155+'FORM - III'!AD158+'FORM - III'!AD160)-'FORM - III'!AC160-'FORM - III'!AC158-'FORM - III'!AC155-'FORM - III'!AC126-'FORM - III'!AC119</f>
        <v>-54.330000000000041</v>
      </c>
      <c r="AD66" s="5" t="s">
        <v>507</v>
      </c>
    </row>
    <row r="67" spans="2:30" x14ac:dyDescent="0.2">
      <c r="B67" s="233"/>
      <c r="C67" s="244" t="s">
        <v>259</v>
      </c>
      <c r="D67" s="229"/>
      <c r="E67" s="229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7"/>
      <c r="Q67" s="247"/>
      <c r="R67" s="247"/>
      <c r="S67" s="247"/>
      <c r="T67" s="247"/>
      <c r="U67" s="247"/>
      <c r="V67" s="247"/>
      <c r="W67" s="247"/>
      <c r="X67" s="247"/>
      <c r="Y67" s="252"/>
      <c r="Z67" s="247"/>
      <c r="AA67" s="247"/>
      <c r="AB67" s="247"/>
      <c r="AC67" s="247"/>
    </row>
    <row r="68" spans="2:30" x14ac:dyDescent="0.2">
      <c r="B68" s="233"/>
      <c r="C68" s="234" t="s">
        <v>301</v>
      </c>
      <c r="D68" s="233">
        <f t="shared" ref="D68:W68" si="6">SUM(D51:D67)</f>
        <v>209.94</v>
      </c>
      <c r="E68" s="233">
        <f t="shared" si="6"/>
        <v>113.43000000000002</v>
      </c>
      <c r="F68" s="240">
        <f t="shared" si="6"/>
        <v>333.23</v>
      </c>
      <c r="G68" s="235">
        <f t="shared" si="6"/>
        <v>17.409999999999997</v>
      </c>
      <c r="H68" s="235">
        <f t="shared" si="6"/>
        <v>636.81999999999994</v>
      </c>
      <c r="I68" s="235">
        <f t="shared" si="6"/>
        <v>53.040000000000362</v>
      </c>
      <c r="J68" s="235">
        <f t="shared" si="6"/>
        <v>391.5299999999998</v>
      </c>
      <c r="K68" s="235">
        <f t="shared" si="6"/>
        <v>1437.2399999999998</v>
      </c>
      <c r="L68" s="235">
        <f t="shared" si="6"/>
        <v>2693.1600000000003</v>
      </c>
      <c r="M68" s="249">
        <f t="shared" si="6"/>
        <v>-670.20000000000016</v>
      </c>
      <c r="N68" s="249">
        <f t="shared" si="6"/>
        <v>-531.17999999999972</v>
      </c>
      <c r="O68" s="249">
        <f t="shared" si="6"/>
        <v>-86.180000000000177</v>
      </c>
      <c r="P68" s="249">
        <f t="shared" si="6"/>
        <v>-34.400000000000063</v>
      </c>
      <c r="Q68" s="249">
        <f t="shared" si="6"/>
        <v>-255.66999999999973</v>
      </c>
      <c r="R68" s="249">
        <f t="shared" si="6"/>
        <v>-109.53000000000003</v>
      </c>
      <c r="S68" s="249">
        <f t="shared" si="6"/>
        <v>-321.30000000000018</v>
      </c>
      <c r="T68" s="235">
        <f t="shared" si="6"/>
        <v>-193.23000000000013</v>
      </c>
      <c r="U68" s="235">
        <f t="shared" si="6"/>
        <v>180.27999999999986</v>
      </c>
      <c r="V68" s="235">
        <f t="shared" si="6"/>
        <v>-665.53999999999962</v>
      </c>
      <c r="W68" s="235">
        <f t="shared" si="6"/>
        <v>673.26</v>
      </c>
      <c r="X68" s="235">
        <f t="shared" ref="X68:AC68" si="7">SUM(X51:X67)</f>
        <v>172.24000000000007</v>
      </c>
      <c r="Y68" s="249">
        <f t="shared" si="7"/>
        <v>-35.759999999999934</v>
      </c>
      <c r="Z68" s="235">
        <f t="shared" si="7"/>
        <v>102.32</v>
      </c>
      <c r="AA68" s="235">
        <f t="shared" si="7"/>
        <v>49.590000000000032</v>
      </c>
      <c r="AB68" s="235">
        <f t="shared" si="7"/>
        <v>5.789999999999992</v>
      </c>
      <c r="AC68" s="235">
        <f t="shared" si="7"/>
        <v>-54.330000000000041</v>
      </c>
    </row>
    <row r="69" spans="2:30" x14ac:dyDescent="0.2">
      <c r="B69" s="229"/>
      <c r="C69" s="241" t="s">
        <v>335</v>
      </c>
      <c r="D69" s="229"/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29"/>
      <c r="P69" s="229"/>
      <c r="Q69" s="229"/>
      <c r="R69" s="229"/>
      <c r="S69" s="229"/>
      <c r="T69" s="229"/>
      <c r="U69" s="229"/>
      <c r="V69" s="229"/>
      <c r="W69" s="229"/>
      <c r="X69" s="232"/>
      <c r="Y69" s="250"/>
      <c r="Z69" s="232"/>
      <c r="AA69" s="232"/>
      <c r="AB69" s="232"/>
      <c r="AC69" s="232"/>
    </row>
    <row r="70" spans="2:30" x14ac:dyDescent="0.2">
      <c r="B70" s="229"/>
      <c r="C70" s="229" t="s">
        <v>352</v>
      </c>
      <c r="D70" s="229"/>
      <c r="E70" s="229"/>
      <c r="F70" s="229"/>
      <c r="G70" s="229"/>
      <c r="H70" s="229"/>
      <c r="I70" s="229"/>
      <c r="J70" s="229"/>
      <c r="K70" s="229"/>
      <c r="L70" s="229"/>
      <c r="M70" s="229"/>
      <c r="N70" s="229"/>
      <c r="O70" s="229"/>
      <c r="P70" s="229"/>
      <c r="Q70" s="229"/>
      <c r="R70" s="229"/>
      <c r="S70" s="229"/>
      <c r="T70" s="229"/>
      <c r="U70" s="229"/>
      <c r="V70" s="229"/>
      <c r="W70" s="229"/>
      <c r="X70" s="232"/>
      <c r="Y70" s="232"/>
      <c r="Z70" s="232"/>
      <c r="AA70" s="232"/>
      <c r="AB70" s="232"/>
      <c r="AC70" s="232"/>
    </row>
  </sheetData>
  <mergeCells count="2">
    <mergeCell ref="U4:V4"/>
    <mergeCell ref="AB4:AC4"/>
  </mergeCells>
  <phoneticPr fontId="0" type="noConversion"/>
  <printOptions gridLines="1"/>
  <pageMargins left="0.19685039370078741" right="0.19685039370078741" top="0.74803149606299213" bottom="1.5748031496062993" header="0.19685039370078741" footer="0.19685039370078741"/>
  <pageSetup paperSize="9" scale="95" orientation="landscape" copies="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W74"/>
  <sheetViews>
    <sheetView topLeftCell="A45" workbookViewId="0">
      <selection activeCell="Q67" sqref="Q67"/>
    </sheetView>
  </sheetViews>
  <sheetFormatPr defaultRowHeight="12.75" x14ac:dyDescent="0.2"/>
  <cols>
    <col min="1" max="1" width="11" customWidth="1"/>
    <col min="2" max="3" width="10.140625" bestFit="1" customWidth="1"/>
    <col min="4" max="4" width="19.5703125" bestFit="1" customWidth="1"/>
    <col min="6" max="6" width="10.140625" bestFit="1" customWidth="1"/>
    <col min="7" max="7" width="9.5703125" customWidth="1"/>
    <col min="8" max="8" width="11.85546875" bestFit="1" customWidth="1"/>
    <col min="9" max="9" width="13.85546875" customWidth="1"/>
    <col min="10" max="10" width="12.5703125" customWidth="1"/>
    <col min="11" max="11" width="10.28515625" customWidth="1"/>
    <col min="13" max="13" width="12.42578125" customWidth="1"/>
    <col min="18" max="18" width="9.140625" customWidth="1"/>
    <col min="19" max="19" width="13.5703125" customWidth="1"/>
    <col min="20" max="20" width="12.42578125" customWidth="1"/>
    <col min="23" max="23" width="11.7109375" customWidth="1"/>
    <col min="24" max="24" width="10.140625" bestFit="1" customWidth="1"/>
    <col min="29" max="29" width="12.140625" customWidth="1"/>
    <col min="30" max="30" width="12" customWidth="1"/>
  </cols>
  <sheetData>
    <row r="3" spans="2:15" x14ac:dyDescent="0.2">
      <c r="M3" s="114">
        <v>0.21</v>
      </c>
    </row>
    <row r="4" spans="2:15" x14ac:dyDescent="0.2">
      <c r="C4" s="113"/>
      <c r="G4" s="115"/>
      <c r="H4" s="115"/>
      <c r="I4" s="115"/>
      <c r="J4" s="115"/>
      <c r="K4" s="115"/>
      <c r="L4" s="115"/>
      <c r="M4" s="115"/>
      <c r="N4" s="115"/>
      <c r="O4" s="115"/>
    </row>
    <row r="5" spans="2:15" x14ac:dyDescent="0.2">
      <c r="C5" s="113"/>
    </row>
    <row r="6" spans="2:15" x14ac:dyDescent="0.2">
      <c r="C6" s="113"/>
    </row>
    <row r="7" spans="2:15" x14ac:dyDescent="0.2">
      <c r="C7" s="113"/>
    </row>
    <row r="8" spans="2:15" x14ac:dyDescent="0.2">
      <c r="C8" s="113"/>
    </row>
    <row r="9" spans="2:15" x14ac:dyDescent="0.2">
      <c r="C9" s="113"/>
    </row>
    <row r="10" spans="2:15" x14ac:dyDescent="0.2">
      <c r="B10" s="142" t="s">
        <v>303</v>
      </c>
      <c r="C10" s="142"/>
      <c r="D10" s="142" t="s">
        <v>366</v>
      </c>
      <c r="E10" s="142"/>
      <c r="F10" s="142"/>
      <c r="G10" s="142"/>
      <c r="H10" s="142"/>
      <c r="I10" s="142"/>
      <c r="J10" s="142"/>
      <c r="K10" s="142"/>
      <c r="L10" s="142"/>
      <c r="M10" s="142"/>
      <c r="N10" s="142"/>
    </row>
    <row r="11" spans="2:15" x14ac:dyDescent="0.2">
      <c r="B11" s="142"/>
      <c r="C11" s="142"/>
      <c r="D11" s="159" t="s">
        <v>361</v>
      </c>
      <c r="E11" s="159"/>
      <c r="F11" s="159"/>
      <c r="G11" s="159"/>
      <c r="H11" s="142"/>
      <c r="I11" s="142" t="s">
        <v>363</v>
      </c>
      <c r="J11" s="142"/>
      <c r="K11" s="142"/>
      <c r="L11" s="142"/>
      <c r="M11" s="142"/>
      <c r="N11" s="142"/>
    </row>
    <row r="12" spans="2:15" x14ac:dyDescent="0.2">
      <c r="B12" s="142"/>
      <c r="C12" s="142"/>
      <c r="D12" s="190" t="s">
        <v>356</v>
      </c>
      <c r="E12" s="190" t="s">
        <v>355</v>
      </c>
      <c r="F12" s="190" t="s">
        <v>362</v>
      </c>
      <c r="G12" s="190" t="s">
        <v>364</v>
      </c>
      <c r="H12" s="191" t="s">
        <v>356</v>
      </c>
      <c r="I12" s="191" t="s">
        <v>355</v>
      </c>
      <c r="J12" s="191" t="s">
        <v>362</v>
      </c>
      <c r="K12" s="191" t="s">
        <v>364</v>
      </c>
      <c r="L12" s="192" t="s">
        <v>365</v>
      </c>
      <c r="M12" s="142"/>
      <c r="N12" s="142"/>
    </row>
    <row r="13" spans="2:15" x14ac:dyDescent="0.2">
      <c r="B13" s="142"/>
      <c r="C13" s="143">
        <v>44287</v>
      </c>
      <c r="D13" s="159">
        <v>300</v>
      </c>
      <c r="E13" s="159">
        <v>150</v>
      </c>
      <c r="F13" s="159">
        <v>25</v>
      </c>
      <c r="G13" s="159">
        <f>SUM(D13:F13)</f>
        <v>475</v>
      </c>
      <c r="H13" s="183">
        <v>50</v>
      </c>
      <c r="I13" s="183">
        <v>110</v>
      </c>
      <c r="J13" s="183"/>
      <c r="K13" s="183">
        <f>SUM(H13:J13)</f>
        <v>160</v>
      </c>
      <c r="L13" s="142">
        <f>G13+K13</f>
        <v>635</v>
      </c>
      <c r="M13" s="142"/>
      <c r="N13" s="142"/>
    </row>
    <row r="14" spans="2:15" x14ac:dyDescent="0.2">
      <c r="B14" s="142"/>
      <c r="C14" s="143">
        <v>44317</v>
      </c>
      <c r="D14" s="159">
        <v>150</v>
      </c>
      <c r="E14" s="159">
        <v>80</v>
      </c>
      <c r="F14" s="159">
        <f>F13</f>
        <v>25</v>
      </c>
      <c r="G14" s="159">
        <f>SUM(D14:F14)</f>
        <v>255</v>
      </c>
      <c r="H14" s="183">
        <f>H13</f>
        <v>50</v>
      </c>
      <c r="I14" s="183">
        <f>I13</f>
        <v>110</v>
      </c>
      <c r="J14" s="183"/>
      <c r="K14" s="183">
        <f>SUM(H14:J14)</f>
        <v>160</v>
      </c>
      <c r="L14" s="142">
        <f>G14+K14</f>
        <v>415</v>
      </c>
      <c r="M14" s="142"/>
      <c r="N14" s="142"/>
    </row>
    <row r="15" spans="2:15" x14ac:dyDescent="0.2">
      <c r="B15" s="142"/>
      <c r="C15" s="143">
        <v>44348</v>
      </c>
      <c r="D15" s="159">
        <f t="shared" ref="D15:I24" si="0">D14</f>
        <v>150</v>
      </c>
      <c r="E15" s="159">
        <f t="shared" si="0"/>
        <v>80</v>
      </c>
      <c r="F15" s="159">
        <f t="shared" si="0"/>
        <v>25</v>
      </c>
      <c r="G15" s="159">
        <f>SUM(D15:F15)</f>
        <v>255</v>
      </c>
      <c r="H15" s="183">
        <f t="shared" si="0"/>
        <v>50</v>
      </c>
      <c r="I15" s="183">
        <v>150</v>
      </c>
      <c r="J15" s="183"/>
      <c r="K15" s="183">
        <f>SUM(H15:J15)</f>
        <v>200</v>
      </c>
      <c r="L15" s="142">
        <f>G15+K15</f>
        <v>455</v>
      </c>
      <c r="M15" s="142"/>
      <c r="N15" s="142"/>
    </row>
    <row r="16" spans="2:15" x14ac:dyDescent="0.2">
      <c r="B16" s="142"/>
      <c r="C16" s="143">
        <v>44378</v>
      </c>
      <c r="D16" s="159">
        <v>400</v>
      </c>
      <c r="E16" s="159">
        <v>100</v>
      </c>
      <c r="F16" s="159">
        <f t="shared" si="0"/>
        <v>25</v>
      </c>
      <c r="G16" s="159">
        <f t="shared" ref="G16:G24" si="1">SUM(D16:F16)</f>
        <v>525</v>
      </c>
      <c r="H16" s="183">
        <f t="shared" si="0"/>
        <v>50</v>
      </c>
      <c r="I16" s="183">
        <f t="shared" si="0"/>
        <v>150</v>
      </c>
      <c r="J16" s="183"/>
      <c r="K16" s="183">
        <f t="shared" ref="K16:K24" si="2">SUM(H16:J16)</f>
        <v>200</v>
      </c>
      <c r="L16" s="142">
        <f t="shared" ref="L16:L24" si="3">G16+K16</f>
        <v>725</v>
      </c>
      <c r="M16" s="142"/>
      <c r="N16" s="142"/>
    </row>
    <row r="17" spans="2:14" x14ac:dyDescent="0.2">
      <c r="B17" s="142"/>
      <c r="C17" s="143">
        <v>44409</v>
      </c>
      <c r="D17" s="159">
        <f t="shared" si="0"/>
        <v>400</v>
      </c>
      <c r="E17" s="159">
        <f t="shared" si="0"/>
        <v>100</v>
      </c>
      <c r="F17" s="159">
        <f t="shared" si="0"/>
        <v>25</v>
      </c>
      <c r="G17" s="159">
        <f t="shared" si="1"/>
        <v>525</v>
      </c>
      <c r="H17" s="183">
        <f t="shared" si="0"/>
        <v>50</v>
      </c>
      <c r="I17" s="183">
        <f t="shared" si="0"/>
        <v>150</v>
      </c>
      <c r="J17" s="183"/>
      <c r="K17" s="183">
        <f t="shared" si="2"/>
        <v>200</v>
      </c>
      <c r="L17" s="142">
        <f t="shared" si="3"/>
        <v>725</v>
      </c>
      <c r="M17" s="142"/>
      <c r="N17" s="142"/>
    </row>
    <row r="18" spans="2:14" x14ac:dyDescent="0.2">
      <c r="B18" s="142"/>
      <c r="C18" s="143">
        <v>44440</v>
      </c>
      <c r="D18" s="159">
        <f t="shared" si="0"/>
        <v>400</v>
      </c>
      <c r="E18" s="159">
        <f t="shared" si="0"/>
        <v>100</v>
      </c>
      <c r="F18" s="159">
        <f t="shared" si="0"/>
        <v>25</v>
      </c>
      <c r="G18" s="159">
        <f t="shared" si="1"/>
        <v>525</v>
      </c>
      <c r="H18" s="183">
        <f t="shared" si="0"/>
        <v>50</v>
      </c>
      <c r="I18" s="183">
        <f t="shared" si="0"/>
        <v>150</v>
      </c>
      <c r="J18" s="183"/>
      <c r="K18" s="183">
        <f t="shared" si="2"/>
        <v>200</v>
      </c>
      <c r="L18" s="142">
        <f t="shared" si="3"/>
        <v>725</v>
      </c>
      <c r="M18" s="142"/>
      <c r="N18" s="142"/>
    </row>
    <row r="19" spans="2:14" x14ac:dyDescent="0.2">
      <c r="B19" s="142"/>
      <c r="C19" s="143">
        <v>44470</v>
      </c>
      <c r="D19" s="159">
        <v>500</v>
      </c>
      <c r="E19" s="159">
        <v>200</v>
      </c>
      <c r="F19" s="159">
        <f t="shared" si="0"/>
        <v>25</v>
      </c>
      <c r="G19" s="159">
        <f t="shared" si="1"/>
        <v>725</v>
      </c>
      <c r="H19" s="183">
        <f t="shared" si="0"/>
        <v>50</v>
      </c>
      <c r="I19" s="183">
        <v>200</v>
      </c>
      <c r="J19" s="183"/>
      <c r="K19" s="183">
        <f t="shared" si="2"/>
        <v>250</v>
      </c>
      <c r="L19" s="142">
        <f t="shared" si="3"/>
        <v>975</v>
      </c>
      <c r="M19" s="142"/>
      <c r="N19" s="142"/>
    </row>
    <row r="20" spans="2:14" x14ac:dyDescent="0.2">
      <c r="B20" s="142"/>
      <c r="C20" s="143">
        <v>44501</v>
      </c>
      <c r="D20" s="159">
        <f t="shared" si="0"/>
        <v>500</v>
      </c>
      <c r="E20" s="159">
        <f t="shared" si="0"/>
        <v>200</v>
      </c>
      <c r="F20" s="159">
        <f t="shared" si="0"/>
        <v>25</v>
      </c>
      <c r="G20" s="159">
        <f t="shared" si="1"/>
        <v>725</v>
      </c>
      <c r="H20" s="183">
        <f t="shared" si="0"/>
        <v>50</v>
      </c>
      <c r="I20" s="183">
        <f t="shared" si="0"/>
        <v>200</v>
      </c>
      <c r="J20" s="183"/>
      <c r="K20" s="183">
        <f t="shared" si="2"/>
        <v>250</v>
      </c>
      <c r="L20" s="142">
        <f t="shared" si="3"/>
        <v>975</v>
      </c>
      <c r="M20" s="142"/>
      <c r="N20" s="142"/>
    </row>
    <row r="21" spans="2:14" x14ac:dyDescent="0.2">
      <c r="B21" s="142"/>
      <c r="C21" s="143">
        <v>44531</v>
      </c>
      <c r="D21" s="159">
        <f t="shared" si="0"/>
        <v>500</v>
      </c>
      <c r="E21" s="159">
        <f t="shared" si="0"/>
        <v>200</v>
      </c>
      <c r="F21" s="159">
        <f t="shared" si="0"/>
        <v>25</v>
      </c>
      <c r="G21" s="159">
        <f t="shared" si="1"/>
        <v>725</v>
      </c>
      <c r="H21" s="183">
        <f t="shared" si="0"/>
        <v>50</v>
      </c>
      <c r="I21" s="183">
        <f t="shared" si="0"/>
        <v>200</v>
      </c>
      <c r="J21" s="183"/>
      <c r="K21" s="183">
        <f t="shared" si="2"/>
        <v>250</v>
      </c>
      <c r="L21" s="142">
        <f t="shared" si="3"/>
        <v>975</v>
      </c>
      <c r="M21" s="142"/>
      <c r="N21" s="142"/>
    </row>
    <row r="22" spans="2:14" x14ac:dyDescent="0.2">
      <c r="B22" s="142"/>
      <c r="C22" s="143">
        <v>44562</v>
      </c>
      <c r="D22" s="159">
        <v>600</v>
      </c>
      <c r="E22" s="159">
        <f t="shared" si="0"/>
        <v>200</v>
      </c>
      <c r="F22" s="159">
        <v>50</v>
      </c>
      <c r="G22" s="159">
        <f t="shared" si="1"/>
        <v>850</v>
      </c>
      <c r="H22" s="183">
        <v>100</v>
      </c>
      <c r="I22" s="183">
        <f t="shared" si="0"/>
        <v>200</v>
      </c>
      <c r="J22" s="183"/>
      <c r="K22" s="183">
        <f t="shared" si="2"/>
        <v>300</v>
      </c>
      <c r="L22" s="142">
        <f t="shared" si="3"/>
        <v>1150</v>
      </c>
      <c r="M22" s="142"/>
      <c r="N22" s="142"/>
    </row>
    <row r="23" spans="2:14" x14ac:dyDescent="0.2">
      <c r="B23" s="142"/>
      <c r="C23" s="143">
        <v>44593</v>
      </c>
      <c r="D23" s="159">
        <f t="shared" si="0"/>
        <v>600</v>
      </c>
      <c r="E23" s="159">
        <f t="shared" si="0"/>
        <v>200</v>
      </c>
      <c r="F23" s="159">
        <f t="shared" si="0"/>
        <v>50</v>
      </c>
      <c r="G23" s="159">
        <f t="shared" si="1"/>
        <v>850</v>
      </c>
      <c r="H23" s="183">
        <f t="shared" si="0"/>
        <v>100</v>
      </c>
      <c r="I23" s="183">
        <f t="shared" si="0"/>
        <v>200</v>
      </c>
      <c r="J23" s="183"/>
      <c r="K23" s="183">
        <f t="shared" si="2"/>
        <v>300</v>
      </c>
      <c r="L23" s="142">
        <f t="shared" si="3"/>
        <v>1150</v>
      </c>
      <c r="M23" s="142"/>
      <c r="N23" s="142"/>
    </row>
    <row r="24" spans="2:14" x14ac:dyDescent="0.2">
      <c r="B24" s="142"/>
      <c r="C24" s="143">
        <v>44621</v>
      </c>
      <c r="D24" s="159">
        <f t="shared" si="0"/>
        <v>600</v>
      </c>
      <c r="E24" s="159">
        <f t="shared" si="0"/>
        <v>200</v>
      </c>
      <c r="F24" s="159">
        <f t="shared" si="0"/>
        <v>50</v>
      </c>
      <c r="G24" s="159">
        <f t="shared" si="1"/>
        <v>850</v>
      </c>
      <c r="H24" s="183">
        <f t="shared" si="0"/>
        <v>100</v>
      </c>
      <c r="I24" s="183">
        <f t="shared" si="0"/>
        <v>200</v>
      </c>
      <c r="J24" s="183"/>
      <c r="K24" s="183">
        <f t="shared" si="2"/>
        <v>300</v>
      </c>
      <c r="L24" s="142">
        <f t="shared" si="3"/>
        <v>1150</v>
      </c>
      <c r="M24" s="142"/>
      <c r="N24" s="142"/>
    </row>
    <row r="25" spans="2:14" x14ac:dyDescent="0.2">
      <c r="B25" s="142"/>
      <c r="C25" s="143"/>
      <c r="D25" s="159"/>
      <c r="E25" s="159"/>
      <c r="F25" s="159">
        <f>SUM(F13:F24)</f>
        <v>375</v>
      </c>
      <c r="G25" s="189">
        <f>SUM(G13:G24)</f>
        <v>7285</v>
      </c>
      <c r="H25" s="184"/>
      <c r="I25" s="184"/>
      <c r="J25" s="184"/>
      <c r="K25" s="184">
        <f>SUM(K13:K24)</f>
        <v>2770</v>
      </c>
      <c r="L25" s="144">
        <f>SUM(L13:L24)</f>
        <v>10055</v>
      </c>
      <c r="M25" s="144">
        <f>(L25-F25)*$M$3</f>
        <v>2032.8</v>
      </c>
      <c r="N25" s="144">
        <f>L25+M25</f>
        <v>12087.8</v>
      </c>
    </row>
    <row r="26" spans="2:14" x14ac:dyDescent="0.2">
      <c r="B26" s="142"/>
      <c r="C26" s="142"/>
      <c r="D26" s="145" t="s">
        <v>367</v>
      </c>
      <c r="E26" s="146"/>
      <c r="F26" s="142"/>
      <c r="G26" s="142"/>
      <c r="H26" s="142"/>
      <c r="I26" s="142"/>
      <c r="J26" s="142"/>
      <c r="K26" s="142"/>
      <c r="L26" s="142">
        <f>L25*E26</f>
        <v>0</v>
      </c>
      <c r="M26" s="142"/>
      <c r="N26" s="142"/>
    </row>
    <row r="27" spans="2:14" x14ac:dyDescent="0.2"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>
        <f>L25-L26</f>
        <v>10055</v>
      </c>
      <c r="M27" s="144">
        <f>(L27-F25)*$M$3</f>
        <v>2032.8</v>
      </c>
      <c r="N27" s="144">
        <f>L27+M27</f>
        <v>12087.8</v>
      </c>
    </row>
    <row r="28" spans="2:14" x14ac:dyDescent="0.2">
      <c r="M28" s="115"/>
      <c r="N28" s="115"/>
    </row>
    <row r="29" spans="2:14" x14ac:dyDescent="0.2">
      <c r="M29" s="115"/>
      <c r="N29" s="115"/>
    </row>
    <row r="30" spans="2:14" x14ac:dyDescent="0.2">
      <c r="B30" s="147" t="s">
        <v>303</v>
      </c>
      <c r="C30" s="147"/>
      <c r="D30" s="148" t="s">
        <v>376</v>
      </c>
      <c r="E30" s="147"/>
      <c r="F30" s="147"/>
      <c r="G30" s="147"/>
      <c r="H30" s="147"/>
      <c r="I30" s="147"/>
      <c r="J30" s="147"/>
      <c r="K30" s="147"/>
      <c r="L30" s="147"/>
      <c r="M30" s="147"/>
      <c r="N30" s="147"/>
    </row>
    <row r="31" spans="2:14" x14ac:dyDescent="0.2">
      <c r="B31" s="147"/>
      <c r="C31" s="147"/>
      <c r="D31" s="159" t="s">
        <v>361</v>
      </c>
      <c r="E31" s="159"/>
      <c r="F31" s="159"/>
      <c r="G31" s="159"/>
      <c r="H31" s="183"/>
      <c r="I31" s="183" t="s">
        <v>363</v>
      </c>
      <c r="J31" s="183"/>
      <c r="K31" s="183"/>
      <c r="L31" s="147"/>
      <c r="M31" s="147"/>
      <c r="N31" s="147"/>
    </row>
    <row r="32" spans="2:14" x14ac:dyDescent="0.2">
      <c r="B32" s="147"/>
      <c r="C32" s="147"/>
      <c r="D32" s="190" t="s">
        <v>356</v>
      </c>
      <c r="E32" s="190" t="s">
        <v>355</v>
      </c>
      <c r="F32" s="190" t="s">
        <v>362</v>
      </c>
      <c r="G32" s="190" t="s">
        <v>364</v>
      </c>
      <c r="H32" s="191" t="s">
        <v>356</v>
      </c>
      <c r="I32" s="191" t="s">
        <v>355</v>
      </c>
      <c r="J32" s="191" t="s">
        <v>362</v>
      </c>
      <c r="K32" s="191" t="s">
        <v>364</v>
      </c>
      <c r="L32" s="193" t="s">
        <v>365</v>
      </c>
      <c r="M32" s="147"/>
      <c r="N32" s="147"/>
    </row>
    <row r="33" spans="2:14" x14ac:dyDescent="0.2">
      <c r="B33" s="147"/>
      <c r="C33" s="149">
        <v>44652</v>
      </c>
      <c r="D33" s="159">
        <v>500</v>
      </c>
      <c r="E33" s="159">
        <v>150</v>
      </c>
      <c r="F33" s="159">
        <v>40</v>
      </c>
      <c r="G33" s="159">
        <f>SUM(D33:F33)</f>
        <v>690</v>
      </c>
      <c r="H33" s="183">
        <v>50</v>
      </c>
      <c r="I33" s="183">
        <v>150</v>
      </c>
      <c r="J33" s="183"/>
      <c r="K33" s="183">
        <f>SUM(H33:J33)</f>
        <v>200</v>
      </c>
      <c r="L33" s="147">
        <f>G33+K33</f>
        <v>890</v>
      </c>
      <c r="M33" s="147"/>
      <c r="N33" s="147"/>
    </row>
    <row r="34" spans="2:14" x14ac:dyDescent="0.2">
      <c r="B34" s="147"/>
      <c r="C34" s="149">
        <v>44682</v>
      </c>
      <c r="D34" s="159">
        <f>D33</f>
        <v>500</v>
      </c>
      <c r="E34" s="159">
        <f>E33</f>
        <v>150</v>
      </c>
      <c r="F34" s="159">
        <f>F33</f>
        <v>40</v>
      </c>
      <c r="G34" s="159">
        <f>SUM(D34:F34)</f>
        <v>690</v>
      </c>
      <c r="H34" s="183">
        <f>H33</f>
        <v>50</v>
      </c>
      <c r="I34" s="183">
        <f>I33</f>
        <v>150</v>
      </c>
      <c r="J34" s="183"/>
      <c r="K34" s="183">
        <f>SUM(H34:J34)</f>
        <v>200</v>
      </c>
      <c r="L34" s="147">
        <f>G34+K34</f>
        <v>890</v>
      </c>
      <c r="M34" s="147"/>
      <c r="N34" s="147"/>
    </row>
    <row r="35" spans="2:14" x14ac:dyDescent="0.2">
      <c r="B35" s="147"/>
      <c r="C35" s="149">
        <v>44713</v>
      </c>
      <c r="D35" s="159">
        <f t="shared" ref="D35:D44" si="4">D34</f>
        <v>500</v>
      </c>
      <c r="E35" s="159">
        <f t="shared" ref="E35:E44" si="5">E34</f>
        <v>150</v>
      </c>
      <c r="F35" s="159">
        <f t="shared" ref="F35:F44" si="6">F34</f>
        <v>40</v>
      </c>
      <c r="G35" s="159">
        <f>SUM(D35:F35)</f>
        <v>690</v>
      </c>
      <c r="H35" s="183">
        <f t="shared" ref="H35:I44" si="7">H34</f>
        <v>50</v>
      </c>
      <c r="I35" s="183">
        <f t="shared" si="7"/>
        <v>150</v>
      </c>
      <c r="J35" s="183"/>
      <c r="K35" s="183">
        <f>SUM(H35:J35)</f>
        <v>200</v>
      </c>
      <c r="L35" s="147">
        <f>G35+K35</f>
        <v>890</v>
      </c>
      <c r="M35" s="147"/>
      <c r="N35" s="147"/>
    </row>
    <row r="36" spans="2:14" x14ac:dyDescent="0.2">
      <c r="B36" s="147"/>
      <c r="C36" s="149">
        <v>44743</v>
      </c>
      <c r="D36" s="159">
        <f t="shared" si="4"/>
        <v>500</v>
      </c>
      <c r="E36" s="159">
        <f t="shared" si="5"/>
        <v>150</v>
      </c>
      <c r="F36" s="159">
        <f t="shared" si="6"/>
        <v>40</v>
      </c>
      <c r="G36" s="159">
        <f t="shared" ref="G36:G44" si="8">SUM(D36:F36)</f>
        <v>690</v>
      </c>
      <c r="H36" s="183">
        <f t="shared" si="7"/>
        <v>50</v>
      </c>
      <c r="I36" s="183">
        <f t="shared" si="7"/>
        <v>150</v>
      </c>
      <c r="J36" s="183"/>
      <c r="K36" s="183">
        <f t="shared" ref="K36:K44" si="9">SUM(H36:J36)</f>
        <v>200</v>
      </c>
      <c r="L36" s="147">
        <f t="shared" ref="L36:L44" si="10">G36+K36</f>
        <v>890</v>
      </c>
      <c r="M36" s="147"/>
      <c r="N36" s="147"/>
    </row>
    <row r="37" spans="2:14" x14ac:dyDescent="0.2">
      <c r="B37" s="147"/>
      <c r="C37" s="149">
        <v>44774</v>
      </c>
      <c r="D37" s="159">
        <v>500</v>
      </c>
      <c r="E37" s="159">
        <v>150</v>
      </c>
      <c r="F37" s="159">
        <f t="shared" si="6"/>
        <v>40</v>
      </c>
      <c r="G37" s="159">
        <f t="shared" si="8"/>
        <v>690</v>
      </c>
      <c r="H37" s="183">
        <v>50</v>
      </c>
      <c r="I37" s="183">
        <v>150</v>
      </c>
      <c r="J37" s="183"/>
      <c r="K37" s="183">
        <f t="shared" si="9"/>
        <v>200</v>
      </c>
      <c r="L37" s="147">
        <f t="shared" si="10"/>
        <v>890</v>
      </c>
      <c r="M37" s="147"/>
      <c r="N37" s="147"/>
    </row>
    <row r="38" spans="2:14" x14ac:dyDescent="0.2">
      <c r="B38" s="147"/>
      <c r="C38" s="149">
        <v>44805</v>
      </c>
      <c r="D38" s="159">
        <f t="shared" si="4"/>
        <v>500</v>
      </c>
      <c r="E38" s="159">
        <f t="shared" si="5"/>
        <v>150</v>
      </c>
      <c r="F38" s="159">
        <f t="shared" si="6"/>
        <v>40</v>
      </c>
      <c r="G38" s="159">
        <f t="shared" si="8"/>
        <v>690</v>
      </c>
      <c r="H38" s="183">
        <f t="shared" si="7"/>
        <v>50</v>
      </c>
      <c r="I38" s="183">
        <f t="shared" si="7"/>
        <v>150</v>
      </c>
      <c r="J38" s="183"/>
      <c r="K38" s="183">
        <f t="shared" si="9"/>
        <v>200</v>
      </c>
      <c r="L38" s="147">
        <f t="shared" si="10"/>
        <v>890</v>
      </c>
      <c r="M38" s="147"/>
      <c r="N38" s="147"/>
    </row>
    <row r="39" spans="2:14" x14ac:dyDescent="0.2">
      <c r="B39" s="147"/>
      <c r="C39" s="149">
        <v>44835</v>
      </c>
      <c r="D39" s="159">
        <v>500</v>
      </c>
      <c r="E39" s="159">
        <f t="shared" si="5"/>
        <v>150</v>
      </c>
      <c r="F39" s="159">
        <f t="shared" si="6"/>
        <v>40</v>
      </c>
      <c r="G39" s="159">
        <f t="shared" si="8"/>
        <v>690</v>
      </c>
      <c r="H39" s="183">
        <f t="shared" si="7"/>
        <v>50</v>
      </c>
      <c r="I39" s="183">
        <f t="shared" si="7"/>
        <v>150</v>
      </c>
      <c r="J39" s="183"/>
      <c r="K39" s="183">
        <f t="shared" si="9"/>
        <v>200</v>
      </c>
      <c r="L39" s="147">
        <f t="shared" si="10"/>
        <v>890</v>
      </c>
      <c r="M39" s="147"/>
      <c r="N39" s="147"/>
    </row>
    <row r="40" spans="2:14" x14ac:dyDescent="0.2">
      <c r="B40" s="147"/>
      <c r="C40" s="149">
        <v>44866</v>
      </c>
      <c r="D40" s="159">
        <v>600</v>
      </c>
      <c r="E40" s="159">
        <v>200</v>
      </c>
      <c r="F40" s="159">
        <f t="shared" si="6"/>
        <v>40</v>
      </c>
      <c r="G40" s="159">
        <f t="shared" si="8"/>
        <v>840</v>
      </c>
      <c r="H40" s="183">
        <v>100</v>
      </c>
      <c r="I40" s="183">
        <v>200</v>
      </c>
      <c r="J40" s="183"/>
      <c r="K40" s="183">
        <f t="shared" si="9"/>
        <v>300</v>
      </c>
      <c r="L40" s="147">
        <f t="shared" si="10"/>
        <v>1140</v>
      </c>
      <c r="M40" s="147"/>
      <c r="N40" s="147"/>
    </row>
    <row r="41" spans="2:14" x14ac:dyDescent="0.2">
      <c r="B41" s="147"/>
      <c r="C41" s="149">
        <v>44896</v>
      </c>
      <c r="D41" s="159">
        <f t="shared" si="4"/>
        <v>600</v>
      </c>
      <c r="E41" s="159">
        <f t="shared" si="5"/>
        <v>200</v>
      </c>
      <c r="F41" s="159">
        <f t="shared" si="6"/>
        <v>40</v>
      </c>
      <c r="G41" s="159">
        <f t="shared" si="8"/>
        <v>840</v>
      </c>
      <c r="H41" s="183">
        <f t="shared" si="7"/>
        <v>100</v>
      </c>
      <c r="I41" s="183">
        <f t="shared" si="7"/>
        <v>200</v>
      </c>
      <c r="J41" s="183"/>
      <c r="K41" s="183">
        <f t="shared" si="9"/>
        <v>300</v>
      </c>
      <c r="L41" s="147">
        <f t="shared" si="10"/>
        <v>1140</v>
      </c>
      <c r="M41" s="147"/>
      <c r="N41" s="147"/>
    </row>
    <row r="42" spans="2:14" x14ac:dyDescent="0.2">
      <c r="B42" s="147"/>
      <c r="C42" s="149">
        <v>44927</v>
      </c>
      <c r="D42" s="159">
        <f t="shared" si="4"/>
        <v>600</v>
      </c>
      <c r="E42" s="159">
        <f t="shared" si="5"/>
        <v>200</v>
      </c>
      <c r="F42" s="159">
        <f t="shared" si="6"/>
        <v>40</v>
      </c>
      <c r="G42" s="159">
        <f t="shared" si="8"/>
        <v>840</v>
      </c>
      <c r="H42" s="183">
        <f t="shared" si="7"/>
        <v>100</v>
      </c>
      <c r="I42" s="183">
        <f t="shared" si="7"/>
        <v>200</v>
      </c>
      <c r="J42" s="183"/>
      <c r="K42" s="183">
        <f t="shared" si="9"/>
        <v>300</v>
      </c>
      <c r="L42" s="147">
        <f t="shared" si="10"/>
        <v>1140</v>
      </c>
      <c r="M42" s="147"/>
      <c r="N42" s="147"/>
    </row>
    <row r="43" spans="2:14" x14ac:dyDescent="0.2">
      <c r="B43" s="147"/>
      <c r="C43" s="149">
        <v>44958</v>
      </c>
      <c r="D43" s="159">
        <f t="shared" si="4"/>
        <v>600</v>
      </c>
      <c r="E43" s="159">
        <f t="shared" si="5"/>
        <v>200</v>
      </c>
      <c r="F43" s="159">
        <f t="shared" si="6"/>
        <v>40</v>
      </c>
      <c r="G43" s="159">
        <f t="shared" si="8"/>
        <v>840</v>
      </c>
      <c r="H43" s="183">
        <f t="shared" si="7"/>
        <v>100</v>
      </c>
      <c r="I43" s="183">
        <f t="shared" si="7"/>
        <v>200</v>
      </c>
      <c r="J43" s="183"/>
      <c r="K43" s="183">
        <f t="shared" si="9"/>
        <v>300</v>
      </c>
      <c r="L43" s="147">
        <f t="shared" si="10"/>
        <v>1140</v>
      </c>
      <c r="M43" s="147"/>
      <c r="N43" s="147"/>
    </row>
    <row r="44" spans="2:14" x14ac:dyDescent="0.2">
      <c r="B44" s="147"/>
      <c r="C44" s="149">
        <v>44986</v>
      </c>
      <c r="D44" s="159">
        <f t="shared" si="4"/>
        <v>600</v>
      </c>
      <c r="E44" s="159">
        <f t="shared" si="5"/>
        <v>200</v>
      </c>
      <c r="F44" s="159">
        <f t="shared" si="6"/>
        <v>40</v>
      </c>
      <c r="G44" s="159">
        <f t="shared" si="8"/>
        <v>840</v>
      </c>
      <c r="H44" s="183">
        <f t="shared" si="7"/>
        <v>100</v>
      </c>
      <c r="I44" s="183">
        <f t="shared" si="7"/>
        <v>200</v>
      </c>
      <c r="J44" s="183"/>
      <c r="K44" s="183">
        <f t="shared" si="9"/>
        <v>300</v>
      </c>
      <c r="L44" s="147">
        <f t="shared" si="10"/>
        <v>1140</v>
      </c>
      <c r="M44" s="147"/>
      <c r="N44" s="147"/>
    </row>
    <row r="45" spans="2:14" x14ac:dyDescent="0.2">
      <c r="B45" s="147"/>
      <c r="C45" s="149"/>
      <c r="D45" s="159"/>
      <c r="E45" s="159"/>
      <c r="F45" s="159">
        <f>SUM(F33:F44)</f>
        <v>480</v>
      </c>
      <c r="G45" s="189">
        <f>SUM(G33:G44)</f>
        <v>9030</v>
      </c>
      <c r="H45" s="184"/>
      <c r="I45" s="184"/>
      <c r="J45" s="184"/>
      <c r="K45" s="184">
        <f>SUM(K33:K44)</f>
        <v>2900</v>
      </c>
      <c r="L45" s="150">
        <f>SUM(L33:L44)</f>
        <v>11930</v>
      </c>
      <c r="M45" s="150">
        <f>(L45-F45)*$M$3</f>
        <v>2404.5</v>
      </c>
      <c r="N45" s="150">
        <f>L45+M45</f>
        <v>14334.5</v>
      </c>
    </row>
    <row r="46" spans="2:14" x14ac:dyDescent="0.2">
      <c r="B46" s="147"/>
      <c r="C46" s="147"/>
      <c r="D46" s="148" t="s">
        <v>367</v>
      </c>
      <c r="E46" s="151"/>
      <c r="F46" s="147"/>
      <c r="G46" s="147"/>
      <c r="H46" s="147"/>
      <c r="I46" s="147"/>
      <c r="J46" s="147"/>
      <c r="K46" s="147"/>
      <c r="L46" s="147">
        <f>L45*E46</f>
        <v>0</v>
      </c>
      <c r="M46" s="147"/>
      <c r="N46" s="147"/>
    </row>
    <row r="47" spans="2:14" x14ac:dyDescent="0.2"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>
        <f>L45-L46</f>
        <v>11930</v>
      </c>
      <c r="M47" s="150">
        <f>(L47-F45)*$M$3</f>
        <v>2404.5</v>
      </c>
      <c r="N47" s="150">
        <f>L47+M47</f>
        <v>14334.5</v>
      </c>
    </row>
    <row r="50" spans="2:14" x14ac:dyDescent="0.2">
      <c r="B50" s="180" t="s">
        <v>303</v>
      </c>
      <c r="C50" s="180"/>
      <c r="D50" s="179" t="s">
        <v>376</v>
      </c>
      <c r="E50" s="180"/>
      <c r="F50" s="180"/>
      <c r="G50" s="180"/>
      <c r="H50" s="180"/>
      <c r="I50" s="180"/>
      <c r="J50" s="180"/>
      <c r="K50" s="180"/>
      <c r="L50" s="180"/>
      <c r="M50" s="180"/>
      <c r="N50" s="180"/>
    </row>
    <row r="51" spans="2:14" x14ac:dyDescent="0.2">
      <c r="B51" s="180"/>
      <c r="C51" s="180"/>
      <c r="D51" s="159" t="s">
        <v>361</v>
      </c>
      <c r="E51" s="159"/>
      <c r="F51" s="159"/>
      <c r="G51" s="159"/>
      <c r="H51" s="183"/>
      <c r="I51" s="183" t="s">
        <v>363</v>
      </c>
      <c r="J51" s="183"/>
      <c r="K51" s="183"/>
      <c r="L51" s="180"/>
      <c r="M51" s="180"/>
      <c r="N51" s="180"/>
    </row>
    <row r="52" spans="2:14" x14ac:dyDescent="0.2">
      <c r="B52" s="180"/>
      <c r="C52" s="180"/>
      <c r="D52" s="190" t="s">
        <v>356</v>
      </c>
      <c r="E52" s="190" t="s">
        <v>355</v>
      </c>
      <c r="F52" s="190" t="s">
        <v>362</v>
      </c>
      <c r="G52" s="190" t="s">
        <v>364</v>
      </c>
      <c r="H52" s="191" t="s">
        <v>356</v>
      </c>
      <c r="I52" s="191" t="s">
        <v>355</v>
      </c>
      <c r="J52" s="191" t="s">
        <v>362</v>
      </c>
      <c r="K52" s="191" t="s">
        <v>364</v>
      </c>
      <c r="L52" s="188" t="s">
        <v>365</v>
      </c>
      <c r="M52" s="180"/>
      <c r="N52" s="180"/>
    </row>
    <row r="53" spans="2:14" x14ac:dyDescent="0.2">
      <c r="B53" s="180"/>
      <c r="C53" s="185">
        <v>45017</v>
      </c>
      <c r="D53" s="159">
        <v>600</v>
      </c>
      <c r="E53" s="159">
        <v>200</v>
      </c>
      <c r="F53" s="159">
        <v>50</v>
      </c>
      <c r="G53" s="159">
        <f>SUM(D53:F53)</f>
        <v>850</v>
      </c>
      <c r="H53" s="183">
        <v>75</v>
      </c>
      <c r="I53" s="183">
        <v>200</v>
      </c>
      <c r="J53" s="183"/>
      <c r="K53" s="183">
        <f>SUM(H53:J53)</f>
        <v>275</v>
      </c>
      <c r="L53" s="180">
        <f>G53+K53</f>
        <v>1125</v>
      </c>
      <c r="M53" s="180"/>
      <c r="N53" s="180"/>
    </row>
    <row r="54" spans="2:14" x14ac:dyDescent="0.2">
      <c r="B54" s="180"/>
      <c r="C54" s="185">
        <v>45047</v>
      </c>
      <c r="D54" s="159">
        <f>D53</f>
        <v>600</v>
      </c>
      <c r="E54" s="159">
        <f>E53</f>
        <v>200</v>
      </c>
      <c r="F54" s="159">
        <f>F53</f>
        <v>50</v>
      </c>
      <c r="G54" s="159">
        <f>SUM(D54:F54)</f>
        <v>850</v>
      </c>
      <c r="H54" s="183">
        <f t="shared" ref="H54:I56" si="11">H53</f>
        <v>75</v>
      </c>
      <c r="I54" s="183">
        <f t="shared" si="11"/>
        <v>200</v>
      </c>
      <c r="J54" s="183"/>
      <c r="K54" s="183">
        <f>SUM(H54:J54)</f>
        <v>275</v>
      </c>
      <c r="L54" s="180">
        <f>G54+K54</f>
        <v>1125</v>
      </c>
      <c r="M54" s="180"/>
      <c r="N54" s="180"/>
    </row>
    <row r="55" spans="2:14" x14ac:dyDescent="0.2">
      <c r="B55" s="180"/>
      <c r="C55" s="185">
        <v>45078</v>
      </c>
      <c r="D55" s="159">
        <f t="shared" ref="D55:F64" si="12">D54</f>
        <v>600</v>
      </c>
      <c r="E55" s="159">
        <f t="shared" si="12"/>
        <v>200</v>
      </c>
      <c r="F55" s="159">
        <f t="shared" si="12"/>
        <v>50</v>
      </c>
      <c r="G55" s="159">
        <f>SUM(D55:F55)</f>
        <v>850</v>
      </c>
      <c r="H55" s="183">
        <f t="shared" si="11"/>
        <v>75</v>
      </c>
      <c r="I55" s="183">
        <f t="shared" si="11"/>
        <v>200</v>
      </c>
      <c r="J55" s="183"/>
      <c r="K55" s="183">
        <f>SUM(H55:J55)</f>
        <v>275</v>
      </c>
      <c r="L55" s="180">
        <f>G55+K55</f>
        <v>1125</v>
      </c>
      <c r="M55" s="180"/>
      <c r="N55" s="180"/>
    </row>
    <row r="56" spans="2:14" x14ac:dyDescent="0.2">
      <c r="B56" s="180"/>
      <c r="C56" s="185">
        <v>45108</v>
      </c>
      <c r="D56" s="159">
        <f t="shared" si="12"/>
        <v>600</v>
      </c>
      <c r="E56" s="159">
        <f t="shared" si="12"/>
        <v>200</v>
      </c>
      <c r="F56" s="159">
        <f t="shared" si="12"/>
        <v>50</v>
      </c>
      <c r="G56" s="159">
        <f t="shared" ref="G56:G64" si="13">SUM(D56:F56)</f>
        <v>850</v>
      </c>
      <c r="H56" s="183">
        <f t="shared" si="11"/>
        <v>75</v>
      </c>
      <c r="I56" s="183">
        <f t="shared" si="11"/>
        <v>200</v>
      </c>
      <c r="J56" s="183"/>
      <c r="K56" s="183">
        <f t="shared" ref="K56:K64" si="14">SUM(H56:J56)</f>
        <v>275</v>
      </c>
      <c r="L56" s="180">
        <f t="shared" ref="L56:L64" si="15">G56+K56</f>
        <v>1125</v>
      </c>
      <c r="M56" s="180"/>
      <c r="N56" s="180"/>
    </row>
    <row r="57" spans="2:14" x14ac:dyDescent="0.2">
      <c r="B57" s="180"/>
      <c r="C57" s="185">
        <v>45139</v>
      </c>
      <c r="D57" s="159">
        <v>500</v>
      </c>
      <c r="E57" s="159">
        <v>150</v>
      </c>
      <c r="F57" s="159">
        <f t="shared" si="12"/>
        <v>50</v>
      </c>
      <c r="G57" s="159">
        <f t="shared" si="13"/>
        <v>700</v>
      </c>
      <c r="H57" s="183">
        <v>50</v>
      </c>
      <c r="I57" s="183">
        <v>175</v>
      </c>
      <c r="J57" s="183"/>
      <c r="K57" s="183">
        <f t="shared" si="14"/>
        <v>225</v>
      </c>
      <c r="L57" s="180">
        <f t="shared" si="15"/>
        <v>925</v>
      </c>
      <c r="M57" s="180"/>
      <c r="N57" s="180"/>
    </row>
    <row r="58" spans="2:14" x14ac:dyDescent="0.2">
      <c r="B58" s="180"/>
      <c r="C58" s="185">
        <v>45170</v>
      </c>
      <c r="D58" s="159">
        <f t="shared" si="12"/>
        <v>500</v>
      </c>
      <c r="E58" s="159">
        <f t="shared" si="12"/>
        <v>150</v>
      </c>
      <c r="F58" s="159">
        <f t="shared" si="12"/>
        <v>50</v>
      </c>
      <c r="G58" s="159">
        <f t="shared" si="13"/>
        <v>700</v>
      </c>
      <c r="H58" s="183">
        <f>H57</f>
        <v>50</v>
      </c>
      <c r="I58" s="183">
        <f>I57</f>
        <v>175</v>
      </c>
      <c r="J58" s="183"/>
      <c r="K58" s="183">
        <f t="shared" si="14"/>
        <v>225</v>
      </c>
      <c r="L58" s="180">
        <f t="shared" si="15"/>
        <v>925</v>
      </c>
      <c r="M58" s="180"/>
      <c r="N58" s="180"/>
    </row>
    <row r="59" spans="2:14" x14ac:dyDescent="0.2">
      <c r="B59" s="180"/>
      <c r="C59" s="185">
        <v>45200</v>
      </c>
      <c r="D59" s="159">
        <v>500</v>
      </c>
      <c r="E59" s="159">
        <f t="shared" si="12"/>
        <v>150</v>
      </c>
      <c r="F59" s="159">
        <f t="shared" si="12"/>
        <v>50</v>
      </c>
      <c r="G59" s="159">
        <f t="shared" si="13"/>
        <v>700</v>
      </c>
      <c r="H59" s="183">
        <f>H58</f>
        <v>50</v>
      </c>
      <c r="I59" s="183">
        <f>I58</f>
        <v>175</v>
      </c>
      <c r="J59" s="183"/>
      <c r="K59" s="183">
        <f t="shared" si="14"/>
        <v>225</v>
      </c>
      <c r="L59" s="180">
        <f t="shared" si="15"/>
        <v>925</v>
      </c>
      <c r="M59" s="180"/>
      <c r="N59" s="180"/>
    </row>
    <row r="60" spans="2:14" x14ac:dyDescent="0.2">
      <c r="B60" s="180"/>
      <c r="C60" s="185">
        <v>45231</v>
      </c>
      <c r="D60" s="159">
        <v>600</v>
      </c>
      <c r="E60" s="159">
        <v>200</v>
      </c>
      <c r="F60" s="159">
        <f t="shared" si="12"/>
        <v>50</v>
      </c>
      <c r="G60" s="159">
        <f t="shared" si="13"/>
        <v>850</v>
      </c>
      <c r="H60" s="183">
        <v>100</v>
      </c>
      <c r="I60" s="183">
        <v>250</v>
      </c>
      <c r="J60" s="183"/>
      <c r="K60" s="183">
        <f t="shared" si="14"/>
        <v>350</v>
      </c>
      <c r="L60" s="180">
        <f t="shared" si="15"/>
        <v>1200</v>
      </c>
      <c r="M60" s="180"/>
      <c r="N60" s="180"/>
    </row>
    <row r="61" spans="2:14" x14ac:dyDescent="0.2">
      <c r="B61" s="180"/>
      <c r="C61" s="185">
        <v>45261</v>
      </c>
      <c r="D61" s="159">
        <f t="shared" si="12"/>
        <v>600</v>
      </c>
      <c r="E61" s="159">
        <f t="shared" si="12"/>
        <v>200</v>
      </c>
      <c r="F61" s="159">
        <f t="shared" si="12"/>
        <v>50</v>
      </c>
      <c r="G61" s="159">
        <f t="shared" si="13"/>
        <v>850</v>
      </c>
      <c r="H61" s="183">
        <f t="shared" ref="H61:I64" si="16">H60</f>
        <v>100</v>
      </c>
      <c r="I61" s="183">
        <f t="shared" si="16"/>
        <v>250</v>
      </c>
      <c r="J61" s="183"/>
      <c r="K61" s="183">
        <f t="shared" si="14"/>
        <v>350</v>
      </c>
      <c r="L61" s="180">
        <f t="shared" si="15"/>
        <v>1200</v>
      </c>
      <c r="M61" s="180"/>
      <c r="N61" s="180"/>
    </row>
    <row r="62" spans="2:14" x14ac:dyDescent="0.2">
      <c r="B62" s="180"/>
      <c r="C62" s="185">
        <v>45292</v>
      </c>
      <c r="D62" s="159">
        <v>700</v>
      </c>
      <c r="E62" s="159">
        <v>250</v>
      </c>
      <c r="F62" s="159">
        <f t="shared" si="12"/>
        <v>50</v>
      </c>
      <c r="G62" s="159">
        <f t="shared" si="13"/>
        <v>1000</v>
      </c>
      <c r="H62" s="183">
        <f t="shared" si="16"/>
        <v>100</v>
      </c>
      <c r="I62" s="183">
        <f t="shared" si="16"/>
        <v>250</v>
      </c>
      <c r="J62" s="183"/>
      <c r="K62" s="183">
        <f t="shared" si="14"/>
        <v>350</v>
      </c>
      <c r="L62" s="180">
        <f t="shared" si="15"/>
        <v>1350</v>
      </c>
      <c r="M62" s="180"/>
      <c r="N62" s="180"/>
    </row>
    <row r="63" spans="2:14" x14ac:dyDescent="0.2">
      <c r="B63" s="180"/>
      <c r="C63" s="185">
        <v>45323</v>
      </c>
      <c r="D63" s="159">
        <f t="shared" si="12"/>
        <v>700</v>
      </c>
      <c r="E63" s="159">
        <f t="shared" si="12"/>
        <v>250</v>
      </c>
      <c r="F63" s="159">
        <f t="shared" si="12"/>
        <v>50</v>
      </c>
      <c r="G63" s="159">
        <f t="shared" si="13"/>
        <v>1000</v>
      </c>
      <c r="H63" s="183">
        <f t="shared" si="16"/>
        <v>100</v>
      </c>
      <c r="I63" s="183">
        <f t="shared" si="16"/>
        <v>250</v>
      </c>
      <c r="J63" s="183"/>
      <c r="K63" s="183">
        <f t="shared" si="14"/>
        <v>350</v>
      </c>
      <c r="L63" s="180">
        <f t="shared" si="15"/>
        <v>1350</v>
      </c>
      <c r="M63" s="180"/>
      <c r="N63" s="180"/>
    </row>
    <row r="64" spans="2:14" x14ac:dyDescent="0.2">
      <c r="B64" s="180"/>
      <c r="C64" s="185">
        <v>45352</v>
      </c>
      <c r="D64" s="159">
        <f t="shared" si="12"/>
        <v>700</v>
      </c>
      <c r="E64" s="159">
        <f t="shared" si="12"/>
        <v>250</v>
      </c>
      <c r="F64" s="159">
        <f t="shared" si="12"/>
        <v>50</v>
      </c>
      <c r="G64" s="159">
        <f t="shared" si="13"/>
        <v>1000</v>
      </c>
      <c r="H64" s="183">
        <f t="shared" si="16"/>
        <v>100</v>
      </c>
      <c r="I64" s="183">
        <f t="shared" si="16"/>
        <v>250</v>
      </c>
      <c r="J64" s="183"/>
      <c r="K64" s="183">
        <f t="shared" si="14"/>
        <v>350</v>
      </c>
      <c r="L64" s="180">
        <f t="shared" si="15"/>
        <v>1350</v>
      </c>
      <c r="M64" s="180"/>
      <c r="N64" s="180"/>
    </row>
    <row r="65" spans="2:23" x14ac:dyDescent="0.2">
      <c r="B65" s="180"/>
      <c r="C65" s="185"/>
      <c r="D65" s="159"/>
      <c r="E65" s="159"/>
      <c r="F65" s="159">
        <f>SUM(F53:F64)</f>
        <v>600</v>
      </c>
      <c r="G65" s="189">
        <f>SUM(G53:G64)</f>
        <v>10200</v>
      </c>
      <c r="H65" s="184"/>
      <c r="I65" s="184"/>
      <c r="J65" s="184"/>
      <c r="K65" s="184">
        <f>SUM(K53:K64)</f>
        <v>3525</v>
      </c>
      <c r="L65" s="186">
        <f>SUM(L53:L64)</f>
        <v>13725</v>
      </c>
      <c r="M65" s="186">
        <f>(L65-F65)*$M$3</f>
        <v>2756.25</v>
      </c>
      <c r="N65" s="186">
        <f>L65+M65</f>
        <v>16481.25</v>
      </c>
    </row>
    <row r="66" spans="2:23" x14ac:dyDescent="0.2">
      <c r="B66" s="180"/>
      <c r="C66" s="180"/>
      <c r="D66" s="179" t="s">
        <v>367</v>
      </c>
      <c r="E66" s="187"/>
      <c r="F66" s="180"/>
      <c r="G66" s="180"/>
      <c r="H66" s="180"/>
      <c r="I66" s="180"/>
      <c r="J66" s="180"/>
      <c r="K66" s="180"/>
      <c r="L66" s="180">
        <f>L65*E66</f>
        <v>0</v>
      </c>
      <c r="M66" s="180"/>
      <c r="N66" s="180"/>
    </row>
    <row r="67" spans="2:23" x14ac:dyDescent="0.2">
      <c r="B67" s="180"/>
      <c r="C67" s="180"/>
      <c r="D67" s="180"/>
      <c r="E67" s="180"/>
      <c r="F67" s="180"/>
      <c r="G67" s="180"/>
      <c r="H67" s="180"/>
      <c r="I67" s="180"/>
      <c r="J67" s="180"/>
      <c r="K67" s="180"/>
      <c r="L67" s="180">
        <f>L65-L66</f>
        <v>13725</v>
      </c>
      <c r="M67" s="186">
        <f>(L67-F65)*$M$3</f>
        <v>2756.25</v>
      </c>
      <c r="N67" s="186">
        <f>L67+M67</f>
        <v>16481.25</v>
      </c>
    </row>
    <row r="74" spans="2:23" x14ac:dyDescent="0.2">
      <c r="U74" t="e">
        <f>SUM(#REF!)</f>
        <v>#REF!</v>
      </c>
      <c r="W74" t="e">
        <f>SUM(#REF!,#REF!,#REF!,#REF!,#REF!,#REF!,#REF!)</f>
        <v>#REF!</v>
      </c>
    </row>
  </sheetData>
  <printOptions gridLines="1"/>
  <pageMargins left="0.31496062992125984" right="0.11811023622047245" top="0.74803149606299213" bottom="0.74803149606299213" header="0.31496062992125984" footer="0.31496062992125984"/>
  <pageSetup scale="1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271"/>
  <sheetViews>
    <sheetView topLeftCell="Y83" workbookViewId="0">
      <selection activeCell="AN107" sqref="AN107"/>
    </sheetView>
  </sheetViews>
  <sheetFormatPr defaultRowHeight="12.75" x14ac:dyDescent="0.2"/>
  <cols>
    <col min="1" max="1" width="25.7109375" customWidth="1"/>
    <col min="2" max="2" width="10.5703125" customWidth="1"/>
    <col min="3" max="3" width="12.7109375" customWidth="1"/>
    <col min="4" max="4" width="13.28515625" customWidth="1"/>
    <col min="5" max="5" width="10.140625" bestFit="1" customWidth="1"/>
    <col min="6" max="6" width="13.28515625" customWidth="1"/>
    <col min="7" max="7" width="11.85546875" bestFit="1" customWidth="1"/>
    <col min="8" max="8" width="13.85546875" customWidth="1"/>
    <col min="9" max="9" width="12.5703125" customWidth="1"/>
    <col min="10" max="10" width="10.28515625" customWidth="1"/>
    <col min="11" max="11" width="12.85546875" customWidth="1"/>
    <col min="12" max="12" width="12.42578125" customWidth="1"/>
    <col min="13" max="13" width="13" bestFit="1" customWidth="1"/>
    <col min="14" max="14" width="10.5703125" customWidth="1"/>
    <col min="17" max="19" width="9.140625" customWidth="1"/>
    <col min="20" max="20" width="12.42578125" customWidth="1"/>
    <col min="21" max="21" width="9.140625" customWidth="1"/>
    <col min="22" max="22" width="13" bestFit="1" customWidth="1"/>
    <col min="23" max="23" width="10.7109375" customWidth="1"/>
    <col min="24" max="26" width="9.140625" customWidth="1"/>
    <col min="27" max="27" width="6.42578125" customWidth="1"/>
    <col min="28" max="28" width="12.42578125" customWidth="1"/>
    <col min="29" max="29" width="10.7109375" customWidth="1"/>
    <col min="31" max="31" width="13" bestFit="1" customWidth="1"/>
    <col min="32" max="32" width="10.140625" bestFit="1" customWidth="1"/>
    <col min="37" max="37" width="12.140625" customWidth="1"/>
    <col min="38" max="38" width="12" customWidth="1"/>
    <col min="40" max="40" width="13" bestFit="1" customWidth="1"/>
    <col min="46" max="47" width="11.140625" customWidth="1"/>
    <col min="50" max="50" width="12.140625" customWidth="1"/>
    <col min="51" max="51" width="11.42578125" customWidth="1"/>
    <col min="53" max="53" width="11.28515625" customWidth="1"/>
    <col min="55" max="55" width="12.85546875" customWidth="1"/>
  </cols>
  <sheetData>
    <row r="1" spans="1:25" ht="15.75" x14ac:dyDescent="0.25">
      <c r="D1" s="210" t="s">
        <v>439</v>
      </c>
    </row>
    <row r="3" spans="1:25" ht="15.75" x14ac:dyDescent="0.25">
      <c r="A3" s="210"/>
      <c r="E3" s="210" t="s">
        <v>434</v>
      </c>
    </row>
    <row r="4" spans="1:25" ht="15.75" x14ac:dyDescent="0.25">
      <c r="B4" s="210"/>
      <c r="E4" s="211" t="s">
        <v>440</v>
      </c>
    </row>
    <row r="5" spans="1:25" x14ac:dyDescent="0.2">
      <c r="D5" t="s">
        <v>438</v>
      </c>
    </row>
    <row r="6" spans="1:25" ht="28.5" x14ac:dyDescent="0.2">
      <c r="A6" s="212" t="s">
        <v>435</v>
      </c>
      <c r="B6" s="213" t="s">
        <v>436</v>
      </c>
      <c r="C6" s="212" t="s">
        <v>437</v>
      </c>
      <c r="D6" s="212" t="s">
        <v>358</v>
      </c>
      <c r="E6" s="212" t="s">
        <v>377</v>
      </c>
      <c r="F6" s="212" t="s">
        <v>384</v>
      </c>
      <c r="G6" s="212" t="s">
        <v>385</v>
      </c>
      <c r="H6" s="212" t="s">
        <v>386</v>
      </c>
      <c r="I6" s="212" t="s">
        <v>387</v>
      </c>
      <c r="J6" s="212" t="s">
        <v>388</v>
      </c>
      <c r="K6" s="212" t="s">
        <v>389</v>
      </c>
      <c r="L6" s="212" t="s">
        <v>364</v>
      </c>
      <c r="P6" s="115"/>
      <c r="Q6" s="115"/>
      <c r="R6" s="115"/>
      <c r="S6" s="115"/>
      <c r="T6" s="115"/>
      <c r="U6" s="115"/>
      <c r="V6" s="115"/>
      <c r="W6" s="115"/>
      <c r="X6" s="115"/>
      <c r="Y6" s="115"/>
    </row>
    <row r="7" spans="1:25" ht="14.25" x14ac:dyDescent="0.2">
      <c r="A7" s="214" t="s">
        <v>392</v>
      </c>
      <c r="B7" s="214">
        <v>272</v>
      </c>
      <c r="C7" s="215">
        <v>43938</v>
      </c>
      <c r="D7" s="216">
        <f>H56</f>
        <v>199.72</v>
      </c>
      <c r="E7" s="216">
        <f>D10</f>
        <v>140.5</v>
      </c>
      <c r="F7" s="216">
        <f t="shared" ref="F7:K7" si="0">E10</f>
        <v>93.666666666666657</v>
      </c>
      <c r="G7" s="216">
        <f t="shared" si="0"/>
        <v>46.833333333333314</v>
      </c>
      <c r="H7" s="216">
        <f t="shared" si="0"/>
        <v>0</v>
      </c>
      <c r="I7" s="216">
        <f t="shared" si="0"/>
        <v>0</v>
      </c>
      <c r="J7" s="216">
        <f t="shared" si="0"/>
        <v>0</v>
      </c>
      <c r="K7" s="216">
        <f t="shared" si="0"/>
        <v>0</v>
      </c>
      <c r="L7" s="216">
        <f>D7</f>
        <v>199.72</v>
      </c>
      <c r="P7" s="115"/>
      <c r="Q7" s="115"/>
      <c r="R7" s="115"/>
      <c r="S7" s="115"/>
      <c r="T7" s="115"/>
      <c r="U7" s="115"/>
      <c r="V7" s="115"/>
      <c r="W7" s="115"/>
      <c r="X7" s="115"/>
      <c r="Y7" s="115"/>
    </row>
    <row r="8" spans="1:25" ht="14.25" x14ac:dyDescent="0.2">
      <c r="A8" s="217" t="s">
        <v>409</v>
      </c>
      <c r="B8" s="217"/>
      <c r="C8" s="218"/>
      <c r="D8" s="217">
        <v>0</v>
      </c>
      <c r="E8" s="217">
        <v>0</v>
      </c>
      <c r="F8" s="217">
        <v>0</v>
      </c>
      <c r="G8" s="217">
        <v>0</v>
      </c>
      <c r="H8" s="217">
        <v>0</v>
      </c>
      <c r="I8" s="217">
        <v>0</v>
      </c>
      <c r="J8" s="217">
        <v>0</v>
      </c>
      <c r="K8" s="217">
        <v>0</v>
      </c>
      <c r="L8" s="217">
        <f>SUM(D8:K8)</f>
        <v>0</v>
      </c>
      <c r="P8" s="115"/>
      <c r="Q8" s="115"/>
      <c r="R8" s="115"/>
      <c r="S8" s="115"/>
      <c r="T8" s="115"/>
      <c r="U8" s="115"/>
      <c r="V8" s="115"/>
      <c r="W8" s="115"/>
      <c r="X8" s="115"/>
      <c r="Y8" s="115"/>
    </row>
    <row r="9" spans="1:25" ht="14.25" x14ac:dyDescent="0.2">
      <c r="A9" s="219" t="s">
        <v>410</v>
      </c>
      <c r="B9" s="219"/>
      <c r="C9" s="220"/>
      <c r="D9" s="221">
        <f>E68</f>
        <v>59.22</v>
      </c>
      <c r="E9" s="221">
        <f>E80</f>
        <v>46.833333333333343</v>
      </c>
      <c r="F9" s="221">
        <f>E92</f>
        <v>46.833333333333343</v>
      </c>
      <c r="G9" s="221">
        <f>E104</f>
        <v>46.833333333333343</v>
      </c>
      <c r="H9" s="221">
        <f>E108</f>
        <v>0</v>
      </c>
      <c r="I9" s="221"/>
      <c r="J9" s="221"/>
      <c r="K9" s="221"/>
      <c r="L9" s="221">
        <f>SUM(D9:K9)</f>
        <v>199.72000000000003</v>
      </c>
      <c r="P9" s="115"/>
      <c r="Q9" s="115"/>
      <c r="R9" s="115"/>
      <c r="S9" s="115"/>
      <c r="T9" s="115"/>
      <c r="U9" s="115"/>
      <c r="V9" s="115"/>
      <c r="W9" s="115"/>
      <c r="X9" s="115"/>
      <c r="Y9" s="115"/>
    </row>
    <row r="10" spans="1:25" ht="14.25" x14ac:dyDescent="0.2">
      <c r="A10" s="222" t="s">
        <v>411</v>
      </c>
      <c r="B10" s="222"/>
      <c r="C10" s="223"/>
      <c r="D10" s="224">
        <f>D7+D8-D9</f>
        <v>140.5</v>
      </c>
      <c r="E10" s="224">
        <f t="shared" ref="E10:K10" si="1">E7+E8-E9</f>
        <v>93.666666666666657</v>
      </c>
      <c r="F10" s="224">
        <f t="shared" si="1"/>
        <v>46.833333333333314</v>
      </c>
      <c r="G10" s="224">
        <f t="shared" si="1"/>
        <v>0</v>
      </c>
      <c r="H10" s="224">
        <f t="shared" si="1"/>
        <v>0</v>
      </c>
      <c r="I10" s="224">
        <f t="shared" si="1"/>
        <v>0</v>
      </c>
      <c r="J10" s="224">
        <f t="shared" si="1"/>
        <v>0</v>
      </c>
      <c r="K10" s="224">
        <f t="shared" si="1"/>
        <v>0</v>
      </c>
      <c r="L10" s="222"/>
      <c r="P10" s="115"/>
      <c r="Q10" s="115"/>
      <c r="R10" s="115"/>
      <c r="S10" s="115"/>
      <c r="T10" s="115"/>
      <c r="U10" s="115"/>
      <c r="V10" s="115"/>
      <c r="W10" s="115"/>
      <c r="X10" s="115"/>
      <c r="Y10" s="115"/>
    </row>
    <row r="11" spans="1:25" ht="14.25" x14ac:dyDescent="0.2">
      <c r="A11" s="225" t="s">
        <v>412</v>
      </c>
      <c r="B11" s="225"/>
      <c r="C11" s="226"/>
      <c r="D11" s="227">
        <f>G68+G67</f>
        <v>11.98</v>
      </c>
      <c r="E11" s="227">
        <f>G80</f>
        <v>8.58</v>
      </c>
      <c r="F11" s="227">
        <f>G92</f>
        <v>5.1899999999999995</v>
      </c>
      <c r="G11" s="227">
        <f>G104</f>
        <v>1.82</v>
      </c>
      <c r="H11" s="227">
        <f>G108</f>
        <v>0</v>
      </c>
      <c r="I11" s="227"/>
      <c r="J11" s="227"/>
      <c r="K11" s="227"/>
      <c r="L11" s="221">
        <f>SUM(D11:K11)</f>
        <v>27.57</v>
      </c>
      <c r="P11" s="115"/>
      <c r="Q11" s="115"/>
      <c r="R11" s="115"/>
      <c r="S11" s="115"/>
      <c r="T11" s="115"/>
      <c r="U11" s="115"/>
      <c r="V11" s="115"/>
      <c r="W11" s="115"/>
      <c r="X11" s="115"/>
      <c r="Y11" s="115"/>
    </row>
    <row r="12" spans="1:25" ht="14.25" x14ac:dyDescent="0.2">
      <c r="A12" s="214" t="s">
        <v>368</v>
      </c>
      <c r="B12" s="214">
        <v>545</v>
      </c>
      <c r="C12" s="215">
        <v>44069</v>
      </c>
      <c r="D12" s="216">
        <v>545</v>
      </c>
      <c r="E12" s="216">
        <f>D15</f>
        <v>545</v>
      </c>
      <c r="F12" s="216">
        <f t="shared" ref="F12:K12" si="2">E15</f>
        <v>423.88888888888891</v>
      </c>
      <c r="G12" s="216">
        <f t="shared" si="2"/>
        <v>242.22222222222226</v>
      </c>
      <c r="H12" s="216">
        <f t="shared" si="2"/>
        <v>60.5555555555556</v>
      </c>
      <c r="I12" s="216">
        <f t="shared" si="2"/>
        <v>0</v>
      </c>
      <c r="J12" s="216">
        <f t="shared" si="2"/>
        <v>0</v>
      </c>
      <c r="K12" s="216">
        <f t="shared" si="2"/>
        <v>0</v>
      </c>
      <c r="L12" s="216">
        <f>D12</f>
        <v>545</v>
      </c>
      <c r="P12" s="115"/>
      <c r="Q12" s="115"/>
      <c r="R12" s="115"/>
      <c r="S12" s="115"/>
      <c r="T12" s="115"/>
      <c r="U12" s="115"/>
      <c r="V12" s="115"/>
      <c r="W12" s="115"/>
      <c r="X12" s="115"/>
      <c r="Y12" s="115"/>
    </row>
    <row r="13" spans="1:25" ht="14.25" x14ac:dyDescent="0.2">
      <c r="A13" s="217" t="s">
        <v>409</v>
      </c>
      <c r="B13" s="217"/>
      <c r="C13" s="218"/>
      <c r="D13" s="217">
        <v>0</v>
      </c>
      <c r="E13" s="217">
        <v>0</v>
      </c>
      <c r="F13" s="217">
        <v>0</v>
      </c>
      <c r="G13" s="217">
        <v>0</v>
      </c>
      <c r="H13" s="217">
        <v>0</v>
      </c>
      <c r="I13" s="217">
        <v>0</v>
      </c>
      <c r="J13" s="217">
        <v>0</v>
      </c>
      <c r="K13" s="217">
        <v>0</v>
      </c>
      <c r="L13" s="217">
        <f>SUM(D13:K13)</f>
        <v>0</v>
      </c>
      <c r="P13" s="115"/>
      <c r="Q13" s="115"/>
      <c r="R13" s="115"/>
      <c r="S13" s="115"/>
      <c r="T13" s="115"/>
      <c r="U13" s="115"/>
      <c r="V13" s="115"/>
      <c r="W13" s="115"/>
      <c r="X13" s="115"/>
      <c r="Y13" s="115"/>
    </row>
    <row r="14" spans="1:25" ht="14.25" x14ac:dyDescent="0.2">
      <c r="A14" s="219" t="s">
        <v>410</v>
      </c>
      <c r="B14" s="219"/>
      <c r="C14" s="220"/>
      <c r="D14" s="221">
        <f>N68</f>
        <v>0</v>
      </c>
      <c r="E14" s="221">
        <f>N80</f>
        <v>121.1111111111111</v>
      </c>
      <c r="F14" s="221">
        <f>N92</f>
        <v>181.66666666666666</v>
      </c>
      <c r="G14" s="221">
        <f>N104</f>
        <v>181.66666666666666</v>
      </c>
      <c r="H14" s="221">
        <f>N108</f>
        <v>60.555555555555557</v>
      </c>
      <c r="I14" s="221"/>
      <c r="J14" s="221"/>
      <c r="K14" s="221"/>
      <c r="L14" s="221">
        <f>SUM(D14:K14)</f>
        <v>545</v>
      </c>
      <c r="P14" s="115"/>
      <c r="Q14" s="115"/>
      <c r="R14" s="115"/>
      <c r="S14" s="115"/>
      <c r="T14" s="115"/>
      <c r="U14" s="115"/>
      <c r="V14" s="115"/>
      <c r="W14" s="115"/>
      <c r="X14" s="115"/>
      <c r="Y14" s="115"/>
    </row>
    <row r="15" spans="1:25" ht="14.25" x14ac:dyDescent="0.2">
      <c r="A15" s="222" t="s">
        <v>411</v>
      </c>
      <c r="B15" s="222"/>
      <c r="C15" s="223"/>
      <c r="D15" s="224">
        <f t="shared" ref="D15:K15" si="3">D12+D13-D14</f>
        <v>545</v>
      </c>
      <c r="E15" s="224">
        <f t="shared" si="3"/>
        <v>423.88888888888891</v>
      </c>
      <c r="F15" s="224">
        <f t="shared" si="3"/>
        <v>242.22222222222226</v>
      </c>
      <c r="G15" s="224">
        <f t="shared" si="3"/>
        <v>60.5555555555556</v>
      </c>
      <c r="H15" s="224">
        <f t="shared" si="3"/>
        <v>0</v>
      </c>
      <c r="I15" s="224">
        <f t="shared" si="3"/>
        <v>0</v>
      </c>
      <c r="J15" s="224">
        <f t="shared" si="3"/>
        <v>0</v>
      </c>
      <c r="K15" s="224">
        <f t="shared" si="3"/>
        <v>0</v>
      </c>
      <c r="L15" s="222"/>
      <c r="P15" s="115"/>
      <c r="Q15" s="115"/>
      <c r="R15" s="115"/>
      <c r="S15" s="115"/>
      <c r="T15" s="115"/>
      <c r="U15" s="115"/>
      <c r="V15" s="115"/>
      <c r="W15" s="115"/>
      <c r="X15" s="115"/>
      <c r="Y15" s="115"/>
    </row>
    <row r="16" spans="1:25" ht="14.25" x14ac:dyDescent="0.2">
      <c r="A16" s="225" t="s">
        <v>412</v>
      </c>
      <c r="B16" s="225"/>
      <c r="C16" s="226"/>
      <c r="D16" s="227">
        <f>P68+P67</f>
        <v>41.160000000000004</v>
      </c>
      <c r="E16" s="227">
        <f>P80</f>
        <v>38.480000000000004</v>
      </c>
      <c r="F16" s="227">
        <f>P92</f>
        <v>25.689999999999998</v>
      </c>
      <c r="G16" s="227">
        <f>P104</f>
        <v>12</v>
      </c>
      <c r="H16" s="227">
        <f>P108</f>
        <v>0.95999999999999985</v>
      </c>
      <c r="I16" s="227"/>
      <c r="J16" s="227"/>
      <c r="K16" s="227"/>
      <c r="L16" s="227">
        <f>SUM(D16:K16)</f>
        <v>118.29</v>
      </c>
      <c r="P16" s="115"/>
      <c r="Q16" s="115"/>
      <c r="R16" s="115"/>
      <c r="S16" s="115"/>
      <c r="T16" s="115"/>
      <c r="U16" s="115"/>
      <c r="V16" s="115"/>
      <c r="W16" s="115"/>
      <c r="X16" s="115"/>
      <c r="Y16" s="115"/>
    </row>
    <row r="17" spans="1:25" ht="14.25" x14ac:dyDescent="0.2">
      <c r="A17" s="214" t="s">
        <v>446</v>
      </c>
      <c r="B17" s="214">
        <v>272</v>
      </c>
      <c r="C17" s="215"/>
      <c r="D17" s="216"/>
      <c r="E17" s="216">
        <f>D20</f>
        <v>272</v>
      </c>
      <c r="F17" s="216">
        <f t="shared" ref="F17:K17" si="4">E20</f>
        <v>272</v>
      </c>
      <c r="G17" s="216">
        <f t="shared" si="4"/>
        <v>203.95999999999998</v>
      </c>
      <c r="H17" s="216">
        <f t="shared" si="4"/>
        <v>113.23999999999997</v>
      </c>
      <c r="I17" s="216">
        <f t="shared" si="4"/>
        <v>22.519999999999953</v>
      </c>
      <c r="J17" s="216">
        <f t="shared" si="4"/>
        <v>-4.6185277824406512E-14</v>
      </c>
      <c r="K17" s="216">
        <f t="shared" si="4"/>
        <v>-4.6185277824406512E-14</v>
      </c>
      <c r="L17" s="214"/>
      <c r="P17" s="115"/>
      <c r="Q17" s="115"/>
      <c r="R17" s="115"/>
      <c r="S17" s="115"/>
      <c r="T17" s="115"/>
      <c r="U17" s="115"/>
      <c r="V17" s="115"/>
      <c r="W17" s="115"/>
      <c r="X17" s="115"/>
      <c r="Y17" s="115"/>
    </row>
    <row r="18" spans="1:25" ht="14.25" x14ac:dyDescent="0.2">
      <c r="A18" s="217" t="s">
        <v>409</v>
      </c>
      <c r="B18" s="217"/>
      <c r="C18" s="218">
        <v>44378</v>
      </c>
      <c r="D18" s="217">
        <v>272</v>
      </c>
      <c r="E18" s="217">
        <v>0</v>
      </c>
      <c r="F18" s="217">
        <v>0</v>
      </c>
      <c r="G18" s="217">
        <v>0</v>
      </c>
      <c r="H18" s="217">
        <v>0</v>
      </c>
      <c r="I18" s="217">
        <v>0</v>
      </c>
      <c r="J18" s="217">
        <v>0</v>
      </c>
      <c r="K18" s="217">
        <v>0</v>
      </c>
      <c r="L18" s="217">
        <f>SUM(D18:K18)</f>
        <v>272</v>
      </c>
      <c r="P18" s="115"/>
      <c r="Q18" s="115"/>
      <c r="R18" s="115"/>
      <c r="S18" s="115"/>
      <c r="T18" s="115"/>
      <c r="U18" s="115"/>
      <c r="V18" s="115"/>
      <c r="W18" s="115"/>
      <c r="X18" s="115"/>
      <c r="Y18" s="115"/>
    </row>
    <row r="19" spans="1:25" ht="14.25" x14ac:dyDescent="0.2">
      <c r="A19" s="219" t="s">
        <v>410</v>
      </c>
      <c r="B19" s="219"/>
      <c r="C19" s="220"/>
      <c r="D19" s="221">
        <f>W68</f>
        <v>0</v>
      </c>
      <c r="E19" s="221">
        <f>W80</f>
        <v>0</v>
      </c>
      <c r="F19" s="221">
        <f>W92</f>
        <v>68.040000000000006</v>
      </c>
      <c r="G19" s="221">
        <f>W104</f>
        <v>90.720000000000013</v>
      </c>
      <c r="H19" s="221">
        <f>W116</f>
        <v>90.720000000000013</v>
      </c>
      <c r="I19" s="221">
        <f>W119</f>
        <v>22.52</v>
      </c>
      <c r="J19" s="221"/>
      <c r="K19" s="221"/>
      <c r="L19" s="217">
        <f>SUM(D19:K19)</f>
        <v>272</v>
      </c>
      <c r="P19" s="115"/>
      <c r="Q19" s="115"/>
      <c r="R19" s="115"/>
      <c r="S19" s="115"/>
      <c r="T19" s="115"/>
      <c r="U19" s="115"/>
      <c r="V19" s="115"/>
      <c r="W19" s="115"/>
      <c r="X19" s="115"/>
      <c r="Y19" s="115"/>
    </row>
    <row r="20" spans="1:25" ht="14.25" x14ac:dyDescent="0.2">
      <c r="A20" s="222" t="s">
        <v>411</v>
      </c>
      <c r="B20" s="222"/>
      <c r="C20" s="223"/>
      <c r="D20" s="224">
        <f t="shared" ref="D20:K20" si="5">D17+D18-D19</f>
        <v>272</v>
      </c>
      <c r="E20" s="224">
        <f t="shared" si="5"/>
        <v>272</v>
      </c>
      <c r="F20" s="224">
        <f t="shared" si="5"/>
        <v>203.95999999999998</v>
      </c>
      <c r="G20" s="224">
        <f t="shared" si="5"/>
        <v>113.23999999999997</v>
      </c>
      <c r="H20" s="224">
        <f t="shared" si="5"/>
        <v>22.519999999999953</v>
      </c>
      <c r="I20" s="224">
        <f t="shared" si="5"/>
        <v>-4.6185277824406512E-14</v>
      </c>
      <c r="J20" s="224">
        <f t="shared" si="5"/>
        <v>-4.6185277824406512E-14</v>
      </c>
      <c r="K20" s="224">
        <f t="shared" si="5"/>
        <v>-4.6185277824406512E-14</v>
      </c>
      <c r="L20" s="222"/>
      <c r="P20" s="115"/>
      <c r="Q20" s="115"/>
      <c r="R20" s="115"/>
      <c r="S20" s="115"/>
      <c r="T20" s="115"/>
      <c r="U20" s="115"/>
      <c r="V20" s="115"/>
      <c r="W20" s="115"/>
      <c r="X20" s="115"/>
      <c r="Y20" s="115"/>
    </row>
    <row r="21" spans="1:25" ht="14.25" x14ac:dyDescent="0.2">
      <c r="A21" s="225" t="s">
        <v>412</v>
      </c>
      <c r="B21" s="225"/>
      <c r="C21" s="226"/>
      <c r="D21" s="227">
        <f>Y68</f>
        <v>13.680000000000003</v>
      </c>
      <c r="E21" s="227">
        <f>Y80</f>
        <v>20.520000000000007</v>
      </c>
      <c r="F21" s="227">
        <f>Y92</f>
        <v>18.82</v>
      </c>
      <c r="G21" s="227">
        <f>Y104</f>
        <v>12.24</v>
      </c>
      <c r="H21" s="227">
        <f>Y116</f>
        <v>5.4000000000000012</v>
      </c>
      <c r="I21" s="227">
        <f>Y119</f>
        <v>0.28000000000000003</v>
      </c>
      <c r="J21" s="227"/>
      <c r="K21" s="227"/>
      <c r="L21" s="227">
        <f>SUM(D21:K21)</f>
        <v>70.940000000000012</v>
      </c>
      <c r="P21" s="115"/>
      <c r="Q21" s="115"/>
      <c r="R21" s="115"/>
      <c r="S21" s="115"/>
      <c r="T21" s="115"/>
      <c r="U21" s="115"/>
      <c r="V21" s="115"/>
      <c r="W21" s="115"/>
      <c r="X21" s="115"/>
      <c r="Y21" s="115"/>
    </row>
    <row r="22" spans="1:25" ht="14.25" x14ac:dyDescent="0.2">
      <c r="A22" s="214" t="s">
        <v>445</v>
      </c>
      <c r="B22" s="214">
        <v>725</v>
      </c>
      <c r="C22" s="215"/>
      <c r="D22" s="216"/>
      <c r="E22" s="216">
        <f>D25</f>
        <v>725</v>
      </c>
      <c r="F22" s="216">
        <f t="shared" ref="F22:K22" si="6">E25</f>
        <v>725</v>
      </c>
      <c r="G22" s="216">
        <f t="shared" si="6"/>
        <v>616.28</v>
      </c>
      <c r="H22" s="216">
        <f t="shared" si="6"/>
        <v>471.31999999999994</v>
      </c>
      <c r="I22" s="216">
        <f t="shared" si="6"/>
        <v>326.3599999999999</v>
      </c>
      <c r="J22" s="216">
        <f t="shared" si="6"/>
        <v>181.39999999999989</v>
      </c>
      <c r="K22" s="216">
        <f t="shared" si="6"/>
        <v>36.439999999999884</v>
      </c>
      <c r="L22" s="214"/>
      <c r="P22" s="115"/>
      <c r="Q22" s="115"/>
      <c r="R22" s="115"/>
      <c r="S22" s="115"/>
      <c r="T22" s="115"/>
      <c r="U22" s="115"/>
      <c r="V22" s="115"/>
      <c r="W22" s="115"/>
      <c r="X22" s="115"/>
      <c r="Y22" s="115"/>
    </row>
    <row r="23" spans="1:25" ht="14.25" x14ac:dyDescent="0.2">
      <c r="A23" s="217" t="s">
        <v>409</v>
      </c>
      <c r="B23" s="217"/>
      <c r="C23" s="218">
        <v>44378</v>
      </c>
      <c r="D23" s="217">
        <v>725</v>
      </c>
      <c r="E23" s="217">
        <v>0</v>
      </c>
      <c r="F23" s="217">
        <v>0</v>
      </c>
      <c r="G23" s="217">
        <v>0</v>
      </c>
      <c r="H23" s="217">
        <v>0</v>
      </c>
      <c r="I23" s="217">
        <v>0</v>
      </c>
      <c r="J23" s="217">
        <v>0</v>
      </c>
      <c r="K23" s="217">
        <v>0</v>
      </c>
      <c r="L23" s="217">
        <f>SUM(D23:K23)</f>
        <v>725</v>
      </c>
      <c r="P23" s="115"/>
      <c r="Q23" s="115"/>
      <c r="R23" s="115"/>
      <c r="S23" s="115"/>
      <c r="T23" s="115"/>
      <c r="U23" s="115"/>
      <c r="V23" s="115"/>
      <c r="W23" s="115"/>
      <c r="X23" s="115"/>
      <c r="Y23" s="115"/>
    </row>
    <row r="24" spans="1:25" ht="14.25" x14ac:dyDescent="0.2">
      <c r="A24" s="219" t="s">
        <v>410</v>
      </c>
      <c r="B24" s="219"/>
      <c r="C24" s="220"/>
      <c r="D24" s="221">
        <f>AF68</f>
        <v>0</v>
      </c>
      <c r="E24" s="221">
        <f>AF80</f>
        <v>0</v>
      </c>
      <c r="F24" s="221">
        <f>AF92</f>
        <v>108.72</v>
      </c>
      <c r="G24" s="221">
        <f>AF104</f>
        <v>144.96</v>
      </c>
      <c r="H24" s="221">
        <f>AF116</f>
        <v>144.96</v>
      </c>
      <c r="I24" s="221">
        <f>AF128</f>
        <v>144.96</v>
      </c>
      <c r="J24" s="221">
        <f>AF140</f>
        <v>144.96</v>
      </c>
      <c r="K24" s="221">
        <f>AF143</f>
        <v>36.44</v>
      </c>
      <c r="L24" s="217">
        <f>SUM(D24:K24)</f>
        <v>725</v>
      </c>
      <c r="P24" s="115"/>
      <c r="Q24" s="115"/>
      <c r="R24" s="115"/>
      <c r="S24" s="115"/>
      <c r="T24" s="115"/>
      <c r="U24" s="115"/>
      <c r="V24" s="115"/>
      <c r="W24" s="115"/>
      <c r="X24" s="115"/>
      <c r="Y24" s="115"/>
    </row>
    <row r="25" spans="1:25" ht="14.25" x14ac:dyDescent="0.2">
      <c r="A25" s="222" t="s">
        <v>411</v>
      </c>
      <c r="B25" s="222"/>
      <c r="C25" s="223"/>
      <c r="D25" s="224">
        <f t="shared" ref="D25:K25" si="7">D22+D23-D24</f>
        <v>725</v>
      </c>
      <c r="E25" s="224">
        <f t="shared" si="7"/>
        <v>725</v>
      </c>
      <c r="F25" s="224">
        <f t="shared" si="7"/>
        <v>616.28</v>
      </c>
      <c r="G25" s="224">
        <f t="shared" si="7"/>
        <v>471.31999999999994</v>
      </c>
      <c r="H25" s="224">
        <f t="shared" si="7"/>
        <v>326.3599999999999</v>
      </c>
      <c r="I25" s="224">
        <f t="shared" si="7"/>
        <v>181.39999999999989</v>
      </c>
      <c r="J25" s="224">
        <f t="shared" si="7"/>
        <v>36.439999999999884</v>
      </c>
      <c r="K25" s="224">
        <f t="shared" si="7"/>
        <v>-1.1368683772161603E-13</v>
      </c>
      <c r="L25" s="222"/>
      <c r="P25" s="115"/>
      <c r="Q25" s="115"/>
      <c r="R25" s="115"/>
      <c r="S25" s="115"/>
      <c r="T25" s="115"/>
      <c r="U25" s="115"/>
      <c r="V25" s="115"/>
      <c r="W25" s="115"/>
      <c r="X25" s="115"/>
      <c r="Y25" s="115"/>
    </row>
    <row r="26" spans="1:25" ht="14.25" x14ac:dyDescent="0.2">
      <c r="A26" s="225" t="s">
        <v>412</v>
      </c>
      <c r="B26" s="225"/>
      <c r="C26" s="226"/>
      <c r="D26" s="227">
        <f>AH68</f>
        <v>38.159999999999997</v>
      </c>
      <c r="E26" s="221">
        <f>AH80</f>
        <v>57.239999999999981</v>
      </c>
      <c r="F26" s="227">
        <f>AH92</f>
        <v>54.36</v>
      </c>
      <c r="G26" s="227">
        <f>AH104</f>
        <v>43.39</v>
      </c>
      <c r="H26" s="227">
        <f>AH116</f>
        <v>31.93</v>
      </c>
      <c r="I26" s="227">
        <f>AH128</f>
        <v>20.52</v>
      </c>
      <c r="J26" s="227">
        <f>AH140</f>
        <v>9.08</v>
      </c>
      <c r="K26" s="227">
        <f>AH143</f>
        <v>0.48000000000000004</v>
      </c>
      <c r="L26" s="225">
        <f>SUM(D26:K26)</f>
        <v>255.16</v>
      </c>
      <c r="P26" s="115"/>
      <c r="Q26" s="115"/>
      <c r="R26" s="115"/>
      <c r="S26" s="115"/>
      <c r="T26" s="115"/>
      <c r="U26" s="115"/>
      <c r="V26" s="115"/>
      <c r="W26" s="115"/>
      <c r="X26" s="115"/>
      <c r="Y26" s="115"/>
    </row>
    <row r="27" spans="1:25" ht="14.25" x14ac:dyDescent="0.2">
      <c r="A27" s="214" t="s">
        <v>444</v>
      </c>
      <c r="B27" s="214">
        <v>325</v>
      </c>
      <c r="C27" s="215"/>
      <c r="D27" s="216"/>
      <c r="E27" s="216">
        <f>D30</f>
        <v>124.80999999999999</v>
      </c>
      <c r="F27" s="216">
        <f t="shared" ref="F27:K27" si="8">E30</f>
        <v>285.09000000000003</v>
      </c>
      <c r="G27" s="216">
        <f t="shared" si="8"/>
        <v>203.12500000000006</v>
      </c>
      <c r="H27" s="216">
        <f t="shared" si="8"/>
        <v>40.625000000000057</v>
      </c>
      <c r="I27" s="216">
        <f t="shared" si="8"/>
        <v>5.6843418860808015E-14</v>
      </c>
      <c r="J27" s="216">
        <f t="shared" si="8"/>
        <v>5.6843418860808015E-14</v>
      </c>
      <c r="K27" s="216">
        <f t="shared" si="8"/>
        <v>5.6843418860808015E-14</v>
      </c>
      <c r="L27" s="214"/>
      <c r="P27" s="115"/>
      <c r="Q27" s="115"/>
      <c r="R27" s="115"/>
      <c r="S27" s="115"/>
      <c r="T27" s="115"/>
      <c r="U27" s="115"/>
      <c r="V27" s="115"/>
      <c r="W27" s="115"/>
      <c r="X27" s="115"/>
      <c r="Y27" s="115"/>
    </row>
    <row r="28" spans="1:25" ht="14.25" x14ac:dyDescent="0.2">
      <c r="A28" s="217" t="s">
        <v>409</v>
      </c>
      <c r="B28" s="217"/>
      <c r="C28" s="218">
        <v>44378</v>
      </c>
      <c r="D28" s="228">
        <f>AR68</f>
        <v>124.80999999999999</v>
      </c>
      <c r="E28" s="228">
        <f>AR80-D28</f>
        <v>160.28000000000003</v>
      </c>
      <c r="F28" s="228">
        <f>AT81+AT82+AT83-0.08</f>
        <v>39.910000000000004</v>
      </c>
      <c r="G28" s="217">
        <v>0</v>
      </c>
      <c r="H28" s="217">
        <v>0</v>
      </c>
      <c r="I28" s="217">
        <v>0</v>
      </c>
      <c r="J28" s="217">
        <v>0</v>
      </c>
      <c r="K28" s="217">
        <v>0</v>
      </c>
      <c r="L28" s="217">
        <f>SUM(D28:K28)</f>
        <v>325.00000000000006</v>
      </c>
      <c r="P28" s="115"/>
      <c r="Q28" s="115"/>
      <c r="R28" s="115"/>
      <c r="S28" s="115"/>
      <c r="T28" s="115"/>
      <c r="U28" s="115"/>
      <c r="V28" s="115"/>
      <c r="W28" s="115"/>
      <c r="X28" s="115"/>
      <c r="Y28" s="115"/>
    </row>
    <row r="29" spans="1:25" ht="14.25" x14ac:dyDescent="0.2">
      <c r="A29" s="219" t="s">
        <v>410</v>
      </c>
      <c r="B29" s="219"/>
      <c r="C29" s="220"/>
      <c r="D29" s="221">
        <f>AO68</f>
        <v>0</v>
      </c>
      <c r="E29" s="221">
        <f>AO80</f>
        <v>0</v>
      </c>
      <c r="F29" s="221">
        <f>AO92</f>
        <v>121.87500000000001</v>
      </c>
      <c r="G29" s="221">
        <f>AO104</f>
        <v>162.5</v>
      </c>
      <c r="H29" s="221">
        <f>AO116</f>
        <v>40.625</v>
      </c>
      <c r="I29" s="221">
        <f>AO128</f>
        <v>0</v>
      </c>
      <c r="J29" s="221">
        <f>AO140</f>
        <v>0</v>
      </c>
      <c r="K29" s="221">
        <f>AO143</f>
        <v>0</v>
      </c>
      <c r="L29" s="217">
        <f>SUM(D29:K29)</f>
        <v>325</v>
      </c>
      <c r="P29" s="115"/>
      <c r="Q29" s="115"/>
      <c r="R29" s="115"/>
      <c r="S29" s="115"/>
      <c r="T29" s="115"/>
      <c r="U29" s="115"/>
      <c r="V29" s="115"/>
      <c r="W29" s="115"/>
      <c r="X29" s="115"/>
      <c r="Y29" s="115"/>
    </row>
    <row r="30" spans="1:25" ht="14.25" x14ac:dyDescent="0.2">
      <c r="A30" s="222" t="s">
        <v>411</v>
      </c>
      <c r="B30" s="222"/>
      <c r="C30" s="223"/>
      <c r="D30" s="224">
        <f t="shared" ref="D30:K30" si="9">D27+D28-D29</f>
        <v>124.80999999999999</v>
      </c>
      <c r="E30" s="224">
        <f t="shared" si="9"/>
        <v>285.09000000000003</v>
      </c>
      <c r="F30" s="224">
        <f t="shared" si="9"/>
        <v>203.12500000000006</v>
      </c>
      <c r="G30" s="224">
        <f t="shared" si="9"/>
        <v>40.625000000000057</v>
      </c>
      <c r="H30" s="224">
        <f t="shared" si="9"/>
        <v>5.6843418860808015E-14</v>
      </c>
      <c r="I30" s="224">
        <f t="shared" si="9"/>
        <v>5.6843418860808015E-14</v>
      </c>
      <c r="J30" s="224">
        <f t="shared" si="9"/>
        <v>5.6843418860808015E-14</v>
      </c>
      <c r="K30" s="224">
        <f t="shared" si="9"/>
        <v>5.6843418860808015E-14</v>
      </c>
      <c r="L30" s="222"/>
      <c r="P30" s="115"/>
      <c r="Q30" s="115"/>
      <c r="R30" s="115"/>
      <c r="S30" s="115"/>
      <c r="T30" s="115"/>
      <c r="U30" s="115"/>
      <c r="V30" s="115"/>
      <c r="W30" s="115"/>
      <c r="X30" s="115"/>
      <c r="Y30" s="115"/>
    </row>
    <row r="31" spans="1:25" ht="14.25" x14ac:dyDescent="0.2">
      <c r="A31" s="225" t="s">
        <v>412</v>
      </c>
      <c r="B31" s="225"/>
      <c r="C31" s="226"/>
      <c r="D31" s="227">
        <f>AQ68</f>
        <v>3.4099999999999997</v>
      </c>
      <c r="E31" s="227">
        <f>AQ80</f>
        <v>15.629999999999997</v>
      </c>
      <c r="F31" s="227">
        <f>AQ92</f>
        <v>21.900000000000006</v>
      </c>
      <c r="G31" s="227">
        <f>AQ104</f>
        <v>10.159999999999997</v>
      </c>
      <c r="H31" s="227">
        <f>AQ116</f>
        <v>0.54</v>
      </c>
      <c r="I31" s="227">
        <f>AQ128</f>
        <v>0</v>
      </c>
      <c r="J31" s="227">
        <f>AQ140</f>
        <v>0</v>
      </c>
      <c r="K31" s="227">
        <f>AQ143</f>
        <v>0</v>
      </c>
      <c r="L31" s="225">
        <f>SUM(D31:K31)</f>
        <v>51.639999999999993</v>
      </c>
      <c r="P31" s="115"/>
      <c r="Q31" s="115"/>
      <c r="R31" s="115"/>
      <c r="S31" s="115"/>
      <c r="T31" s="115"/>
      <c r="U31" s="115"/>
      <c r="V31" s="115"/>
      <c r="W31" s="115"/>
      <c r="X31" s="115"/>
      <c r="Y31" s="115"/>
    </row>
    <row r="32" spans="1:25" ht="14.25" x14ac:dyDescent="0.2">
      <c r="A32" s="214" t="s">
        <v>429</v>
      </c>
      <c r="B32" s="214"/>
      <c r="C32" s="215"/>
      <c r="D32" s="216">
        <v>14.79</v>
      </c>
      <c r="E32" s="216">
        <f>D35</f>
        <v>14.79</v>
      </c>
      <c r="F32" s="216">
        <f t="shared" ref="F32:H32" si="10">E35</f>
        <v>8.48</v>
      </c>
      <c r="G32" s="216">
        <f t="shared" si="10"/>
        <v>5.5400000000000009</v>
      </c>
      <c r="H32" s="216">
        <f t="shared" si="10"/>
        <v>2.3200000000000007</v>
      </c>
      <c r="I32" s="216"/>
      <c r="J32" s="216"/>
      <c r="K32" s="216"/>
      <c r="L32" s="214"/>
      <c r="P32" s="115"/>
      <c r="Q32" s="115"/>
      <c r="R32" s="115"/>
      <c r="S32" s="115"/>
      <c r="T32" s="115"/>
      <c r="U32" s="115"/>
      <c r="V32" s="115"/>
      <c r="W32" s="115"/>
      <c r="X32" s="115"/>
      <c r="Y32" s="115"/>
    </row>
    <row r="33" spans="1:43" ht="14.25" x14ac:dyDescent="0.2">
      <c r="A33" s="217" t="s">
        <v>409</v>
      </c>
      <c r="B33" s="217"/>
      <c r="C33" s="218"/>
      <c r="D33" s="228"/>
      <c r="E33" s="228"/>
      <c r="F33" s="228"/>
      <c r="G33" s="228"/>
      <c r="H33" s="228"/>
      <c r="I33" s="228"/>
      <c r="J33" s="228"/>
      <c r="K33" s="228"/>
      <c r="L33" s="217">
        <f>SUM(D33:K33)</f>
        <v>0</v>
      </c>
      <c r="P33" s="115"/>
      <c r="Q33" s="115"/>
      <c r="R33" s="115"/>
      <c r="S33" s="115"/>
      <c r="T33" s="115"/>
      <c r="U33" s="115"/>
      <c r="V33" s="115"/>
      <c r="W33" s="115"/>
      <c r="X33" s="115"/>
      <c r="Y33" s="115"/>
    </row>
    <row r="34" spans="1:43" ht="14.25" x14ac:dyDescent="0.2">
      <c r="A34" s="219" t="s">
        <v>410</v>
      </c>
      <c r="B34" s="219"/>
      <c r="C34" s="220"/>
      <c r="D34" s="221"/>
      <c r="E34" s="221">
        <v>6.31</v>
      </c>
      <c r="F34" s="221">
        <v>2.94</v>
      </c>
      <c r="G34" s="221">
        <v>3.22</v>
      </c>
      <c r="H34" s="221">
        <v>2.3199999999999998</v>
      </c>
      <c r="I34" s="221"/>
      <c r="J34" s="221"/>
      <c r="K34" s="221"/>
      <c r="L34" s="217">
        <f>SUM(D34:K34)</f>
        <v>14.790000000000001</v>
      </c>
      <c r="P34" s="115"/>
      <c r="Q34" s="115"/>
      <c r="R34" s="115"/>
      <c r="S34" s="115"/>
      <c r="T34" s="115"/>
      <c r="U34" s="115"/>
      <c r="V34" s="115"/>
      <c r="W34" s="115"/>
      <c r="X34" s="115"/>
      <c r="Y34" s="115"/>
    </row>
    <row r="35" spans="1:43" ht="14.25" x14ac:dyDescent="0.2">
      <c r="A35" s="222" t="s">
        <v>411</v>
      </c>
      <c r="B35" s="222"/>
      <c r="C35" s="223"/>
      <c r="D35" s="224">
        <f t="shared" ref="D35:E35" si="11">D32+D33-D34</f>
        <v>14.79</v>
      </c>
      <c r="E35" s="224">
        <f t="shared" si="11"/>
        <v>8.48</v>
      </c>
      <c r="F35" s="224">
        <f t="shared" ref="F35" si="12">F32+F33-F34</f>
        <v>5.5400000000000009</v>
      </c>
      <c r="G35" s="224">
        <f t="shared" ref="G35" si="13">G32+G33-G34</f>
        <v>2.3200000000000007</v>
      </c>
      <c r="H35" s="224">
        <f t="shared" ref="H35" si="14">H32+H33-H34</f>
        <v>0</v>
      </c>
      <c r="I35" s="224"/>
      <c r="J35" s="224"/>
      <c r="K35" s="224"/>
      <c r="L35" s="222"/>
      <c r="P35" s="115"/>
      <c r="Q35" s="115"/>
      <c r="R35" s="115"/>
      <c r="S35" s="115"/>
      <c r="T35" s="115"/>
      <c r="U35" s="115"/>
      <c r="V35" s="115"/>
      <c r="W35" s="115"/>
      <c r="X35" s="115"/>
      <c r="Y35" s="115"/>
    </row>
    <row r="36" spans="1:43" ht="14.25" x14ac:dyDescent="0.2">
      <c r="A36" s="225" t="s">
        <v>412</v>
      </c>
      <c r="B36" s="225"/>
      <c r="C36" s="226"/>
      <c r="D36" s="227">
        <v>1.47</v>
      </c>
      <c r="E36" s="227">
        <v>1.1599999999999999</v>
      </c>
      <c r="F36" s="227">
        <v>0.7</v>
      </c>
      <c r="G36" s="227">
        <v>0.32</v>
      </c>
      <c r="H36" s="227">
        <v>0.1</v>
      </c>
      <c r="I36" s="227"/>
      <c r="J36" s="227"/>
      <c r="K36" s="227"/>
      <c r="L36" s="225">
        <f>SUM(D36:K36)</f>
        <v>3.75</v>
      </c>
      <c r="P36" s="115"/>
      <c r="Q36" s="115"/>
      <c r="R36" s="115"/>
      <c r="S36" s="115"/>
      <c r="T36" s="115"/>
      <c r="U36" s="115"/>
      <c r="V36" s="115"/>
      <c r="W36" s="115"/>
      <c r="X36" s="115"/>
      <c r="Y36" s="115"/>
    </row>
    <row r="37" spans="1:43" ht="14.25" x14ac:dyDescent="0.2">
      <c r="A37" s="214" t="s">
        <v>520</v>
      </c>
      <c r="B37" s="214"/>
      <c r="C37" s="215"/>
      <c r="D37" s="216">
        <f>D7+D12+D17+D22+D27+D32</f>
        <v>759.51</v>
      </c>
      <c r="E37" s="216">
        <f t="shared" ref="E37:L37" si="15">E7+E12+E17+E22+E27+E32</f>
        <v>1822.1</v>
      </c>
      <c r="F37" s="216">
        <f t="shared" si="15"/>
        <v>1808.1255555555558</v>
      </c>
      <c r="G37" s="216">
        <f t="shared" si="15"/>
        <v>1317.9605555555554</v>
      </c>
      <c r="H37" s="216">
        <f t="shared" si="15"/>
        <v>688.06055555555565</v>
      </c>
      <c r="I37" s="216">
        <f t="shared" si="15"/>
        <v>348.87999999999994</v>
      </c>
      <c r="J37" s="216">
        <f t="shared" si="15"/>
        <v>181.39999999999989</v>
      </c>
      <c r="K37" s="216">
        <f t="shared" si="15"/>
        <v>36.439999999999898</v>
      </c>
      <c r="L37" s="216">
        <f t="shared" si="15"/>
        <v>744.72</v>
      </c>
      <c r="P37" s="115"/>
      <c r="Q37" s="115"/>
      <c r="R37" s="115"/>
      <c r="S37" s="115"/>
      <c r="T37" s="115"/>
      <c r="U37" s="115"/>
      <c r="V37" s="115"/>
      <c r="W37" s="115"/>
      <c r="X37" s="115"/>
      <c r="Y37" s="115"/>
    </row>
    <row r="38" spans="1:43" ht="14.25" x14ac:dyDescent="0.2">
      <c r="A38" s="217" t="s">
        <v>424</v>
      </c>
      <c r="B38" s="217"/>
      <c r="C38" s="218"/>
      <c r="D38" s="228">
        <f>D8+D13+D18+D23+D28+D33</f>
        <v>1121.81</v>
      </c>
      <c r="E38" s="228">
        <f t="shared" ref="E38:L38" si="16">E8+E13+E18+E23+E28+E33</f>
        <v>160.28000000000003</v>
      </c>
      <c r="F38" s="228">
        <f t="shared" si="16"/>
        <v>39.910000000000004</v>
      </c>
      <c r="G38" s="228">
        <f t="shared" si="16"/>
        <v>0</v>
      </c>
      <c r="H38" s="228">
        <f t="shared" si="16"/>
        <v>0</v>
      </c>
      <c r="I38" s="228">
        <f t="shared" si="16"/>
        <v>0</v>
      </c>
      <c r="J38" s="228">
        <f t="shared" si="16"/>
        <v>0</v>
      </c>
      <c r="K38" s="228">
        <f t="shared" si="16"/>
        <v>0</v>
      </c>
      <c r="L38" s="228">
        <f t="shared" si="16"/>
        <v>1322</v>
      </c>
      <c r="P38" s="115"/>
      <c r="Q38" s="115"/>
      <c r="R38" s="115"/>
      <c r="S38" s="115"/>
      <c r="T38" s="115"/>
      <c r="U38" s="115"/>
      <c r="V38" s="115"/>
      <c r="W38" s="115"/>
      <c r="X38" s="115"/>
      <c r="Y38" s="115"/>
    </row>
    <row r="39" spans="1:43" ht="14.25" x14ac:dyDescent="0.2">
      <c r="A39" s="219" t="s">
        <v>425</v>
      </c>
      <c r="B39" s="219"/>
      <c r="C39" s="220"/>
      <c r="D39" s="221">
        <f>D9+D14+D19+D24+D29+D34</f>
        <v>59.22</v>
      </c>
      <c r="E39" s="221">
        <f t="shared" ref="E39:L39" si="17">E9+E14+E19+E24+E29+E34</f>
        <v>174.25444444444446</v>
      </c>
      <c r="F39" s="221">
        <f t="shared" si="17"/>
        <v>530.07500000000005</v>
      </c>
      <c r="G39" s="221">
        <f t="shared" si="17"/>
        <v>629.90000000000009</v>
      </c>
      <c r="H39" s="221">
        <f t="shared" si="17"/>
        <v>339.1805555555556</v>
      </c>
      <c r="I39" s="221">
        <f t="shared" si="17"/>
        <v>167.48000000000002</v>
      </c>
      <c r="J39" s="221">
        <f t="shared" si="17"/>
        <v>144.96</v>
      </c>
      <c r="K39" s="221">
        <f t="shared" si="17"/>
        <v>36.44</v>
      </c>
      <c r="L39" s="221">
        <f t="shared" si="17"/>
        <v>2081.5100000000002</v>
      </c>
    </row>
    <row r="40" spans="1:43" ht="14.25" x14ac:dyDescent="0.2">
      <c r="A40" s="222" t="s">
        <v>426</v>
      </c>
      <c r="B40" s="222"/>
      <c r="C40" s="223"/>
      <c r="D40" s="224">
        <f>D10+D15+D20+D25+D30+D35</f>
        <v>1822.1</v>
      </c>
      <c r="E40" s="224">
        <f t="shared" ref="E40:L41" si="18">E10+E15+E20+E25+E30+E35</f>
        <v>1808.1255555555558</v>
      </c>
      <c r="F40" s="224">
        <f t="shared" si="18"/>
        <v>1317.9605555555554</v>
      </c>
      <c r="G40" s="224">
        <f t="shared" si="18"/>
        <v>688.06055555555565</v>
      </c>
      <c r="H40" s="224">
        <f t="shared" si="18"/>
        <v>348.87999999999994</v>
      </c>
      <c r="I40" s="224">
        <f t="shared" si="18"/>
        <v>181.39999999999989</v>
      </c>
      <c r="J40" s="224">
        <f t="shared" si="18"/>
        <v>36.439999999999898</v>
      </c>
      <c r="K40" s="224">
        <f t="shared" si="18"/>
        <v>-1.0302869668521453E-13</v>
      </c>
      <c r="L40" s="224">
        <f t="shared" si="18"/>
        <v>0</v>
      </c>
    </row>
    <row r="41" spans="1:43" ht="14.25" x14ac:dyDescent="0.2">
      <c r="A41" s="222"/>
      <c r="B41" s="222"/>
      <c r="C41" s="223"/>
      <c r="D41" s="224">
        <f>D11+D16+D21+D26+D31+D36</f>
        <v>109.86</v>
      </c>
      <c r="E41" s="224">
        <f t="shared" ref="E41:K41" si="19">E11+E16+E21+E26+E31+E36</f>
        <v>141.60999999999999</v>
      </c>
      <c r="F41" s="224">
        <f t="shared" si="19"/>
        <v>126.66000000000001</v>
      </c>
      <c r="G41" s="224">
        <f t="shared" si="19"/>
        <v>79.929999999999993</v>
      </c>
      <c r="H41" s="224">
        <f t="shared" si="19"/>
        <v>38.93</v>
      </c>
      <c r="I41" s="224">
        <f t="shared" si="19"/>
        <v>20.8</v>
      </c>
      <c r="J41" s="224">
        <f t="shared" si="19"/>
        <v>9.08</v>
      </c>
      <c r="K41" s="224">
        <f t="shared" si="19"/>
        <v>0.48000000000000004</v>
      </c>
      <c r="L41" s="224">
        <f t="shared" si="18"/>
        <v>527.35</v>
      </c>
    </row>
    <row r="42" spans="1:43" ht="15.75" x14ac:dyDescent="0.25">
      <c r="A42" t="s">
        <v>521</v>
      </c>
      <c r="D42" s="120">
        <f>SUM(AY57:AY68)</f>
        <v>206.23000000000008</v>
      </c>
      <c r="E42" s="120">
        <f>SUM(AY69:AY80)</f>
        <v>160.28000000000003</v>
      </c>
      <c r="F42">
        <f>SUM(AY81:AY92)</f>
        <v>159.96000000000004</v>
      </c>
      <c r="G42">
        <f>SUM(AY93:AY104)</f>
        <v>159.96000000000004</v>
      </c>
      <c r="H42">
        <f>SUM(AY105:AY116)</f>
        <v>159.96000000000004</v>
      </c>
      <c r="I42">
        <f>SUM(AY117:AY128)</f>
        <v>159.96000000000004</v>
      </c>
      <c r="J42">
        <f>SUM(AY129:AY140)</f>
        <v>159.96000000000004</v>
      </c>
      <c r="K42">
        <f>SUM(AY141:AY152)</f>
        <v>159.96000000000004</v>
      </c>
      <c r="R42" s="171"/>
      <c r="S42" s="166"/>
      <c r="AA42" s="171"/>
      <c r="AB42" s="166"/>
      <c r="AJ42" s="171"/>
      <c r="AK42" s="166"/>
    </row>
    <row r="43" spans="1:43" ht="15.75" x14ac:dyDescent="0.25">
      <c r="A43" s="225" t="s">
        <v>427</v>
      </c>
      <c r="B43" s="183"/>
      <c r="C43" s="183"/>
      <c r="D43" s="291">
        <f>D41+D42</f>
        <v>316.09000000000009</v>
      </c>
      <c r="E43" s="291">
        <f>E41+E42</f>
        <v>301.89</v>
      </c>
      <c r="F43" s="291">
        <f>F41+F42</f>
        <v>286.62000000000006</v>
      </c>
      <c r="G43" s="291">
        <f>G41+G42</f>
        <v>239.89000000000004</v>
      </c>
      <c r="H43" s="291">
        <f>H41+H42</f>
        <v>198.89000000000004</v>
      </c>
      <c r="I43" s="291">
        <f>I41+I42</f>
        <v>180.76000000000005</v>
      </c>
      <c r="J43" s="291">
        <f>J41+J42</f>
        <v>169.04000000000005</v>
      </c>
      <c r="K43" s="291">
        <f>K41+K42</f>
        <v>160.44000000000003</v>
      </c>
      <c r="L43" s="291">
        <f>L41+L42</f>
        <v>527.35</v>
      </c>
      <c r="R43" s="171"/>
      <c r="S43" s="166"/>
      <c r="AA43" s="171"/>
      <c r="AB43" s="166"/>
      <c r="AJ43" s="171"/>
      <c r="AK43" s="166"/>
    </row>
    <row r="44" spans="1:43" ht="15.75" x14ac:dyDescent="0.25">
      <c r="A44" s="292" t="s">
        <v>525</v>
      </c>
      <c r="B44" s="183"/>
      <c r="C44" s="183"/>
      <c r="D44" s="291">
        <v>60</v>
      </c>
      <c r="E44" s="291">
        <v>80</v>
      </c>
      <c r="F44" s="291">
        <v>80</v>
      </c>
      <c r="G44" s="291">
        <v>80</v>
      </c>
      <c r="H44" s="291">
        <v>80</v>
      </c>
      <c r="I44" s="291">
        <v>80</v>
      </c>
      <c r="J44" s="291">
        <v>80</v>
      </c>
      <c r="K44" s="291">
        <v>80</v>
      </c>
      <c r="L44" s="291">
        <f>SUM(D44:K44)</f>
        <v>620</v>
      </c>
      <c r="R44" s="171"/>
      <c r="S44" s="166"/>
      <c r="AA44" s="171"/>
      <c r="AB44" s="166"/>
      <c r="AJ44" s="171"/>
      <c r="AK44" s="166"/>
    </row>
    <row r="45" spans="1:43" ht="15.75" x14ac:dyDescent="0.25">
      <c r="A45" s="292" t="s">
        <v>526</v>
      </c>
      <c r="B45" s="183"/>
      <c r="C45" s="183"/>
      <c r="D45" s="291">
        <f>SUM(D43:D44)</f>
        <v>376.09000000000009</v>
      </c>
      <c r="E45" s="291">
        <f t="shared" ref="E45:L45" si="20">SUM(E43:E44)</f>
        <v>381.89</v>
      </c>
      <c r="F45" s="291">
        <f t="shared" si="20"/>
        <v>366.62000000000006</v>
      </c>
      <c r="G45" s="291">
        <f t="shared" si="20"/>
        <v>319.89000000000004</v>
      </c>
      <c r="H45" s="291">
        <f t="shared" si="20"/>
        <v>278.89000000000004</v>
      </c>
      <c r="I45" s="291">
        <f t="shared" si="20"/>
        <v>260.76000000000005</v>
      </c>
      <c r="J45" s="291">
        <f t="shared" si="20"/>
        <v>249.04000000000005</v>
      </c>
      <c r="K45" s="291">
        <f t="shared" si="20"/>
        <v>240.44000000000003</v>
      </c>
      <c r="L45" s="291">
        <f t="shared" si="20"/>
        <v>1147.3499999999999</v>
      </c>
      <c r="R45" s="171"/>
      <c r="S45" s="166"/>
      <c r="AA45" s="171"/>
      <c r="AB45" s="166"/>
      <c r="AJ45" s="171"/>
      <c r="AK45" s="166"/>
    </row>
    <row r="46" spans="1:43" s="181" customFormat="1" ht="15.75" x14ac:dyDescent="0.25">
      <c r="D46" s="182"/>
      <c r="E46" s="182"/>
      <c r="F46" s="182"/>
      <c r="G46" s="182"/>
      <c r="H46" s="182"/>
      <c r="I46" s="182"/>
      <c r="J46" s="182"/>
      <c r="K46" s="182"/>
      <c r="L46" s="182"/>
      <c r="S46" s="165"/>
      <c r="AB46" s="165"/>
      <c r="AK46" s="165"/>
    </row>
    <row r="47" spans="1:43" ht="15.75" x14ac:dyDescent="0.25">
      <c r="A47" s="171"/>
      <c r="B47" s="162" t="s">
        <v>370</v>
      </c>
      <c r="C47" s="162"/>
      <c r="D47" s="162" t="s">
        <v>371</v>
      </c>
      <c r="I47" s="171"/>
      <c r="J47" s="162" t="s">
        <v>399</v>
      </c>
      <c r="K47" s="162"/>
      <c r="L47" s="162"/>
      <c r="M47" s="162" t="s">
        <v>400</v>
      </c>
      <c r="R47" s="171"/>
      <c r="S47" s="166" t="s">
        <v>401</v>
      </c>
      <c r="T47" s="166"/>
      <c r="U47" s="166"/>
      <c r="V47" s="166" t="s">
        <v>371</v>
      </c>
      <c r="AA47" s="171"/>
      <c r="AB47" s="166" t="s">
        <v>379</v>
      </c>
      <c r="AC47" s="166"/>
      <c r="AD47" s="166"/>
      <c r="AE47" s="166" t="s">
        <v>403</v>
      </c>
      <c r="AJ47" s="171"/>
      <c r="AK47" s="166" t="s">
        <v>408</v>
      </c>
      <c r="AL47" s="166"/>
      <c r="AM47" s="166"/>
      <c r="AN47" s="166">
        <v>325</v>
      </c>
    </row>
    <row r="48" spans="1:43" ht="15.75" x14ac:dyDescent="0.25">
      <c r="A48" s="171"/>
      <c r="B48" s="162" t="s">
        <v>402</v>
      </c>
      <c r="C48" s="162"/>
      <c r="D48" s="163">
        <v>43938</v>
      </c>
      <c r="F48" s="116"/>
      <c r="G48" s="121">
        <v>7.2999999999999995E-2</v>
      </c>
      <c r="I48" s="171"/>
      <c r="J48" s="162" t="s">
        <v>402</v>
      </c>
      <c r="K48" s="162"/>
      <c r="L48" s="162"/>
      <c r="M48" s="163">
        <v>44068</v>
      </c>
      <c r="O48" s="116"/>
      <c r="P48" s="121">
        <v>7.6499999999999999E-2</v>
      </c>
      <c r="R48" s="171"/>
      <c r="S48" s="166" t="s">
        <v>402</v>
      </c>
      <c r="T48" s="166"/>
      <c r="U48" s="166"/>
      <c r="V48" s="167">
        <v>44378</v>
      </c>
      <c r="X48" s="116"/>
      <c r="Y48" s="121">
        <v>7.6499999999999999E-2</v>
      </c>
      <c r="AA48" s="171"/>
      <c r="AB48" s="166" t="s">
        <v>402</v>
      </c>
      <c r="AC48" s="166"/>
      <c r="AD48" s="166"/>
      <c r="AE48" s="167">
        <v>44378</v>
      </c>
      <c r="AG48" s="116"/>
      <c r="AH48" s="121">
        <v>0.08</v>
      </c>
      <c r="AJ48" s="171"/>
      <c r="AK48" s="166" t="s">
        <v>402</v>
      </c>
      <c r="AL48" s="166"/>
      <c r="AM48" s="166"/>
      <c r="AN48" s="167">
        <v>44378</v>
      </c>
      <c r="AP48" s="116"/>
      <c r="AQ48" s="121">
        <v>0.08</v>
      </c>
    </row>
    <row r="49" spans="1:55" s="170" customFormat="1" ht="27" customHeight="1" x14ac:dyDescent="0.2">
      <c r="A49" s="172"/>
      <c r="B49" s="168"/>
      <c r="C49" s="174" t="s">
        <v>372</v>
      </c>
      <c r="D49" s="176" t="s">
        <v>373</v>
      </c>
      <c r="E49" s="169" t="s">
        <v>404</v>
      </c>
      <c r="F49" s="168" t="s">
        <v>33</v>
      </c>
      <c r="G49" s="168" t="s">
        <v>398</v>
      </c>
      <c r="H49" s="168" t="s">
        <v>374</v>
      </c>
      <c r="I49" s="172"/>
      <c r="J49" s="168"/>
      <c r="K49" s="174" t="s">
        <v>372</v>
      </c>
      <c r="L49" s="173"/>
      <c r="M49" s="168" t="s">
        <v>373</v>
      </c>
      <c r="N49" s="169" t="s">
        <v>404</v>
      </c>
      <c r="O49" s="168" t="s">
        <v>33</v>
      </c>
      <c r="P49" s="169" t="s">
        <v>413</v>
      </c>
      <c r="Q49" s="168" t="s">
        <v>374</v>
      </c>
      <c r="R49" s="172"/>
      <c r="S49" s="168"/>
      <c r="T49" s="174" t="s">
        <v>372</v>
      </c>
      <c r="U49" s="173"/>
      <c r="V49" s="168" t="s">
        <v>373</v>
      </c>
      <c r="W49" s="169" t="s">
        <v>404</v>
      </c>
      <c r="X49" s="168" t="s">
        <v>33</v>
      </c>
      <c r="Y49" s="168" t="s">
        <v>398</v>
      </c>
      <c r="Z49" s="168" t="s">
        <v>374</v>
      </c>
      <c r="AA49" s="172"/>
      <c r="AB49" s="168"/>
      <c r="AC49" s="174" t="s">
        <v>372</v>
      </c>
      <c r="AD49" s="173" t="s">
        <v>374</v>
      </c>
      <c r="AE49" s="168" t="s">
        <v>373</v>
      </c>
      <c r="AG49" s="168" t="s">
        <v>33</v>
      </c>
      <c r="AH49" s="168" t="s">
        <v>398</v>
      </c>
      <c r="AI49" s="168" t="s">
        <v>374</v>
      </c>
      <c r="AJ49" s="172"/>
      <c r="AK49" s="168"/>
      <c r="AL49" s="174" t="s">
        <v>372</v>
      </c>
      <c r="AM49" s="173" t="s">
        <v>374</v>
      </c>
      <c r="AN49" s="168" t="s">
        <v>373</v>
      </c>
      <c r="AP49" s="168" t="s">
        <v>33</v>
      </c>
      <c r="AQ49" s="168" t="s">
        <v>398</v>
      </c>
      <c r="AR49" s="168" t="s">
        <v>374</v>
      </c>
      <c r="AT49" s="169" t="s">
        <v>407</v>
      </c>
      <c r="AU49" s="168" t="s">
        <v>405</v>
      </c>
      <c r="AV49" s="169" t="s">
        <v>513</v>
      </c>
      <c r="AW49" s="169" t="s">
        <v>514</v>
      </c>
      <c r="AX49" s="169" t="s">
        <v>512</v>
      </c>
      <c r="AY49" s="169" t="s">
        <v>406</v>
      </c>
      <c r="AZ49" s="170" t="s">
        <v>522</v>
      </c>
      <c r="BA49" s="169" t="s">
        <v>519</v>
      </c>
      <c r="BB49" s="277" t="s">
        <v>517</v>
      </c>
      <c r="BC49" s="169" t="s">
        <v>518</v>
      </c>
    </row>
    <row r="50" spans="1:55" x14ac:dyDescent="0.2">
      <c r="A50" s="135"/>
      <c r="B50" s="134"/>
      <c r="C50" s="161"/>
      <c r="D50" s="134"/>
      <c r="F50" s="135"/>
      <c r="G50" s="135"/>
      <c r="H50" s="140">
        <v>272</v>
      </c>
      <c r="I50" s="135"/>
      <c r="J50" s="134"/>
      <c r="K50" s="161"/>
      <c r="L50" s="135"/>
      <c r="M50" s="134"/>
      <c r="O50" s="135"/>
      <c r="P50" s="135"/>
      <c r="Q50" s="140"/>
      <c r="R50" s="171"/>
      <c r="S50" s="134"/>
      <c r="T50" s="161"/>
      <c r="U50" s="135"/>
      <c r="V50" s="134"/>
      <c r="X50" s="135"/>
      <c r="Y50" s="135"/>
      <c r="Z50" s="140"/>
      <c r="AA50" s="135"/>
      <c r="AB50" s="134"/>
      <c r="AC50" s="161"/>
      <c r="AD50" s="135"/>
      <c r="AE50" s="134"/>
      <c r="AG50" s="135"/>
      <c r="AH50" s="135"/>
      <c r="AI50" s="140"/>
      <c r="AJ50" s="135"/>
      <c r="AK50" s="134"/>
      <c r="AL50" s="161"/>
      <c r="AM50" s="135"/>
      <c r="AN50" s="134"/>
      <c r="AP50" s="135"/>
      <c r="AQ50" s="135"/>
      <c r="AR50" s="140"/>
      <c r="AY50" s="117">
        <v>0.08</v>
      </c>
    </row>
    <row r="51" spans="1:55" x14ac:dyDescent="0.2">
      <c r="A51" s="135">
        <v>1</v>
      </c>
      <c r="B51" s="134"/>
      <c r="C51" s="175">
        <v>44135</v>
      </c>
      <c r="D51" s="135">
        <v>16.12</v>
      </c>
      <c r="F51" s="136">
        <f>ROUND(H50*$G$48*30/365,2)</f>
        <v>1.63</v>
      </c>
      <c r="G51" s="136">
        <f t="shared" ref="G51" si="21">D51-F51</f>
        <v>14.490000000000002</v>
      </c>
      <c r="H51" s="136">
        <f t="shared" ref="H51" si="22">H50-G51</f>
        <v>257.51</v>
      </c>
      <c r="I51" s="135"/>
      <c r="J51" s="134"/>
      <c r="K51" s="161"/>
      <c r="L51" s="135"/>
      <c r="M51" s="134"/>
      <c r="O51" s="135"/>
      <c r="P51" s="135"/>
      <c r="Q51" s="140"/>
      <c r="R51" s="171"/>
      <c r="S51" s="134"/>
      <c r="T51" s="161"/>
      <c r="U51" s="135"/>
      <c r="V51" s="134"/>
      <c r="X51" s="135"/>
      <c r="Y51" s="135"/>
      <c r="Z51" s="140"/>
      <c r="AA51" s="135"/>
      <c r="AB51" s="134"/>
      <c r="AC51" s="161"/>
      <c r="AD51" s="135"/>
      <c r="AE51" s="134"/>
      <c r="AG51" s="135"/>
      <c r="AH51" s="135"/>
      <c r="AI51" s="140"/>
      <c r="AJ51" s="135"/>
      <c r="AK51" s="134"/>
      <c r="AL51" s="161"/>
      <c r="AM51" s="135"/>
      <c r="AN51" s="134"/>
      <c r="AP51" s="135"/>
      <c r="AQ51" s="135"/>
      <c r="AR51" s="140"/>
      <c r="AY51" s="117"/>
    </row>
    <row r="52" spans="1:55" x14ac:dyDescent="0.2">
      <c r="A52" s="135">
        <v>1</v>
      </c>
      <c r="B52" s="135"/>
      <c r="C52" s="175">
        <v>44165</v>
      </c>
      <c r="D52" s="135">
        <v>16.12</v>
      </c>
      <c r="F52" s="136">
        <f t="shared" ref="F52:F55" si="23">ROUND(H51*$G$48*30/365,2)</f>
        <v>1.55</v>
      </c>
      <c r="G52" s="136">
        <f t="shared" ref="G52:G60" si="24">D52-F52</f>
        <v>14.57</v>
      </c>
      <c r="H52" s="136">
        <f>H50-G52</f>
        <v>257.43</v>
      </c>
      <c r="I52" s="135">
        <v>1</v>
      </c>
      <c r="J52" s="135"/>
      <c r="K52" s="175"/>
      <c r="L52" s="135"/>
      <c r="M52" s="135"/>
      <c r="O52" s="136"/>
      <c r="P52" s="136"/>
      <c r="Q52" s="136"/>
      <c r="R52" s="171"/>
      <c r="S52" s="135"/>
      <c r="T52" s="175"/>
      <c r="U52" s="135"/>
      <c r="V52" s="135"/>
      <c r="X52" s="136"/>
      <c r="Y52" s="136"/>
      <c r="Z52" s="136"/>
      <c r="AA52" s="135"/>
      <c r="AB52" s="135"/>
      <c r="AC52" s="175"/>
      <c r="AD52" s="135"/>
      <c r="AE52" s="135"/>
      <c r="AG52" s="136"/>
      <c r="AH52" s="136"/>
      <c r="AI52" s="136"/>
      <c r="AJ52" s="135"/>
      <c r="AK52" s="135"/>
      <c r="AL52" s="175"/>
      <c r="AM52" s="135"/>
      <c r="AN52" s="135"/>
      <c r="AP52" s="136"/>
      <c r="AQ52" s="136"/>
      <c r="AR52" s="136"/>
      <c r="AY52">
        <v>2725</v>
      </c>
    </row>
    <row r="53" spans="1:55" x14ac:dyDescent="0.2">
      <c r="A53" s="135">
        <v>2</v>
      </c>
      <c r="B53" s="135"/>
      <c r="C53" s="175">
        <v>44196</v>
      </c>
      <c r="D53" s="135">
        <v>16.12</v>
      </c>
      <c r="F53" s="136">
        <f t="shared" si="23"/>
        <v>1.54</v>
      </c>
      <c r="G53" s="136">
        <f t="shared" si="24"/>
        <v>14.580000000000002</v>
      </c>
      <c r="H53" s="136">
        <f t="shared" ref="H53:H60" si="25">H52-G53</f>
        <v>242.85</v>
      </c>
      <c r="I53" s="135">
        <v>2</v>
      </c>
      <c r="J53" s="135"/>
      <c r="K53" s="175"/>
      <c r="L53" s="135"/>
      <c r="M53" s="135"/>
      <c r="O53" s="136"/>
      <c r="P53" s="136"/>
      <c r="Q53" s="136"/>
      <c r="R53" s="171"/>
      <c r="S53" s="135"/>
      <c r="T53" s="175"/>
      <c r="U53" s="135"/>
      <c r="V53" s="135"/>
      <c r="X53" s="136"/>
      <c r="Y53" s="136"/>
      <c r="Z53" s="136"/>
      <c r="AA53" s="135"/>
      <c r="AB53" s="135"/>
      <c r="AC53" s="175"/>
      <c r="AD53" s="135"/>
      <c r="AE53" s="135"/>
      <c r="AG53" s="136"/>
      <c r="AH53" s="136"/>
      <c r="AI53" s="136"/>
      <c r="AJ53" s="135"/>
      <c r="AK53" s="135"/>
      <c r="AL53" s="175"/>
      <c r="AM53" s="135"/>
      <c r="AN53" s="135"/>
      <c r="AP53" s="136"/>
      <c r="AQ53" s="136"/>
      <c r="AR53" s="136"/>
      <c r="AY53" s="178">
        <v>2000</v>
      </c>
    </row>
    <row r="54" spans="1:55" x14ac:dyDescent="0.2">
      <c r="A54" s="135">
        <v>3</v>
      </c>
      <c r="B54" s="135"/>
      <c r="C54" s="175">
        <v>44227</v>
      </c>
      <c r="D54" s="135">
        <v>16.12</v>
      </c>
      <c r="F54" s="136">
        <f t="shared" si="23"/>
        <v>1.46</v>
      </c>
      <c r="G54" s="136">
        <f t="shared" si="24"/>
        <v>14.66</v>
      </c>
      <c r="H54" s="136">
        <f t="shared" si="25"/>
        <v>228.19</v>
      </c>
      <c r="I54" s="135">
        <v>3</v>
      </c>
      <c r="J54" s="135"/>
      <c r="K54" s="175"/>
      <c r="L54" s="135"/>
      <c r="M54" s="135"/>
      <c r="O54" s="136"/>
      <c r="P54" s="136"/>
      <c r="Q54" s="136"/>
      <c r="R54" s="171"/>
      <c r="S54" s="135"/>
      <c r="T54" s="175"/>
      <c r="U54" s="135"/>
      <c r="V54" s="135"/>
      <c r="X54" s="136"/>
      <c r="Y54" s="136"/>
      <c r="Z54" s="136"/>
      <c r="AA54" s="135"/>
      <c r="AB54" s="135"/>
      <c r="AC54" s="175"/>
      <c r="AD54" s="135"/>
      <c r="AE54" s="135"/>
      <c r="AG54" s="136"/>
      <c r="AH54" s="136"/>
      <c r="AI54" s="136"/>
      <c r="AJ54" s="135"/>
      <c r="AK54" s="135"/>
      <c r="AL54" s="175"/>
      <c r="AM54" s="135"/>
      <c r="AN54" s="135"/>
      <c r="AP54" s="136"/>
      <c r="AQ54" s="136"/>
      <c r="AR54" s="136"/>
    </row>
    <row r="55" spans="1:55" x14ac:dyDescent="0.2">
      <c r="A55" s="135">
        <v>4</v>
      </c>
      <c r="B55" s="135"/>
      <c r="C55" s="175">
        <v>44255</v>
      </c>
      <c r="D55" s="135">
        <v>16.12</v>
      </c>
      <c r="F55" s="136">
        <f t="shared" si="23"/>
        <v>1.37</v>
      </c>
      <c r="G55" s="136">
        <f t="shared" si="24"/>
        <v>14.75</v>
      </c>
      <c r="H55" s="136">
        <f t="shared" si="25"/>
        <v>213.44</v>
      </c>
      <c r="I55" s="135">
        <v>4</v>
      </c>
      <c r="J55" s="135"/>
      <c r="K55" s="175"/>
      <c r="L55" s="135"/>
      <c r="M55" s="135"/>
      <c r="O55" s="136"/>
      <c r="P55" s="136"/>
      <c r="Q55" s="136"/>
      <c r="R55" s="171"/>
      <c r="S55" s="135"/>
      <c r="T55" s="175"/>
      <c r="U55" s="135"/>
      <c r="V55" s="135"/>
      <c r="X55" s="136"/>
      <c r="Y55" s="136"/>
      <c r="Z55" s="136"/>
      <c r="AA55" s="135"/>
      <c r="AB55" s="135"/>
      <c r="AC55" s="175"/>
      <c r="AD55" s="135"/>
      <c r="AE55" s="135"/>
      <c r="AG55" s="136"/>
      <c r="AH55" s="136"/>
      <c r="AI55" s="136"/>
      <c r="AJ55" s="135"/>
      <c r="AK55" s="135"/>
      <c r="AL55" s="175"/>
      <c r="AM55" s="135"/>
      <c r="AN55" s="135"/>
      <c r="AP55" s="136"/>
      <c r="AQ55" s="136"/>
      <c r="AR55" s="136"/>
    </row>
    <row r="56" spans="1:55" x14ac:dyDescent="0.2">
      <c r="A56" s="135">
        <v>5</v>
      </c>
      <c r="B56" s="135"/>
      <c r="C56" s="175">
        <v>44286</v>
      </c>
      <c r="D56" s="135">
        <v>16.12</v>
      </c>
      <c r="F56" s="136">
        <f>ROUND(H55*$G$48*30/365,2)+1.12</f>
        <v>2.4000000000000004</v>
      </c>
      <c r="G56" s="136">
        <f t="shared" si="24"/>
        <v>13.72</v>
      </c>
      <c r="H56" s="136">
        <f t="shared" si="25"/>
        <v>199.72</v>
      </c>
      <c r="I56" s="135">
        <v>5</v>
      </c>
      <c r="J56" s="135"/>
      <c r="K56" s="175"/>
      <c r="L56" s="135"/>
      <c r="M56" s="135"/>
      <c r="O56" s="136"/>
      <c r="P56" s="136"/>
      <c r="Q56" s="136">
        <v>545</v>
      </c>
      <c r="R56" s="171"/>
      <c r="S56" s="135"/>
      <c r="T56" s="175"/>
      <c r="U56" s="135"/>
      <c r="V56" s="135"/>
      <c r="X56" s="136"/>
      <c r="Y56" s="136"/>
      <c r="Z56" s="136"/>
      <c r="AA56" s="135"/>
      <c r="AB56" s="135"/>
      <c r="AC56" s="175"/>
      <c r="AD56" s="135"/>
      <c r="AE56" s="135"/>
      <c r="AG56" s="136"/>
      <c r="AH56" s="136"/>
      <c r="AI56" s="136"/>
      <c r="AJ56" s="135"/>
      <c r="AK56" s="135"/>
      <c r="AL56" s="175"/>
      <c r="AM56" s="135"/>
      <c r="AN56" s="135"/>
      <c r="AP56" s="136"/>
      <c r="AQ56" s="136"/>
      <c r="AR56" s="136"/>
    </row>
    <row r="57" spans="1:55" x14ac:dyDescent="0.2">
      <c r="A57" s="135">
        <v>6</v>
      </c>
      <c r="B57" s="135"/>
      <c r="C57" s="175">
        <v>44316</v>
      </c>
      <c r="D57" s="135">
        <v>16.12</v>
      </c>
      <c r="F57" s="136">
        <f>ROUND(H56*$G$48*30/365,2)+1</f>
        <v>2.2000000000000002</v>
      </c>
      <c r="G57" s="136">
        <f t="shared" si="24"/>
        <v>13.920000000000002</v>
      </c>
      <c r="H57" s="136">
        <f t="shared" si="25"/>
        <v>185.8</v>
      </c>
      <c r="I57" s="135">
        <v>6</v>
      </c>
      <c r="J57" s="135"/>
      <c r="K57" s="175">
        <v>44316</v>
      </c>
      <c r="L57" s="135"/>
      <c r="M57" s="135">
        <v>0</v>
      </c>
      <c r="O57" s="136">
        <f t="shared" ref="O57:O88" si="26">ROUND(Q56*$P$48*30/365,2)</f>
        <v>3.43</v>
      </c>
      <c r="P57" s="136"/>
      <c r="Q57" s="136">
        <f>Q56-M57</f>
        <v>545</v>
      </c>
      <c r="R57" s="171"/>
      <c r="S57" s="135"/>
      <c r="T57" s="175"/>
      <c r="U57" s="135"/>
      <c r="V57" s="135"/>
      <c r="X57" s="136"/>
      <c r="Y57" s="136"/>
      <c r="Z57" s="136"/>
      <c r="AA57" s="135"/>
      <c r="AB57" s="135"/>
      <c r="AC57" s="175"/>
      <c r="AD57" s="135"/>
      <c r="AE57" s="135"/>
      <c r="AG57" s="136"/>
      <c r="AH57" s="136"/>
      <c r="AI57" s="136"/>
      <c r="AJ57" s="135"/>
      <c r="AK57" s="135"/>
      <c r="AL57" s="271">
        <v>44316</v>
      </c>
      <c r="AM57" s="272" t="s">
        <v>510</v>
      </c>
      <c r="AN57" s="272"/>
      <c r="AO57" s="272"/>
      <c r="AP57" s="273"/>
      <c r="AQ57" s="273"/>
      <c r="AR57" s="273"/>
      <c r="AS57" s="271">
        <v>44316</v>
      </c>
      <c r="AT57" s="272"/>
      <c r="AU57" s="273">
        <f>F57</f>
        <v>2.2000000000000002</v>
      </c>
      <c r="AV57" s="273">
        <f>O57</f>
        <v>3.43</v>
      </c>
      <c r="AW57" s="273">
        <f>X57</f>
        <v>0</v>
      </c>
      <c r="AX57" s="273"/>
      <c r="AY57" s="272">
        <v>27.14</v>
      </c>
      <c r="AZ57" s="272"/>
    </row>
    <row r="58" spans="1:55" s="130" customFormat="1" x14ac:dyDescent="0.2">
      <c r="A58" s="135">
        <v>7</v>
      </c>
      <c r="B58" s="135"/>
      <c r="C58" s="175">
        <v>44347</v>
      </c>
      <c r="D58" s="135">
        <v>16.12</v>
      </c>
      <c r="F58" s="136">
        <f>ROUND(H57*$G$48*30/365,2)</f>
        <v>1.1100000000000001</v>
      </c>
      <c r="G58" s="136">
        <f t="shared" si="24"/>
        <v>15.010000000000002</v>
      </c>
      <c r="H58" s="136">
        <f t="shared" si="25"/>
        <v>170.79000000000002</v>
      </c>
      <c r="I58" s="135">
        <v>7</v>
      </c>
      <c r="J58" s="135"/>
      <c r="K58" s="175">
        <v>44347</v>
      </c>
      <c r="L58" s="135"/>
      <c r="M58" s="135">
        <v>0</v>
      </c>
      <c r="N58" s="127"/>
      <c r="O58" s="136">
        <f t="shared" si="26"/>
        <v>3.43</v>
      </c>
      <c r="P58" s="136"/>
      <c r="Q58" s="136">
        <f t="shared" ref="Q58:Q72" si="27">Q57-M58</f>
        <v>545</v>
      </c>
      <c r="R58" s="171"/>
      <c r="S58" s="135"/>
      <c r="T58" s="175"/>
      <c r="U58" s="135"/>
      <c r="V58" s="135"/>
      <c r="W58" s="135"/>
      <c r="X58" s="136"/>
      <c r="Y58" s="136"/>
      <c r="Z58" s="136"/>
      <c r="AA58" s="135"/>
      <c r="AB58" s="135"/>
      <c r="AC58" s="175"/>
      <c r="AD58" s="135"/>
      <c r="AE58" s="135"/>
      <c r="AF58" s="127"/>
      <c r="AG58" s="136"/>
      <c r="AH58" s="136"/>
      <c r="AI58" s="136"/>
      <c r="AJ58" s="135"/>
      <c r="AK58" s="135"/>
      <c r="AL58" s="271">
        <v>44347</v>
      </c>
      <c r="AM58" s="272" t="s">
        <v>510</v>
      </c>
      <c r="AN58" s="272"/>
      <c r="AO58" s="272"/>
      <c r="AP58" s="273"/>
      <c r="AQ58" s="273"/>
      <c r="AR58" s="273"/>
      <c r="AS58" s="271">
        <v>44347</v>
      </c>
      <c r="AT58" s="272"/>
      <c r="AU58" s="273">
        <f>F58</f>
        <v>1.1100000000000001</v>
      </c>
      <c r="AV58" s="273">
        <f t="shared" ref="AV58:AV121" si="28">O58</f>
        <v>3.43</v>
      </c>
      <c r="AW58" s="273">
        <f t="shared" ref="AW58:AW121" si="29">X58</f>
        <v>0</v>
      </c>
      <c r="AX58" s="273"/>
      <c r="AY58" s="272">
        <v>27.14</v>
      </c>
      <c r="AZ58" s="272"/>
    </row>
    <row r="59" spans="1:55" x14ac:dyDescent="0.2">
      <c r="A59" s="127">
        <v>8</v>
      </c>
      <c r="B59" s="127"/>
      <c r="C59" s="164">
        <v>44377</v>
      </c>
      <c r="D59" s="127">
        <v>16.12</v>
      </c>
      <c r="E59" s="127"/>
      <c r="F59" s="128">
        <f>ROUND(H58*$G$48*30/365,2)</f>
        <v>1.02</v>
      </c>
      <c r="G59" s="128">
        <f t="shared" si="24"/>
        <v>15.100000000000001</v>
      </c>
      <c r="H59" s="270">
        <f t="shared" si="25"/>
        <v>155.69000000000003</v>
      </c>
      <c r="I59" s="135">
        <v>8</v>
      </c>
      <c r="J59" s="127"/>
      <c r="K59" s="164">
        <v>44377</v>
      </c>
      <c r="L59" s="127"/>
      <c r="M59" s="127">
        <v>0</v>
      </c>
      <c r="N59" s="127"/>
      <c r="O59" s="128">
        <f t="shared" si="26"/>
        <v>3.43</v>
      </c>
      <c r="P59" s="128"/>
      <c r="Q59" s="128">
        <f t="shared" si="27"/>
        <v>545</v>
      </c>
      <c r="R59" s="127"/>
      <c r="S59" s="127"/>
      <c r="T59" s="164"/>
      <c r="U59" s="127"/>
      <c r="V59" s="127"/>
      <c r="W59" s="127"/>
      <c r="X59" s="128"/>
      <c r="Y59" s="128"/>
      <c r="Z59" s="128"/>
      <c r="AA59" s="127"/>
      <c r="AB59" s="127"/>
      <c r="AC59" s="164"/>
      <c r="AD59" s="127"/>
      <c r="AE59" s="127"/>
      <c r="AF59" s="127"/>
      <c r="AG59" s="128"/>
      <c r="AH59" s="128"/>
      <c r="AI59" s="128"/>
      <c r="AJ59" s="127"/>
      <c r="AK59" s="127"/>
      <c r="AL59" s="271">
        <v>44377</v>
      </c>
      <c r="AM59" s="272" t="s">
        <v>510</v>
      </c>
      <c r="AN59" s="272"/>
      <c r="AO59" s="272"/>
      <c r="AP59" s="273"/>
      <c r="AQ59" s="273"/>
      <c r="AR59" s="273"/>
      <c r="AS59" s="271">
        <v>44377</v>
      </c>
      <c r="AT59" s="272"/>
      <c r="AU59" s="273">
        <f>F59</f>
        <v>1.02</v>
      </c>
      <c r="AV59" s="273">
        <f t="shared" si="28"/>
        <v>3.43</v>
      </c>
      <c r="AW59" s="273">
        <f t="shared" si="29"/>
        <v>0</v>
      </c>
      <c r="AX59" s="273"/>
      <c r="AY59" s="272">
        <v>27.14</v>
      </c>
      <c r="AZ59" s="272"/>
      <c r="BA59" s="120">
        <f>SUM(AU57:AZ59)</f>
        <v>96.04</v>
      </c>
    </row>
    <row r="60" spans="1:55" x14ac:dyDescent="0.2">
      <c r="A60">
        <v>1</v>
      </c>
      <c r="C60" s="175">
        <v>44408</v>
      </c>
      <c r="D60" s="127">
        <v>16.12</v>
      </c>
      <c r="F60" s="177">
        <f>ROUND(H59*$G$48*30/365,2)</f>
        <v>0.93</v>
      </c>
      <c r="G60" s="128">
        <f t="shared" si="24"/>
        <v>15.190000000000001</v>
      </c>
      <c r="H60" s="270">
        <f t="shared" si="25"/>
        <v>140.50000000000003</v>
      </c>
      <c r="I60">
        <v>1</v>
      </c>
      <c r="K60" s="175">
        <v>44408</v>
      </c>
      <c r="M60" s="130">
        <v>0</v>
      </c>
      <c r="O60" s="177">
        <f t="shared" si="26"/>
        <v>3.43</v>
      </c>
      <c r="P60" s="120"/>
      <c r="Q60" s="136">
        <f t="shared" si="27"/>
        <v>545</v>
      </c>
      <c r="R60">
        <f>R59+1</f>
        <v>1</v>
      </c>
      <c r="T60" s="175">
        <v>44408</v>
      </c>
      <c r="X60" s="177">
        <f t="shared" ref="X60:X91" si="30">ROUND(Z59*$Y$48*30/365,2)</f>
        <v>0</v>
      </c>
      <c r="Y60" s="120"/>
      <c r="Z60" s="120">
        <v>272</v>
      </c>
      <c r="AA60">
        <f>AA59+1</f>
        <v>1</v>
      </c>
      <c r="AC60" s="175">
        <v>44408</v>
      </c>
      <c r="AG60" s="177">
        <f>ROUND(AI59*$P$48*30/365,2)</f>
        <v>0</v>
      </c>
      <c r="AH60" s="120"/>
      <c r="AI60" s="120">
        <v>725</v>
      </c>
      <c r="AJ60">
        <f>AJ59+1</f>
        <v>1</v>
      </c>
      <c r="AL60" s="175">
        <v>44408</v>
      </c>
      <c r="AM60" s="274" t="s">
        <v>511</v>
      </c>
      <c r="AN60" s="274"/>
      <c r="AP60" s="177">
        <f>ROUND(AR59*$P$48*30/365,2)</f>
        <v>0</v>
      </c>
      <c r="AQ60" s="120"/>
      <c r="AR60" s="120">
        <f>AT60</f>
        <v>18.170000000000002</v>
      </c>
      <c r="AS60" s="175">
        <v>44408</v>
      </c>
      <c r="AT60" s="120">
        <f>AY60</f>
        <v>18.170000000000002</v>
      </c>
      <c r="AU60" s="273">
        <f t="shared" ref="AU60:AU123" si="31">F60</f>
        <v>0.93</v>
      </c>
      <c r="AV60" s="131">
        <f t="shared" si="28"/>
        <v>3.43</v>
      </c>
      <c r="AW60" s="131">
        <f t="shared" si="29"/>
        <v>0</v>
      </c>
      <c r="AX60" s="120">
        <v>0</v>
      </c>
      <c r="AY60">
        <f>ROUND($AY$52*$AY$50/12,2)</f>
        <v>18.170000000000002</v>
      </c>
      <c r="AZ60" s="120">
        <f>AP60</f>
        <v>0</v>
      </c>
    </row>
    <row r="61" spans="1:55" x14ac:dyDescent="0.2">
      <c r="A61">
        <f t="shared" ref="A61:A73" si="32">A60+1</f>
        <v>2</v>
      </c>
      <c r="C61" s="175">
        <v>44439</v>
      </c>
      <c r="F61" s="177">
        <f>ROUND(H60*$G$48*30/365,2)</f>
        <v>0.84</v>
      </c>
      <c r="G61" s="120"/>
      <c r="H61" s="120">
        <f t="shared" ref="H61:H66" si="33">H60-G61</f>
        <v>140.50000000000003</v>
      </c>
      <c r="I61">
        <f t="shared" ref="I61:I108" si="34">I60+1</f>
        <v>2</v>
      </c>
      <c r="K61" s="175">
        <v>44439</v>
      </c>
      <c r="M61" s="130">
        <v>0</v>
      </c>
      <c r="O61" s="177">
        <f t="shared" si="26"/>
        <v>3.43</v>
      </c>
      <c r="P61" s="120"/>
      <c r="Q61" s="136">
        <f t="shared" si="27"/>
        <v>545</v>
      </c>
      <c r="R61">
        <f t="shared" ref="R61:R119" si="35">R60+1</f>
        <v>2</v>
      </c>
      <c r="T61" s="175">
        <v>44439</v>
      </c>
      <c r="X61" s="177">
        <f t="shared" si="30"/>
        <v>1.71</v>
      </c>
      <c r="Y61" s="120"/>
      <c r="Z61" s="120">
        <f t="shared" ref="Z61:Z66" si="36">Z60-Y61</f>
        <v>272</v>
      </c>
      <c r="AA61">
        <f t="shared" ref="AA61:AA124" si="37">AA60+1</f>
        <v>2</v>
      </c>
      <c r="AC61" s="175">
        <v>44439</v>
      </c>
      <c r="AG61" s="177">
        <f t="shared" ref="AG61:AG92" si="38">ROUND(AI60*$AH$48*30/365,2)</f>
        <v>4.7699999999999996</v>
      </c>
      <c r="AH61" s="120"/>
      <c r="AI61" s="120">
        <f t="shared" ref="AI61:AI66" si="39">AI60-AH61</f>
        <v>725</v>
      </c>
      <c r="AJ61">
        <f t="shared" ref="AJ61:AJ124" si="40">AJ60+1</f>
        <v>2</v>
      </c>
      <c r="AL61" s="175">
        <v>44439</v>
      </c>
      <c r="AP61" s="177">
        <f t="shared" ref="AP61:AP80" si="41">ROUND(AR60*$AH$48*30/365,2)</f>
        <v>0.12</v>
      </c>
      <c r="AQ61" s="120"/>
      <c r="AR61" s="120">
        <f>AR60+AT61</f>
        <v>31.5</v>
      </c>
      <c r="AS61" s="175">
        <v>44439</v>
      </c>
      <c r="AT61" s="120">
        <f t="shared" ref="AT61:AT83" si="42">AY61</f>
        <v>13.33</v>
      </c>
      <c r="AU61" s="273">
        <f t="shared" si="31"/>
        <v>0.84</v>
      </c>
      <c r="AV61" s="131">
        <f t="shared" si="28"/>
        <v>3.43</v>
      </c>
      <c r="AW61" s="131">
        <f t="shared" si="29"/>
        <v>1.71</v>
      </c>
      <c r="AX61" s="120">
        <f>AG61</f>
        <v>4.7699999999999996</v>
      </c>
      <c r="AY61">
        <f t="shared" ref="AY61:AY79" si="43">ROUND($AY$53*$AY$50/12,2)</f>
        <v>13.33</v>
      </c>
      <c r="AZ61" s="120">
        <f t="shared" ref="AZ61:AZ80" si="44">AP61</f>
        <v>0.12</v>
      </c>
    </row>
    <row r="62" spans="1:55" x14ac:dyDescent="0.2">
      <c r="A62">
        <f t="shared" si="32"/>
        <v>3</v>
      </c>
      <c r="C62" s="175">
        <v>44469</v>
      </c>
      <c r="F62" s="177">
        <f>ROUND(H61*$G$48*30/365,2)</f>
        <v>0.84</v>
      </c>
      <c r="G62" s="120"/>
      <c r="H62" s="120">
        <f t="shared" si="33"/>
        <v>140.50000000000003</v>
      </c>
      <c r="I62">
        <f t="shared" si="34"/>
        <v>3</v>
      </c>
      <c r="K62" s="175">
        <v>44469</v>
      </c>
      <c r="M62" s="130">
        <v>0</v>
      </c>
      <c r="O62" s="177">
        <f t="shared" si="26"/>
        <v>3.43</v>
      </c>
      <c r="P62" s="120"/>
      <c r="Q62" s="136">
        <f t="shared" si="27"/>
        <v>545</v>
      </c>
      <c r="R62">
        <f t="shared" si="35"/>
        <v>3</v>
      </c>
      <c r="T62" s="175">
        <v>44469</v>
      </c>
      <c r="X62" s="177">
        <f t="shared" si="30"/>
        <v>1.71</v>
      </c>
      <c r="Y62" s="120"/>
      <c r="Z62" s="120">
        <f t="shared" si="36"/>
        <v>272</v>
      </c>
      <c r="AA62">
        <f t="shared" si="37"/>
        <v>3</v>
      </c>
      <c r="AC62" s="175">
        <v>44469</v>
      </c>
      <c r="AG62" s="177">
        <f t="shared" si="38"/>
        <v>4.7699999999999996</v>
      </c>
      <c r="AH62" s="120"/>
      <c r="AI62" s="120">
        <f t="shared" si="39"/>
        <v>725</v>
      </c>
      <c r="AJ62">
        <f t="shared" si="40"/>
        <v>3</v>
      </c>
      <c r="AL62" s="175">
        <v>44469</v>
      </c>
      <c r="AP62" s="177">
        <f t="shared" si="41"/>
        <v>0.21</v>
      </c>
      <c r="AQ62" s="120"/>
      <c r="AR62" s="120">
        <f t="shared" ref="AR62:AR81" si="45">AR61+AT62</f>
        <v>44.83</v>
      </c>
      <c r="AS62" s="175">
        <v>44469</v>
      </c>
      <c r="AT62" s="120">
        <f t="shared" si="42"/>
        <v>13.33</v>
      </c>
      <c r="AU62" s="273">
        <f t="shared" si="31"/>
        <v>0.84</v>
      </c>
      <c r="AV62" s="131">
        <f t="shared" si="28"/>
        <v>3.43</v>
      </c>
      <c r="AW62" s="131">
        <f t="shared" si="29"/>
        <v>1.71</v>
      </c>
      <c r="AX62" s="120">
        <f t="shared" ref="AX62:AX125" si="46">AG62</f>
        <v>4.7699999999999996</v>
      </c>
      <c r="AY62">
        <f t="shared" si="43"/>
        <v>13.33</v>
      </c>
      <c r="AZ62" s="120">
        <f t="shared" si="44"/>
        <v>0.21</v>
      </c>
    </row>
    <row r="63" spans="1:55" x14ac:dyDescent="0.2">
      <c r="A63">
        <f t="shared" si="32"/>
        <v>4</v>
      </c>
      <c r="C63" s="175">
        <v>44500</v>
      </c>
      <c r="F63" s="177">
        <f>ROUND(H62*$G$48*30/365,2)</f>
        <v>0.84</v>
      </c>
      <c r="G63" s="120"/>
      <c r="H63" s="120">
        <f t="shared" si="33"/>
        <v>140.50000000000003</v>
      </c>
      <c r="I63">
        <f t="shared" si="34"/>
        <v>4</v>
      </c>
      <c r="K63" s="175">
        <v>44500</v>
      </c>
      <c r="M63" s="130">
        <v>0</v>
      </c>
      <c r="O63" s="177">
        <f t="shared" si="26"/>
        <v>3.43</v>
      </c>
      <c r="P63" s="120"/>
      <c r="Q63" s="136">
        <f t="shared" si="27"/>
        <v>545</v>
      </c>
      <c r="R63">
        <f t="shared" si="35"/>
        <v>4</v>
      </c>
      <c r="T63" s="175">
        <v>44500</v>
      </c>
      <c r="X63" s="177">
        <f t="shared" si="30"/>
        <v>1.71</v>
      </c>
      <c r="Y63" s="120"/>
      <c r="Z63" s="120">
        <f t="shared" si="36"/>
        <v>272</v>
      </c>
      <c r="AA63">
        <f t="shared" si="37"/>
        <v>4</v>
      </c>
      <c r="AC63" s="175">
        <v>44500</v>
      </c>
      <c r="AG63" s="177">
        <f t="shared" si="38"/>
        <v>4.7699999999999996</v>
      </c>
      <c r="AH63" s="120"/>
      <c r="AI63" s="120">
        <f t="shared" si="39"/>
        <v>725</v>
      </c>
      <c r="AJ63">
        <f t="shared" si="40"/>
        <v>4</v>
      </c>
      <c r="AL63" s="175">
        <v>44500</v>
      </c>
      <c r="AP63" s="177">
        <f t="shared" si="41"/>
        <v>0.28999999999999998</v>
      </c>
      <c r="AQ63" s="120"/>
      <c r="AR63" s="120">
        <f t="shared" si="45"/>
        <v>58.16</v>
      </c>
      <c r="AS63" s="175">
        <v>44500</v>
      </c>
      <c r="AT63" s="120">
        <f t="shared" si="42"/>
        <v>13.33</v>
      </c>
      <c r="AU63" s="273">
        <f t="shared" si="31"/>
        <v>0.84</v>
      </c>
      <c r="AV63" s="131">
        <f t="shared" si="28"/>
        <v>3.43</v>
      </c>
      <c r="AW63" s="131">
        <f t="shared" si="29"/>
        <v>1.71</v>
      </c>
      <c r="AX63" s="120">
        <f t="shared" si="46"/>
        <v>4.7699999999999996</v>
      </c>
      <c r="AY63">
        <f t="shared" si="43"/>
        <v>13.33</v>
      </c>
      <c r="AZ63" s="120">
        <f t="shared" si="44"/>
        <v>0.28999999999999998</v>
      </c>
    </row>
    <row r="64" spans="1:55" x14ac:dyDescent="0.2">
      <c r="A64">
        <f t="shared" si="32"/>
        <v>5</v>
      </c>
      <c r="C64" s="175">
        <v>44530</v>
      </c>
      <c r="F64" s="177">
        <f>ROUND(H63*$G$48*30/365,2)</f>
        <v>0.84</v>
      </c>
      <c r="G64" s="120"/>
      <c r="H64" s="120">
        <f t="shared" si="33"/>
        <v>140.50000000000003</v>
      </c>
      <c r="I64">
        <f t="shared" si="34"/>
        <v>5</v>
      </c>
      <c r="K64" s="175">
        <v>44530</v>
      </c>
      <c r="M64" s="130">
        <v>0</v>
      </c>
      <c r="O64" s="177">
        <f t="shared" si="26"/>
        <v>3.43</v>
      </c>
      <c r="P64" s="120"/>
      <c r="Q64" s="136">
        <f t="shared" si="27"/>
        <v>545</v>
      </c>
      <c r="R64">
        <f t="shared" si="35"/>
        <v>5</v>
      </c>
      <c r="T64" s="175">
        <v>44530</v>
      </c>
      <c r="X64" s="177">
        <f t="shared" si="30"/>
        <v>1.71</v>
      </c>
      <c r="Y64" s="120"/>
      <c r="Z64" s="120">
        <f t="shared" si="36"/>
        <v>272</v>
      </c>
      <c r="AA64">
        <f t="shared" si="37"/>
        <v>5</v>
      </c>
      <c r="AC64" s="175">
        <v>44530</v>
      </c>
      <c r="AG64" s="177">
        <f t="shared" si="38"/>
        <v>4.7699999999999996</v>
      </c>
      <c r="AH64" s="120"/>
      <c r="AI64" s="120">
        <f t="shared" si="39"/>
        <v>725</v>
      </c>
      <c r="AJ64">
        <f t="shared" si="40"/>
        <v>5</v>
      </c>
      <c r="AL64" s="175">
        <v>44530</v>
      </c>
      <c r="AP64" s="177">
        <f t="shared" si="41"/>
        <v>0.38</v>
      </c>
      <c r="AQ64" s="120"/>
      <c r="AR64" s="120">
        <f t="shared" si="45"/>
        <v>71.489999999999995</v>
      </c>
      <c r="AS64" s="175">
        <v>44530</v>
      </c>
      <c r="AT64" s="120">
        <f t="shared" si="42"/>
        <v>13.33</v>
      </c>
      <c r="AU64" s="273">
        <f t="shared" si="31"/>
        <v>0.84</v>
      </c>
      <c r="AV64" s="131">
        <f t="shared" si="28"/>
        <v>3.43</v>
      </c>
      <c r="AW64" s="131">
        <f t="shared" si="29"/>
        <v>1.71</v>
      </c>
      <c r="AX64" s="120">
        <f t="shared" si="46"/>
        <v>4.7699999999999996</v>
      </c>
      <c r="AY64">
        <f t="shared" si="43"/>
        <v>13.33</v>
      </c>
      <c r="AZ64" s="120">
        <f t="shared" si="44"/>
        <v>0.38</v>
      </c>
    </row>
    <row r="65" spans="1:55" x14ac:dyDescent="0.2">
      <c r="A65">
        <f t="shared" si="32"/>
        <v>6</v>
      </c>
      <c r="C65" s="175">
        <v>44561</v>
      </c>
      <c r="F65" s="177">
        <f>ROUND(H64*$G$48*30/365,2)</f>
        <v>0.84</v>
      </c>
      <c r="G65" s="120"/>
      <c r="H65" s="120">
        <f t="shared" si="33"/>
        <v>140.50000000000003</v>
      </c>
      <c r="I65">
        <f t="shared" si="34"/>
        <v>6</v>
      </c>
      <c r="K65" s="175">
        <v>44561</v>
      </c>
      <c r="M65" s="130">
        <v>0</v>
      </c>
      <c r="O65" s="177">
        <f t="shared" si="26"/>
        <v>3.43</v>
      </c>
      <c r="P65" s="120"/>
      <c r="Q65" s="136">
        <f t="shared" si="27"/>
        <v>545</v>
      </c>
      <c r="R65">
        <f t="shared" si="35"/>
        <v>6</v>
      </c>
      <c r="T65" s="175">
        <v>44561</v>
      </c>
      <c r="X65" s="177">
        <f t="shared" si="30"/>
        <v>1.71</v>
      </c>
      <c r="Y65" s="120"/>
      <c r="Z65" s="120">
        <f t="shared" si="36"/>
        <v>272</v>
      </c>
      <c r="AA65">
        <f t="shared" si="37"/>
        <v>6</v>
      </c>
      <c r="AC65" s="175">
        <v>44561</v>
      </c>
      <c r="AG65" s="177">
        <f t="shared" si="38"/>
        <v>4.7699999999999996</v>
      </c>
      <c r="AH65" s="120"/>
      <c r="AI65" s="120">
        <f t="shared" si="39"/>
        <v>725</v>
      </c>
      <c r="AJ65">
        <f t="shared" si="40"/>
        <v>6</v>
      </c>
      <c r="AL65" s="175">
        <v>44561</v>
      </c>
      <c r="AP65" s="177">
        <f t="shared" si="41"/>
        <v>0.47</v>
      </c>
      <c r="AQ65" s="120"/>
      <c r="AR65" s="120">
        <f t="shared" si="45"/>
        <v>84.82</v>
      </c>
      <c r="AS65" s="175">
        <v>44561</v>
      </c>
      <c r="AT65" s="120">
        <f t="shared" si="42"/>
        <v>13.33</v>
      </c>
      <c r="AU65" s="273">
        <f t="shared" si="31"/>
        <v>0.84</v>
      </c>
      <c r="AV65" s="131">
        <f t="shared" si="28"/>
        <v>3.43</v>
      </c>
      <c r="AW65" s="131">
        <f t="shared" si="29"/>
        <v>1.71</v>
      </c>
      <c r="AX65" s="120">
        <f t="shared" si="46"/>
        <v>4.7699999999999996</v>
      </c>
      <c r="AY65">
        <f t="shared" si="43"/>
        <v>13.33</v>
      </c>
      <c r="AZ65" s="120">
        <f t="shared" si="44"/>
        <v>0.47</v>
      </c>
    </row>
    <row r="66" spans="1:55" x14ac:dyDescent="0.2">
      <c r="A66">
        <f t="shared" si="32"/>
        <v>7</v>
      </c>
      <c r="C66" s="175">
        <v>44592</v>
      </c>
      <c r="F66" s="177">
        <f>ROUND(H65*$G$48*30/365,2)</f>
        <v>0.84</v>
      </c>
      <c r="G66" s="120"/>
      <c r="H66" s="120">
        <f t="shared" si="33"/>
        <v>140.50000000000003</v>
      </c>
      <c r="I66">
        <f t="shared" si="34"/>
        <v>7</v>
      </c>
      <c r="K66" s="175">
        <v>44592</v>
      </c>
      <c r="M66" s="130">
        <v>0</v>
      </c>
      <c r="O66" s="177">
        <f t="shared" si="26"/>
        <v>3.43</v>
      </c>
      <c r="P66" s="120"/>
      <c r="Q66" s="136">
        <f t="shared" si="27"/>
        <v>545</v>
      </c>
      <c r="R66">
        <f t="shared" si="35"/>
        <v>7</v>
      </c>
      <c r="T66" s="175">
        <v>44592</v>
      </c>
      <c r="X66" s="177">
        <f t="shared" si="30"/>
        <v>1.71</v>
      </c>
      <c r="Y66" s="120"/>
      <c r="Z66" s="120">
        <f t="shared" si="36"/>
        <v>272</v>
      </c>
      <c r="AA66">
        <f t="shared" si="37"/>
        <v>7</v>
      </c>
      <c r="AC66" s="175">
        <v>44592</v>
      </c>
      <c r="AG66" s="177">
        <f t="shared" si="38"/>
        <v>4.7699999999999996</v>
      </c>
      <c r="AH66" s="120"/>
      <c r="AI66" s="120">
        <f t="shared" si="39"/>
        <v>725</v>
      </c>
      <c r="AJ66">
        <f t="shared" si="40"/>
        <v>7</v>
      </c>
      <c r="AL66" s="175">
        <v>44592</v>
      </c>
      <c r="AP66" s="177">
        <f t="shared" si="41"/>
        <v>0.56000000000000005</v>
      </c>
      <c r="AQ66" s="120"/>
      <c r="AR66" s="120">
        <f t="shared" si="45"/>
        <v>98.149999999999991</v>
      </c>
      <c r="AS66" s="175">
        <v>44592</v>
      </c>
      <c r="AT66" s="120">
        <f t="shared" si="42"/>
        <v>13.33</v>
      </c>
      <c r="AU66" s="273">
        <f t="shared" si="31"/>
        <v>0.84</v>
      </c>
      <c r="AV66" s="131">
        <f t="shared" si="28"/>
        <v>3.43</v>
      </c>
      <c r="AW66" s="131">
        <f t="shared" si="29"/>
        <v>1.71</v>
      </c>
      <c r="AX66" s="120">
        <f t="shared" si="46"/>
        <v>4.7699999999999996</v>
      </c>
      <c r="AY66">
        <f t="shared" si="43"/>
        <v>13.33</v>
      </c>
      <c r="AZ66" s="120">
        <f t="shared" si="44"/>
        <v>0.56000000000000005</v>
      </c>
    </row>
    <row r="67" spans="1:55" x14ac:dyDescent="0.2">
      <c r="A67">
        <f t="shared" si="32"/>
        <v>8</v>
      </c>
      <c r="C67" s="175">
        <v>44620</v>
      </c>
      <c r="F67" s="177">
        <f>ROUND(H66*$G$48*30/365,2)</f>
        <v>0.84</v>
      </c>
      <c r="G67" s="120">
        <f>SUM(F57:F60)</f>
        <v>5.26</v>
      </c>
      <c r="H67" s="120">
        <f t="shared" ref="H67:H108" si="47">H66-D67</f>
        <v>140.50000000000003</v>
      </c>
      <c r="I67">
        <f t="shared" si="34"/>
        <v>8</v>
      </c>
      <c r="K67" s="175">
        <v>44620</v>
      </c>
      <c r="M67" s="130">
        <v>0</v>
      </c>
      <c r="O67" s="177">
        <f t="shared" si="26"/>
        <v>3.43</v>
      </c>
      <c r="P67" s="120">
        <f>SUM(O57:O60)</f>
        <v>13.72</v>
      </c>
      <c r="Q67" s="136">
        <f t="shared" si="27"/>
        <v>545</v>
      </c>
      <c r="R67">
        <f t="shared" si="35"/>
        <v>8</v>
      </c>
      <c r="T67" s="175">
        <v>44620</v>
      </c>
      <c r="X67" s="177">
        <f t="shared" si="30"/>
        <v>1.71</v>
      </c>
      <c r="Y67" s="120"/>
      <c r="Z67" s="120">
        <f t="shared" ref="Z67:Z108" si="48">Z66-V67</f>
        <v>272</v>
      </c>
      <c r="AA67">
        <f t="shared" si="37"/>
        <v>8</v>
      </c>
      <c r="AC67" s="175">
        <v>44620</v>
      </c>
      <c r="AG67" s="177">
        <f t="shared" si="38"/>
        <v>4.7699999999999996</v>
      </c>
      <c r="AH67" s="120"/>
      <c r="AI67" s="120">
        <f t="shared" ref="AI67:AI108" si="49">AI66-AE67</f>
        <v>725</v>
      </c>
      <c r="AJ67">
        <f t="shared" si="40"/>
        <v>8</v>
      </c>
      <c r="AL67" s="175">
        <v>44620</v>
      </c>
      <c r="AP67" s="177">
        <f t="shared" si="41"/>
        <v>0.65</v>
      </c>
      <c r="AQ67" s="120"/>
      <c r="AR67" s="120">
        <f t="shared" si="45"/>
        <v>111.47999999999999</v>
      </c>
      <c r="AS67" s="175">
        <v>44620</v>
      </c>
      <c r="AT67" s="120">
        <f t="shared" si="42"/>
        <v>13.33</v>
      </c>
      <c r="AU67" s="273">
        <f t="shared" si="31"/>
        <v>0.84</v>
      </c>
      <c r="AV67" s="131">
        <f t="shared" si="28"/>
        <v>3.43</v>
      </c>
      <c r="AW67" s="131">
        <f t="shared" si="29"/>
        <v>1.71</v>
      </c>
      <c r="AX67" s="120">
        <f t="shared" si="46"/>
        <v>4.7699999999999996</v>
      </c>
      <c r="AY67">
        <f t="shared" si="43"/>
        <v>13.33</v>
      </c>
      <c r="AZ67" s="120">
        <f t="shared" si="44"/>
        <v>0.65</v>
      </c>
    </row>
    <row r="68" spans="1:55" s="137" customFormat="1" x14ac:dyDescent="0.2">
      <c r="A68" s="137">
        <f t="shared" si="32"/>
        <v>9</v>
      </c>
      <c r="C68" s="175">
        <v>44651</v>
      </c>
      <c r="E68" s="138">
        <f>SUM(G57:G66)</f>
        <v>59.22</v>
      </c>
      <c r="F68" s="177">
        <f>ROUND(H67*$G$48*30/365,2)</f>
        <v>0.84</v>
      </c>
      <c r="G68" s="138">
        <f>SUM(F61:F68)</f>
        <v>6.72</v>
      </c>
      <c r="H68" s="138">
        <f t="shared" si="47"/>
        <v>140.50000000000003</v>
      </c>
      <c r="I68" s="137">
        <f t="shared" si="34"/>
        <v>9</v>
      </c>
      <c r="K68" s="175">
        <v>44651</v>
      </c>
      <c r="M68" s="137">
        <v>0</v>
      </c>
      <c r="O68" s="177">
        <f t="shared" si="26"/>
        <v>3.43</v>
      </c>
      <c r="P68" s="138">
        <f>SUM(O61:O68)</f>
        <v>27.44</v>
      </c>
      <c r="Q68" s="138">
        <f t="shared" si="27"/>
        <v>545</v>
      </c>
      <c r="R68" s="137">
        <f t="shared" si="35"/>
        <v>9</v>
      </c>
      <c r="T68" s="175">
        <v>44651</v>
      </c>
      <c r="X68" s="177">
        <f t="shared" si="30"/>
        <v>1.71</v>
      </c>
      <c r="Y68" s="138">
        <f>SUM(X59:X68)</f>
        <v>13.680000000000003</v>
      </c>
      <c r="Z68" s="138">
        <f t="shared" si="48"/>
        <v>272</v>
      </c>
      <c r="AA68" s="137">
        <f t="shared" si="37"/>
        <v>9</v>
      </c>
      <c r="AC68" s="175">
        <v>44651</v>
      </c>
      <c r="AG68" s="177">
        <f t="shared" si="38"/>
        <v>4.7699999999999996</v>
      </c>
      <c r="AH68" s="138">
        <f>SUM(AG59:AG68)</f>
        <v>38.159999999999997</v>
      </c>
      <c r="AI68" s="138">
        <f t="shared" si="49"/>
        <v>725</v>
      </c>
      <c r="AJ68" s="137">
        <f t="shared" si="40"/>
        <v>9</v>
      </c>
      <c r="AL68" s="175">
        <v>44651</v>
      </c>
      <c r="AO68" s="137">
        <v>0</v>
      </c>
      <c r="AP68" s="177">
        <f t="shared" si="41"/>
        <v>0.73</v>
      </c>
      <c r="AQ68" s="138">
        <f>SUM(AP59:AP68)</f>
        <v>3.4099999999999997</v>
      </c>
      <c r="AR68" s="120">
        <f t="shared" si="45"/>
        <v>124.80999999999999</v>
      </c>
      <c r="AS68" s="175">
        <v>44651</v>
      </c>
      <c r="AT68" s="275">
        <f t="shared" si="42"/>
        <v>13.33</v>
      </c>
      <c r="AU68" s="273">
        <f t="shared" si="31"/>
        <v>0.84</v>
      </c>
      <c r="AV68" s="131">
        <f t="shared" si="28"/>
        <v>3.43</v>
      </c>
      <c r="AW68" s="131">
        <f t="shared" si="29"/>
        <v>1.71</v>
      </c>
      <c r="AX68" s="120">
        <f t="shared" si="46"/>
        <v>4.7699999999999996</v>
      </c>
      <c r="AY68">
        <f t="shared" si="43"/>
        <v>13.33</v>
      </c>
      <c r="AZ68" s="120">
        <f t="shared" si="44"/>
        <v>0.73</v>
      </c>
      <c r="BA68" s="137">
        <f>SUM(AU57:AZ68)</f>
        <v>314.62000000000006</v>
      </c>
      <c r="BB68" s="138">
        <f>SUM(AT60:AT68)</f>
        <v>124.80999999999999</v>
      </c>
      <c r="BC68" s="138">
        <f>BA68-BB68</f>
        <v>189.81000000000006</v>
      </c>
    </row>
    <row r="69" spans="1:55" x14ac:dyDescent="0.2">
      <c r="A69">
        <f t="shared" si="32"/>
        <v>10</v>
      </c>
      <c r="C69" s="175">
        <v>44681</v>
      </c>
      <c r="D69" s="118">
        <f>$H$68/36</f>
        <v>3.9027777777777786</v>
      </c>
      <c r="F69" s="177">
        <f>ROUND(H68*$G$48*30/365,2)</f>
        <v>0.84</v>
      </c>
      <c r="G69" s="120"/>
      <c r="H69" s="120">
        <f t="shared" si="47"/>
        <v>136.59722222222226</v>
      </c>
      <c r="I69">
        <f t="shared" si="34"/>
        <v>10</v>
      </c>
      <c r="K69" s="175">
        <v>44681</v>
      </c>
      <c r="M69" s="130">
        <v>0</v>
      </c>
      <c r="O69" s="177">
        <f t="shared" si="26"/>
        <v>3.43</v>
      </c>
      <c r="P69" s="120"/>
      <c r="Q69" s="136">
        <f t="shared" si="27"/>
        <v>545</v>
      </c>
      <c r="R69">
        <f t="shared" si="35"/>
        <v>10</v>
      </c>
      <c r="T69" s="175">
        <v>44681</v>
      </c>
      <c r="X69" s="177">
        <f t="shared" si="30"/>
        <v>1.71</v>
      </c>
      <c r="Y69" s="120"/>
      <c r="Z69" s="120">
        <f t="shared" si="48"/>
        <v>272</v>
      </c>
      <c r="AA69">
        <f t="shared" si="37"/>
        <v>10</v>
      </c>
      <c r="AC69" s="175">
        <v>44681</v>
      </c>
      <c r="AG69" s="177">
        <f t="shared" si="38"/>
        <v>4.7699999999999996</v>
      </c>
      <c r="AH69" s="120"/>
      <c r="AI69" s="120">
        <f t="shared" si="49"/>
        <v>725</v>
      </c>
      <c r="AJ69">
        <f t="shared" si="40"/>
        <v>10</v>
      </c>
      <c r="AL69" s="175">
        <v>44681</v>
      </c>
      <c r="AP69" s="177">
        <f t="shared" si="41"/>
        <v>0.82</v>
      </c>
      <c r="AQ69" s="120"/>
      <c r="AR69" s="120">
        <f t="shared" si="45"/>
        <v>138.13999999999999</v>
      </c>
      <c r="AS69" s="175">
        <v>44681</v>
      </c>
      <c r="AT69" s="120">
        <f t="shared" si="42"/>
        <v>13.33</v>
      </c>
      <c r="AU69" s="273">
        <f t="shared" si="31"/>
        <v>0.84</v>
      </c>
      <c r="AV69" s="131">
        <f t="shared" si="28"/>
        <v>3.43</v>
      </c>
      <c r="AW69" s="131">
        <f t="shared" si="29"/>
        <v>1.71</v>
      </c>
      <c r="AX69" s="120">
        <f t="shared" si="46"/>
        <v>4.7699999999999996</v>
      </c>
      <c r="AY69">
        <f t="shared" si="43"/>
        <v>13.33</v>
      </c>
      <c r="AZ69" s="120">
        <f t="shared" si="44"/>
        <v>0.82</v>
      </c>
    </row>
    <row r="70" spans="1:55" x14ac:dyDescent="0.2">
      <c r="A70">
        <f t="shared" si="32"/>
        <v>11</v>
      </c>
      <c r="C70" s="175">
        <v>44712</v>
      </c>
      <c r="D70" s="118">
        <f t="shared" ref="D70:D104" si="50">$H$68/36</f>
        <v>3.9027777777777786</v>
      </c>
      <c r="F70" s="177">
        <f>ROUND(H69*$G$48*30/365,2)</f>
        <v>0.82</v>
      </c>
      <c r="H70" s="120">
        <f t="shared" si="47"/>
        <v>132.69444444444449</v>
      </c>
      <c r="I70">
        <f t="shared" si="34"/>
        <v>11</v>
      </c>
      <c r="K70" s="175">
        <v>44712</v>
      </c>
      <c r="M70" s="130">
        <v>0</v>
      </c>
      <c r="O70" s="177">
        <f t="shared" si="26"/>
        <v>3.43</v>
      </c>
      <c r="Q70" s="136">
        <f t="shared" si="27"/>
        <v>545</v>
      </c>
      <c r="R70">
        <f t="shared" si="35"/>
        <v>11</v>
      </c>
      <c r="T70" s="175">
        <v>44712</v>
      </c>
      <c r="X70" s="177">
        <f t="shared" si="30"/>
        <v>1.71</v>
      </c>
      <c r="Z70" s="120">
        <f t="shared" si="48"/>
        <v>272</v>
      </c>
      <c r="AA70">
        <f t="shared" si="37"/>
        <v>11</v>
      </c>
      <c r="AC70" s="175">
        <v>44712</v>
      </c>
      <c r="AG70" s="177">
        <f t="shared" si="38"/>
        <v>4.7699999999999996</v>
      </c>
      <c r="AI70" s="120">
        <f t="shared" si="49"/>
        <v>725</v>
      </c>
      <c r="AJ70">
        <f t="shared" si="40"/>
        <v>11</v>
      </c>
      <c r="AL70" s="175">
        <v>44712</v>
      </c>
      <c r="AP70" s="177">
        <f t="shared" si="41"/>
        <v>0.91</v>
      </c>
      <c r="AR70" s="120">
        <f t="shared" si="45"/>
        <v>151.47</v>
      </c>
      <c r="AS70" s="175">
        <v>44712</v>
      </c>
      <c r="AT70" s="120">
        <f t="shared" si="42"/>
        <v>13.33</v>
      </c>
      <c r="AU70" s="273">
        <f t="shared" si="31"/>
        <v>0.82</v>
      </c>
      <c r="AV70" s="131">
        <f t="shared" si="28"/>
        <v>3.43</v>
      </c>
      <c r="AW70" s="131">
        <f t="shared" si="29"/>
        <v>1.71</v>
      </c>
      <c r="AX70" s="120">
        <f t="shared" si="46"/>
        <v>4.7699999999999996</v>
      </c>
      <c r="AY70">
        <f t="shared" si="43"/>
        <v>13.33</v>
      </c>
      <c r="AZ70" s="120">
        <f t="shared" si="44"/>
        <v>0.91</v>
      </c>
    </row>
    <row r="71" spans="1:55" x14ac:dyDescent="0.2">
      <c r="A71">
        <f t="shared" si="32"/>
        <v>12</v>
      </c>
      <c r="C71" s="175">
        <v>44742</v>
      </c>
      <c r="D71" s="118">
        <f t="shared" si="50"/>
        <v>3.9027777777777786</v>
      </c>
      <c r="F71" s="177">
        <f>ROUND(H70*$G$48*30/365,2)</f>
        <v>0.8</v>
      </c>
      <c r="H71" s="120">
        <f t="shared" si="47"/>
        <v>128.79166666666671</v>
      </c>
      <c r="I71">
        <f t="shared" si="34"/>
        <v>12</v>
      </c>
      <c r="K71" s="175">
        <v>44742</v>
      </c>
      <c r="M71" s="130">
        <v>0</v>
      </c>
      <c r="O71" s="177">
        <f t="shared" si="26"/>
        <v>3.43</v>
      </c>
      <c r="Q71" s="136">
        <f t="shared" si="27"/>
        <v>545</v>
      </c>
      <c r="R71">
        <f t="shared" si="35"/>
        <v>12</v>
      </c>
      <c r="T71" s="175">
        <v>44742</v>
      </c>
      <c r="X71" s="177">
        <f t="shared" si="30"/>
        <v>1.71</v>
      </c>
      <c r="Z71" s="120">
        <f t="shared" si="48"/>
        <v>272</v>
      </c>
      <c r="AA71">
        <f t="shared" si="37"/>
        <v>12</v>
      </c>
      <c r="AC71" s="175">
        <v>44742</v>
      </c>
      <c r="AG71" s="177">
        <f t="shared" si="38"/>
        <v>4.7699999999999996</v>
      </c>
      <c r="AI71" s="120">
        <f t="shared" si="49"/>
        <v>725</v>
      </c>
      <c r="AJ71">
        <f t="shared" si="40"/>
        <v>12</v>
      </c>
      <c r="AL71" s="175">
        <v>44742</v>
      </c>
      <c r="AP71" s="177">
        <f t="shared" si="41"/>
        <v>1</v>
      </c>
      <c r="AR71" s="120">
        <f t="shared" si="45"/>
        <v>164.8</v>
      </c>
      <c r="AS71" s="175">
        <v>44742</v>
      </c>
      <c r="AT71" s="120">
        <f t="shared" si="42"/>
        <v>13.33</v>
      </c>
      <c r="AU71" s="273">
        <f t="shared" si="31"/>
        <v>0.8</v>
      </c>
      <c r="AV71" s="131">
        <f t="shared" si="28"/>
        <v>3.43</v>
      </c>
      <c r="AW71" s="131">
        <f t="shared" si="29"/>
        <v>1.71</v>
      </c>
      <c r="AX71" s="120">
        <f t="shared" si="46"/>
        <v>4.7699999999999996</v>
      </c>
      <c r="AY71">
        <f t="shared" si="43"/>
        <v>13.33</v>
      </c>
      <c r="AZ71" s="120">
        <f t="shared" si="44"/>
        <v>1</v>
      </c>
    </row>
    <row r="72" spans="1:55" x14ac:dyDescent="0.2">
      <c r="A72">
        <f t="shared" si="32"/>
        <v>13</v>
      </c>
      <c r="C72" s="175">
        <v>44773</v>
      </c>
      <c r="D72" s="118">
        <f t="shared" si="50"/>
        <v>3.9027777777777786</v>
      </c>
      <c r="F72" s="177">
        <f>ROUND(H71*$G$48*30/365,2)</f>
        <v>0.77</v>
      </c>
      <c r="H72" s="120">
        <f t="shared" si="47"/>
        <v>124.88888888888894</v>
      </c>
      <c r="I72">
        <f t="shared" si="34"/>
        <v>13</v>
      </c>
      <c r="K72" s="175">
        <v>44773</v>
      </c>
      <c r="M72" s="130">
        <v>0</v>
      </c>
      <c r="O72" s="177">
        <f t="shared" si="26"/>
        <v>3.43</v>
      </c>
      <c r="Q72" s="136">
        <f t="shared" si="27"/>
        <v>545</v>
      </c>
      <c r="R72">
        <f t="shared" si="35"/>
        <v>13</v>
      </c>
      <c r="T72" s="175">
        <v>44773</v>
      </c>
      <c r="V72" s="118"/>
      <c r="X72" s="177">
        <f t="shared" si="30"/>
        <v>1.71</v>
      </c>
      <c r="Z72" s="120">
        <f t="shared" si="48"/>
        <v>272</v>
      </c>
      <c r="AA72">
        <f t="shared" si="37"/>
        <v>13</v>
      </c>
      <c r="AC72" s="175">
        <v>44773</v>
      </c>
      <c r="AE72" s="118"/>
      <c r="AG72" s="177">
        <f t="shared" si="38"/>
        <v>4.7699999999999996</v>
      </c>
      <c r="AI72" s="120">
        <f t="shared" si="49"/>
        <v>725</v>
      </c>
      <c r="AJ72">
        <f t="shared" si="40"/>
        <v>13</v>
      </c>
      <c r="AL72" s="175">
        <v>44773</v>
      </c>
      <c r="AN72" s="118"/>
      <c r="AP72" s="177">
        <f t="shared" si="41"/>
        <v>1.08</v>
      </c>
      <c r="AR72" s="120">
        <f t="shared" si="45"/>
        <v>178.13000000000002</v>
      </c>
      <c r="AS72" s="175">
        <v>44773</v>
      </c>
      <c r="AT72" s="120">
        <f t="shared" si="42"/>
        <v>13.33</v>
      </c>
      <c r="AU72" s="273">
        <f t="shared" si="31"/>
        <v>0.77</v>
      </c>
      <c r="AV72" s="131">
        <f t="shared" si="28"/>
        <v>3.43</v>
      </c>
      <c r="AW72" s="131">
        <f t="shared" si="29"/>
        <v>1.71</v>
      </c>
      <c r="AX72" s="120">
        <f t="shared" si="46"/>
        <v>4.7699999999999996</v>
      </c>
      <c r="AY72">
        <f t="shared" si="43"/>
        <v>13.33</v>
      </c>
      <c r="AZ72" s="120">
        <f t="shared" si="44"/>
        <v>1.08</v>
      </c>
    </row>
    <row r="73" spans="1:55" x14ac:dyDescent="0.2">
      <c r="A73">
        <f t="shared" si="32"/>
        <v>14</v>
      </c>
      <c r="C73" s="175">
        <v>44804</v>
      </c>
      <c r="D73" s="118">
        <f t="shared" si="50"/>
        <v>3.9027777777777786</v>
      </c>
      <c r="F73" s="177">
        <f>ROUND(H72*$G$48*30/365,2)</f>
        <v>0.75</v>
      </c>
      <c r="H73" s="120">
        <f t="shared" si="47"/>
        <v>120.98611111111117</v>
      </c>
      <c r="I73">
        <f t="shared" si="34"/>
        <v>14</v>
      </c>
      <c r="K73" s="175">
        <v>44804</v>
      </c>
      <c r="M73" s="118">
        <f>$Q$72/36</f>
        <v>15.138888888888889</v>
      </c>
      <c r="O73" s="177">
        <f t="shared" si="26"/>
        <v>3.43</v>
      </c>
      <c r="Q73" s="120">
        <f t="shared" ref="Q73:Q108" si="51">Q72-M73</f>
        <v>529.86111111111109</v>
      </c>
      <c r="R73">
        <f t="shared" si="35"/>
        <v>14</v>
      </c>
      <c r="T73" s="175">
        <v>44804</v>
      </c>
      <c r="V73" s="118"/>
      <c r="X73" s="177">
        <f t="shared" si="30"/>
        <v>1.71</v>
      </c>
      <c r="Z73" s="120">
        <f t="shared" si="48"/>
        <v>272</v>
      </c>
      <c r="AA73">
        <f t="shared" si="37"/>
        <v>14</v>
      </c>
      <c r="AC73" s="175">
        <v>44804</v>
      </c>
      <c r="AE73" s="118"/>
      <c r="AG73" s="177">
        <f t="shared" si="38"/>
        <v>4.7699999999999996</v>
      </c>
      <c r="AI73" s="120">
        <f t="shared" si="49"/>
        <v>725</v>
      </c>
      <c r="AJ73">
        <f t="shared" si="40"/>
        <v>14</v>
      </c>
      <c r="AL73" s="175">
        <v>44804</v>
      </c>
      <c r="AN73" s="118"/>
      <c r="AP73" s="177">
        <f t="shared" si="41"/>
        <v>1.17</v>
      </c>
      <c r="AR73" s="120">
        <f t="shared" si="45"/>
        <v>191.46000000000004</v>
      </c>
      <c r="AS73" s="175">
        <v>44804</v>
      </c>
      <c r="AT73" s="120">
        <f t="shared" si="42"/>
        <v>13.33</v>
      </c>
      <c r="AU73" s="273">
        <f t="shared" si="31"/>
        <v>0.75</v>
      </c>
      <c r="AV73" s="131">
        <f t="shared" si="28"/>
        <v>3.43</v>
      </c>
      <c r="AW73" s="131">
        <f t="shared" si="29"/>
        <v>1.71</v>
      </c>
      <c r="AX73" s="120">
        <f t="shared" si="46"/>
        <v>4.7699999999999996</v>
      </c>
      <c r="AY73">
        <f t="shared" si="43"/>
        <v>13.33</v>
      </c>
      <c r="AZ73" s="120">
        <f t="shared" si="44"/>
        <v>1.17</v>
      </c>
    </row>
    <row r="74" spans="1:55" x14ac:dyDescent="0.2">
      <c r="A74">
        <f t="shared" ref="A74:A108" si="52">A73+1</f>
        <v>15</v>
      </c>
      <c r="C74" s="175">
        <v>44834</v>
      </c>
      <c r="D74" s="118">
        <f t="shared" si="50"/>
        <v>3.9027777777777786</v>
      </c>
      <c r="F74" s="177">
        <f>ROUND(H73*$G$48*30/365,2)</f>
        <v>0.73</v>
      </c>
      <c r="H74" s="120">
        <f t="shared" si="47"/>
        <v>117.0833333333334</v>
      </c>
      <c r="I74">
        <f t="shared" si="34"/>
        <v>15</v>
      </c>
      <c r="K74" s="175">
        <v>44834</v>
      </c>
      <c r="M74" s="118">
        <f t="shared" ref="M74:M108" si="53">M73</f>
        <v>15.138888888888889</v>
      </c>
      <c r="O74" s="177">
        <f t="shared" si="26"/>
        <v>3.33</v>
      </c>
      <c r="Q74" s="120">
        <f t="shared" si="51"/>
        <v>514.72222222222217</v>
      </c>
      <c r="R74">
        <f t="shared" si="35"/>
        <v>15</v>
      </c>
      <c r="T74" s="175">
        <v>44834</v>
      </c>
      <c r="V74" s="118"/>
      <c r="X74" s="177">
        <f t="shared" si="30"/>
        <v>1.71</v>
      </c>
      <c r="Z74" s="120">
        <f t="shared" si="48"/>
        <v>272</v>
      </c>
      <c r="AA74">
        <f t="shared" si="37"/>
        <v>15</v>
      </c>
      <c r="AC74" s="175">
        <v>44834</v>
      </c>
      <c r="AE74" s="118"/>
      <c r="AG74" s="177">
        <f t="shared" si="38"/>
        <v>4.7699999999999996</v>
      </c>
      <c r="AI74" s="120">
        <f t="shared" si="49"/>
        <v>725</v>
      </c>
      <c r="AJ74">
        <f t="shared" si="40"/>
        <v>15</v>
      </c>
      <c r="AL74" s="175">
        <v>44834</v>
      </c>
      <c r="AN74" s="118"/>
      <c r="AP74" s="177">
        <f t="shared" si="41"/>
        <v>1.26</v>
      </c>
      <c r="AR74" s="120">
        <f t="shared" si="45"/>
        <v>204.79000000000005</v>
      </c>
      <c r="AS74" s="175">
        <v>44834</v>
      </c>
      <c r="AT74" s="120">
        <f t="shared" si="42"/>
        <v>13.33</v>
      </c>
      <c r="AU74" s="273">
        <f t="shared" si="31"/>
        <v>0.73</v>
      </c>
      <c r="AV74" s="131">
        <f t="shared" si="28"/>
        <v>3.33</v>
      </c>
      <c r="AW74" s="131">
        <f t="shared" si="29"/>
        <v>1.71</v>
      </c>
      <c r="AX74" s="120">
        <f t="shared" si="46"/>
        <v>4.7699999999999996</v>
      </c>
      <c r="AY74">
        <f t="shared" si="43"/>
        <v>13.33</v>
      </c>
      <c r="AZ74" s="120">
        <f t="shared" si="44"/>
        <v>1.26</v>
      </c>
    </row>
    <row r="75" spans="1:55" x14ac:dyDescent="0.2">
      <c r="A75">
        <f t="shared" si="52"/>
        <v>16</v>
      </c>
      <c r="C75" s="175">
        <v>44865</v>
      </c>
      <c r="D75" s="118">
        <f t="shared" si="50"/>
        <v>3.9027777777777786</v>
      </c>
      <c r="F75" s="177">
        <f>ROUND(H74*$G$48*30/365,2)</f>
        <v>0.7</v>
      </c>
      <c r="H75" s="120">
        <f t="shared" si="47"/>
        <v>113.18055555555563</v>
      </c>
      <c r="I75">
        <f t="shared" si="34"/>
        <v>16</v>
      </c>
      <c r="K75" s="175">
        <v>44865</v>
      </c>
      <c r="M75" s="118">
        <f t="shared" si="53"/>
        <v>15.138888888888889</v>
      </c>
      <c r="O75" s="177">
        <f t="shared" si="26"/>
        <v>3.24</v>
      </c>
      <c r="Q75" s="120">
        <f t="shared" si="51"/>
        <v>499.58333333333326</v>
      </c>
      <c r="R75">
        <f t="shared" si="35"/>
        <v>16</v>
      </c>
      <c r="T75" s="175">
        <v>44865</v>
      </c>
      <c r="V75" s="118"/>
      <c r="X75" s="177">
        <f t="shared" si="30"/>
        <v>1.71</v>
      </c>
      <c r="Z75" s="120">
        <f t="shared" si="48"/>
        <v>272</v>
      </c>
      <c r="AA75">
        <f t="shared" si="37"/>
        <v>16</v>
      </c>
      <c r="AC75" s="175">
        <v>44865</v>
      </c>
      <c r="AE75" s="118"/>
      <c r="AG75" s="177">
        <f t="shared" si="38"/>
        <v>4.7699999999999996</v>
      </c>
      <c r="AI75" s="120">
        <f t="shared" si="49"/>
        <v>725</v>
      </c>
      <c r="AJ75">
        <f t="shared" si="40"/>
        <v>16</v>
      </c>
      <c r="AL75" s="175">
        <v>44865</v>
      </c>
      <c r="AN75" s="118"/>
      <c r="AP75" s="177">
        <f t="shared" si="41"/>
        <v>1.35</v>
      </c>
      <c r="AR75" s="120">
        <f t="shared" si="45"/>
        <v>218.12000000000006</v>
      </c>
      <c r="AS75" s="175">
        <v>44865</v>
      </c>
      <c r="AT75" s="120">
        <f t="shared" si="42"/>
        <v>13.33</v>
      </c>
      <c r="AU75" s="273">
        <f t="shared" si="31"/>
        <v>0.7</v>
      </c>
      <c r="AV75" s="131">
        <f t="shared" si="28"/>
        <v>3.24</v>
      </c>
      <c r="AW75" s="131">
        <f t="shared" si="29"/>
        <v>1.71</v>
      </c>
      <c r="AX75" s="120">
        <f t="shared" si="46"/>
        <v>4.7699999999999996</v>
      </c>
      <c r="AY75">
        <f t="shared" si="43"/>
        <v>13.33</v>
      </c>
      <c r="AZ75" s="120">
        <f t="shared" si="44"/>
        <v>1.35</v>
      </c>
    </row>
    <row r="76" spans="1:55" x14ac:dyDescent="0.2">
      <c r="A76">
        <f t="shared" si="52"/>
        <v>17</v>
      </c>
      <c r="C76" s="175">
        <v>44895</v>
      </c>
      <c r="D76" s="118">
        <f t="shared" si="50"/>
        <v>3.9027777777777786</v>
      </c>
      <c r="F76" s="177">
        <f>ROUND(H75*$G$48*30/365,2)</f>
        <v>0.68</v>
      </c>
      <c r="H76" s="120">
        <f t="shared" si="47"/>
        <v>109.27777777777786</v>
      </c>
      <c r="I76">
        <f t="shared" si="34"/>
        <v>17</v>
      </c>
      <c r="K76" s="175">
        <v>44895</v>
      </c>
      <c r="M76" s="118">
        <f t="shared" si="53"/>
        <v>15.138888888888889</v>
      </c>
      <c r="O76" s="177">
        <f t="shared" si="26"/>
        <v>3.14</v>
      </c>
      <c r="Q76" s="120">
        <f t="shared" si="51"/>
        <v>484.44444444444434</v>
      </c>
      <c r="R76">
        <f t="shared" si="35"/>
        <v>17</v>
      </c>
      <c r="T76" s="175">
        <v>44895</v>
      </c>
      <c r="V76" s="118"/>
      <c r="X76" s="177">
        <f t="shared" si="30"/>
        <v>1.71</v>
      </c>
      <c r="Z76" s="120">
        <f t="shared" si="48"/>
        <v>272</v>
      </c>
      <c r="AA76">
        <f t="shared" si="37"/>
        <v>17</v>
      </c>
      <c r="AC76" s="175">
        <v>44895</v>
      </c>
      <c r="AE76" s="118"/>
      <c r="AG76" s="177">
        <f t="shared" si="38"/>
        <v>4.7699999999999996</v>
      </c>
      <c r="AI76" s="120">
        <f t="shared" si="49"/>
        <v>725</v>
      </c>
      <c r="AJ76">
        <f t="shared" si="40"/>
        <v>17</v>
      </c>
      <c r="AL76" s="175">
        <v>44895</v>
      </c>
      <c r="AN76" s="118"/>
      <c r="AP76" s="177">
        <f t="shared" si="41"/>
        <v>1.43</v>
      </c>
      <c r="AR76" s="120">
        <f t="shared" si="45"/>
        <v>231.45000000000007</v>
      </c>
      <c r="AS76" s="175">
        <v>44895</v>
      </c>
      <c r="AT76" s="120">
        <f t="shared" si="42"/>
        <v>13.33</v>
      </c>
      <c r="AU76" s="273">
        <f t="shared" si="31"/>
        <v>0.68</v>
      </c>
      <c r="AV76" s="131">
        <f t="shared" si="28"/>
        <v>3.14</v>
      </c>
      <c r="AW76" s="131">
        <f t="shared" si="29"/>
        <v>1.71</v>
      </c>
      <c r="AX76" s="120">
        <f t="shared" si="46"/>
        <v>4.7699999999999996</v>
      </c>
      <c r="AY76">
        <f t="shared" si="43"/>
        <v>13.33</v>
      </c>
      <c r="AZ76" s="120">
        <f t="shared" si="44"/>
        <v>1.43</v>
      </c>
    </row>
    <row r="77" spans="1:55" x14ac:dyDescent="0.2">
      <c r="A77">
        <f t="shared" si="52"/>
        <v>18</v>
      </c>
      <c r="C77" s="175">
        <v>44926</v>
      </c>
      <c r="D77" s="118">
        <f t="shared" si="50"/>
        <v>3.9027777777777786</v>
      </c>
      <c r="F77" s="177">
        <f>ROUND(H76*$G$48*30/365,2)</f>
        <v>0.66</v>
      </c>
      <c r="H77" s="120">
        <f t="shared" si="47"/>
        <v>105.37500000000009</v>
      </c>
      <c r="I77">
        <f t="shared" si="34"/>
        <v>18</v>
      </c>
      <c r="K77" s="175">
        <v>44926</v>
      </c>
      <c r="M77" s="118">
        <f t="shared" si="53"/>
        <v>15.138888888888889</v>
      </c>
      <c r="O77" s="177">
        <f t="shared" si="26"/>
        <v>3.05</v>
      </c>
      <c r="Q77" s="120">
        <f t="shared" si="51"/>
        <v>469.30555555555543</v>
      </c>
      <c r="R77">
        <f t="shared" si="35"/>
        <v>18</v>
      </c>
      <c r="T77" s="175">
        <v>44926</v>
      </c>
      <c r="V77" s="118"/>
      <c r="X77" s="177">
        <f t="shared" si="30"/>
        <v>1.71</v>
      </c>
      <c r="Z77" s="120">
        <f t="shared" si="48"/>
        <v>272</v>
      </c>
      <c r="AA77">
        <f t="shared" si="37"/>
        <v>18</v>
      </c>
      <c r="AC77" s="175">
        <v>44926</v>
      </c>
      <c r="AE77" s="118"/>
      <c r="AG77" s="177">
        <f t="shared" si="38"/>
        <v>4.7699999999999996</v>
      </c>
      <c r="AI77" s="120">
        <f t="shared" si="49"/>
        <v>725</v>
      </c>
      <c r="AJ77">
        <f t="shared" si="40"/>
        <v>18</v>
      </c>
      <c r="AL77" s="175">
        <v>44926</v>
      </c>
      <c r="AN77" s="118"/>
      <c r="AP77" s="177">
        <f t="shared" si="41"/>
        <v>1.52</v>
      </c>
      <c r="AR77" s="120">
        <f t="shared" si="45"/>
        <v>244.78000000000009</v>
      </c>
      <c r="AS77" s="175">
        <v>44926</v>
      </c>
      <c r="AT77" s="120">
        <f t="shared" si="42"/>
        <v>13.33</v>
      </c>
      <c r="AU77" s="273">
        <f t="shared" si="31"/>
        <v>0.66</v>
      </c>
      <c r="AV77" s="131">
        <f t="shared" si="28"/>
        <v>3.05</v>
      </c>
      <c r="AW77" s="131">
        <f t="shared" si="29"/>
        <v>1.71</v>
      </c>
      <c r="AX77" s="120">
        <f t="shared" si="46"/>
        <v>4.7699999999999996</v>
      </c>
      <c r="AY77">
        <f t="shared" si="43"/>
        <v>13.33</v>
      </c>
      <c r="AZ77" s="120">
        <f t="shared" si="44"/>
        <v>1.52</v>
      </c>
    </row>
    <row r="78" spans="1:55" x14ac:dyDescent="0.2">
      <c r="A78">
        <f t="shared" si="52"/>
        <v>19</v>
      </c>
      <c r="C78" s="175">
        <v>44957</v>
      </c>
      <c r="D78" s="118">
        <f t="shared" si="50"/>
        <v>3.9027777777777786</v>
      </c>
      <c r="F78" s="177">
        <f>ROUND(H77*$G$48*30/365,2)</f>
        <v>0.63</v>
      </c>
      <c r="H78" s="120">
        <f t="shared" si="47"/>
        <v>101.47222222222231</v>
      </c>
      <c r="I78">
        <f t="shared" si="34"/>
        <v>19</v>
      </c>
      <c r="K78" s="175">
        <v>44957</v>
      </c>
      <c r="M78" s="118">
        <f t="shared" si="53"/>
        <v>15.138888888888889</v>
      </c>
      <c r="O78" s="177">
        <f t="shared" si="26"/>
        <v>2.95</v>
      </c>
      <c r="Q78" s="120">
        <f t="shared" si="51"/>
        <v>454.16666666666652</v>
      </c>
      <c r="R78">
        <f t="shared" si="35"/>
        <v>19</v>
      </c>
      <c r="T78" s="175">
        <v>44957</v>
      </c>
      <c r="V78" s="118"/>
      <c r="X78" s="177">
        <f t="shared" si="30"/>
        <v>1.71</v>
      </c>
      <c r="Z78" s="120">
        <f t="shared" si="48"/>
        <v>272</v>
      </c>
      <c r="AA78">
        <f t="shared" si="37"/>
        <v>19</v>
      </c>
      <c r="AC78" s="175">
        <v>44957</v>
      </c>
      <c r="AE78" s="118"/>
      <c r="AG78" s="177">
        <f t="shared" si="38"/>
        <v>4.7699999999999996</v>
      </c>
      <c r="AI78" s="120">
        <f t="shared" si="49"/>
        <v>725</v>
      </c>
      <c r="AJ78">
        <f t="shared" si="40"/>
        <v>19</v>
      </c>
      <c r="AL78" s="175">
        <v>44957</v>
      </c>
      <c r="AN78" s="118"/>
      <c r="AP78" s="177">
        <f t="shared" si="41"/>
        <v>1.61</v>
      </c>
      <c r="AR78" s="120">
        <f t="shared" si="45"/>
        <v>258.11000000000007</v>
      </c>
      <c r="AS78" s="175">
        <v>44957</v>
      </c>
      <c r="AT78" s="120">
        <f t="shared" si="42"/>
        <v>13.33</v>
      </c>
      <c r="AU78" s="273">
        <f t="shared" si="31"/>
        <v>0.63</v>
      </c>
      <c r="AV78" s="131">
        <f t="shared" si="28"/>
        <v>2.95</v>
      </c>
      <c r="AW78" s="131">
        <f t="shared" si="29"/>
        <v>1.71</v>
      </c>
      <c r="AX78" s="120">
        <f t="shared" si="46"/>
        <v>4.7699999999999996</v>
      </c>
      <c r="AY78">
        <f t="shared" si="43"/>
        <v>13.33</v>
      </c>
      <c r="AZ78" s="120">
        <f t="shared" si="44"/>
        <v>1.61</v>
      </c>
    </row>
    <row r="79" spans="1:55" x14ac:dyDescent="0.2">
      <c r="A79">
        <f t="shared" si="52"/>
        <v>20</v>
      </c>
      <c r="C79" s="175">
        <v>44985</v>
      </c>
      <c r="D79" s="118">
        <f t="shared" si="50"/>
        <v>3.9027777777777786</v>
      </c>
      <c r="F79" s="177">
        <f>ROUND(H78*$G$48*30/365,2)</f>
        <v>0.61</v>
      </c>
      <c r="H79" s="120">
        <f t="shared" si="47"/>
        <v>97.569444444444542</v>
      </c>
      <c r="I79">
        <f t="shared" si="34"/>
        <v>20</v>
      </c>
      <c r="K79" s="175">
        <v>44985</v>
      </c>
      <c r="M79" s="118">
        <f t="shared" si="53"/>
        <v>15.138888888888889</v>
      </c>
      <c r="O79" s="177">
        <f t="shared" si="26"/>
        <v>2.86</v>
      </c>
      <c r="Q79" s="120">
        <f t="shared" si="51"/>
        <v>439.0277777777776</v>
      </c>
      <c r="R79">
        <f t="shared" si="35"/>
        <v>20</v>
      </c>
      <c r="T79" s="175">
        <v>44985</v>
      </c>
      <c r="V79" s="118"/>
      <c r="X79" s="177">
        <f t="shared" si="30"/>
        <v>1.71</v>
      </c>
      <c r="Z79" s="120">
        <f t="shared" si="48"/>
        <v>272</v>
      </c>
      <c r="AA79">
        <f t="shared" si="37"/>
        <v>20</v>
      </c>
      <c r="AC79" s="175">
        <v>44985</v>
      </c>
      <c r="AE79" s="118"/>
      <c r="AG79" s="177">
        <f t="shared" si="38"/>
        <v>4.7699999999999996</v>
      </c>
      <c r="AI79" s="120">
        <f t="shared" si="49"/>
        <v>725</v>
      </c>
      <c r="AJ79">
        <f t="shared" si="40"/>
        <v>20</v>
      </c>
      <c r="AL79" s="175">
        <v>44985</v>
      </c>
      <c r="AN79" s="118"/>
      <c r="AP79" s="177">
        <f t="shared" si="41"/>
        <v>1.7</v>
      </c>
      <c r="AR79" s="120">
        <f t="shared" si="45"/>
        <v>271.44000000000005</v>
      </c>
      <c r="AS79" s="175">
        <v>44985</v>
      </c>
      <c r="AT79" s="120">
        <f t="shared" si="42"/>
        <v>13.33</v>
      </c>
      <c r="AU79" s="273">
        <f t="shared" si="31"/>
        <v>0.61</v>
      </c>
      <c r="AV79" s="131">
        <f t="shared" si="28"/>
        <v>2.86</v>
      </c>
      <c r="AW79" s="131">
        <f t="shared" si="29"/>
        <v>1.71</v>
      </c>
      <c r="AX79" s="120">
        <f t="shared" si="46"/>
        <v>4.7699999999999996</v>
      </c>
      <c r="AY79">
        <f t="shared" si="43"/>
        <v>13.33</v>
      </c>
      <c r="AZ79" s="120">
        <f t="shared" si="44"/>
        <v>1.7</v>
      </c>
    </row>
    <row r="80" spans="1:55" s="137" customFormat="1" x14ac:dyDescent="0.2">
      <c r="A80" s="137">
        <f t="shared" si="52"/>
        <v>21</v>
      </c>
      <c r="C80" s="175">
        <v>45016</v>
      </c>
      <c r="D80" s="118">
        <f t="shared" si="50"/>
        <v>3.9027777777777786</v>
      </c>
      <c r="E80" s="138">
        <f>SUM(D69:D80)</f>
        <v>46.833333333333343</v>
      </c>
      <c r="F80" s="177">
        <f>ROUND(H79*$G$48*30/365,2)</f>
        <v>0.59</v>
      </c>
      <c r="G80" s="138">
        <f>SUM(F69:F80)</f>
        <v>8.58</v>
      </c>
      <c r="H80" s="138">
        <f t="shared" si="47"/>
        <v>93.666666666666771</v>
      </c>
      <c r="I80" s="137">
        <f t="shared" si="34"/>
        <v>21</v>
      </c>
      <c r="K80" s="175">
        <v>45016</v>
      </c>
      <c r="M80" s="139">
        <f t="shared" si="53"/>
        <v>15.138888888888889</v>
      </c>
      <c r="N80" s="138">
        <f>SUM(M69:M80)</f>
        <v>121.1111111111111</v>
      </c>
      <c r="O80" s="177">
        <f t="shared" si="26"/>
        <v>2.76</v>
      </c>
      <c r="P80" s="138">
        <f>SUM(O69:O80)</f>
        <v>38.480000000000004</v>
      </c>
      <c r="Q80" s="138">
        <f t="shared" si="51"/>
        <v>423.88888888888869</v>
      </c>
      <c r="R80" s="137">
        <f t="shared" si="35"/>
        <v>21</v>
      </c>
      <c r="T80" s="175">
        <v>45016</v>
      </c>
      <c r="V80" s="139"/>
      <c r="W80" s="138">
        <f>SUM(V69:V80)</f>
        <v>0</v>
      </c>
      <c r="X80" s="177">
        <f t="shared" si="30"/>
        <v>1.71</v>
      </c>
      <c r="Y80" s="138">
        <f>SUM(X69:X80)</f>
        <v>20.520000000000007</v>
      </c>
      <c r="Z80" s="138">
        <f t="shared" si="48"/>
        <v>272</v>
      </c>
      <c r="AA80" s="137">
        <f t="shared" si="37"/>
        <v>21</v>
      </c>
      <c r="AC80" s="175">
        <v>45016</v>
      </c>
      <c r="AE80" s="139"/>
      <c r="AF80" s="138">
        <f>SUM(AE69:AE80)</f>
        <v>0</v>
      </c>
      <c r="AG80" s="177">
        <f t="shared" si="38"/>
        <v>4.7699999999999996</v>
      </c>
      <c r="AH80" s="138">
        <f>SUM(AG69:AG80)</f>
        <v>57.239999999999981</v>
      </c>
      <c r="AI80" s="138">
        <f t="shared" si="49"/>
        <v>725</v>
      </c>
      <c r="AJ80" s="137">
        <f t="shared" si="40"/>
        <v>21</v>
      </c>
      <c r="AL80" s="175">
        <v>45016</v>
      </c>
      <c r="AN80" s="139"/>
      <c r="AO80" s="138">
        <f>SUM(AN69:AN80)</f>
        <v>0</v>
      </c>
      <c r="AP80" s="177">
        <f t="shared" si="41"/>
        <v>1.78</v>
      </c>
      <c r="AQ80" s="138">
        <f>SUM(AP69:AP80)</f>
        <v>15.629999999999997</v>
      </c>
      <c r="AR80" s="120">
        <f t="shared" si="45"/>
        <v>285.09000000000003</v>
      </c>
      <c r="AS80" s="175">
        <v>45016</v>
      </c>
      <c r="AT80" s="275">
        <f t="shared" si="42"/>
        <v>13.65</v>
      </c>
      <c r="AU80" s="273">
        <f t="shared" si="31"/>
        <v>0.59</v>
      </c>
      <c r="AV80" s="131">
        <f t="shared" si="28"/>
        <v>2.76</v>
      </c>
      <c r="AW80" s="131">
        <f t="shared" si="29"/>
        <v>1.71</v>
      </c>
      <c r="AX80" s="120">
        <f t="shared" si="46"/>
        <v>4.7699999999999996</v>
      </c>
      <c r="AY80">
        <f>ROUND($AY$53*$AY$50/12,2)+0.32</f>
        <v>13.65</v>
      </c>
      <c r="AZ80" s="120">
        <f t="shared" si="44"/>
        <v>1.78</v>
      </c>
      <c r="BA80" s="137">
        <f>SUM(AU69:AZ80)</f>
        <v>300.73</v>
      </c>
      <c r="BB80" s="138">
        <f>SUM(AT69:AT80)</f>
        <v>160.28000000000003</v>
      </c>
      <c r="BC80" s="138">
        <f>BA80-BB80</f>
        <v>140.44999999999999</v>
      </c>
    </row>
    <row r="81" spans="1:55" x14ac:dyDescent="0.2">
      <c r="A81">
        <f t="shared" si="52"/>
        <v>22</v>
      </c>
      <c r="C81" s="175">
        <v>45046</v>
      </c>
      <c r="D81" s="118">
        <f t="shared" si="50"/>
        <v>3.9027777777777786</v>
      </c>
      <c r="F81" s="177">
        <f>ROUND(H80*$G$48*30/365,2)</f>
        <v>0.56000000000000005</v>
      </c>
      <c r="H81" s="120">
        <f t="shared" si="47"/>
        <v>89.763888888888999</v>
      </c>
      <c r="I81">
        <f t="shared" si="34"/>
        <v>22</v>
      </c>
      <c r="K81" s="175">
        <v>45046</v>
      </c>
      <c r="M81" s="118">
        <f t="shared" si="53"/>
        <v>15.138888888888889</v>
      </c>
      <c r="O81" s="177">
        <f t="shared" si="26"/>
        <v>2.67</v>
      </c>
      <c r="Q81" s="120">
        <f t="shared" si="51"/>
        <v>408.74999999999977</v>
      </c>
      <c r="R81">
        <f t="shared" si="35"/>
        <v>22</v>
      </c>
      <c r="T81" s="175">
        <v>45046</v>
      </c>
      <c r="V81" s="118"/>
      <c r="X81" s="177">
        <f t="shared" si="30"/>
        <v>1.71</v>
      </c>
      <c r="Z81" s="120">
        <f t="shared" si="48"/>
        <v>272</v>
      </c>
      <c r="AA81">
        <f t="shared" si="37"/>
        <v>22</v>
      </c>
      <c r="AC81" s="175">
        <v>45046</v>
      </c>
      <c r="AE81" s="118"/>
      <c r="AG81" s="177">
        <f t="shared" si="38"/>
        <v>4.7699999999999996</v>
      </c>
      <c r="AI81" s="120">
        <f t="shared" si="49"/>
        <v>725</v>
      </c>
      <c r="AJ81">
        <f t="shared" si="40"/>
        <v>22</v>
      </c>
      <c r="AL81" s="175">
        <v>45046</v>
      </c>
      <c r="AN81" s="118"/>
      <c r="AP81" s="177">
        <f>ROUND(AR80*$AQ$48*30/365,2)</f>
        <v>1.87</v>
      </c>
      <c r="AR81" s="120">
        <f t="shared" si="45"/>
        <v>298.42</v>
      </c>
      <c r="AS81" s="175">
        <v>45046</v>
      </c>
      <c r="AT81" s="120">
        <f t="shared" si="42"/>
        <v>13.33</v>
      </c>
      <c r="AU81" s="273">
        <f t="shared" si="31"/>
        <v>0.56000000000000005</v>
      </c>
      <c r="AV81" s="131">
        <f t="shared" si="28"/>
        <v>2.67</v>
      </c>
      <c r="AW81" s="131">
        <f t="shared" si="29"/>
        <v>1.71</v>
      </c>
      <c r="AX81" s="120">
        <f t="shared" si="46"/>
        <v>4.7699999999999996</v>
      </c>
      <c r="AY81">
        <f t="shared" ref="AY81:AY112" si="54">ROUND($AY$53*$AY$50/12,2)</f>
        <v>13.33</v>
      </c>
      <c r="AZ81" s="120">
        <f t="shared" ref="AZ81:AZ112" si="55">AP81</f>
        <v>1.87</v>
      </c>
    </row>
    <row r="82" spans="1:55" x14ac:dyDescent="0.2">
      <c r="A82">
        <f t="shared" si="52"/>
        <v>23</v>
      </c>
      <c r="C82" s="175">
        <v>45077</v>
      </c>
      <c r="D82" s="118">
        <f t="shared" si="50"/>
        <v>3.9027777777777786</v>
      </c>
      <c r="F82" s="177">
        <f>ROUND(H81*$G$48*30/365,2)</f>
        <v>0.54</v>
      </c>
      <c r="H82" s="120">
        <f t="shared" si="47"/>
        <v>85.861111111111228</v>
      </c>
      <c r="I82">
        <f t="shared" si="34"/>
        <v>23</v>
      </c>
      <c r="K82" s="175">
        <v>45077</v>
      </c>
      <c r="M82" s="118">
        <f t="shared" si="53"/>
        <v>15.138888888888889</v>
      </c>
      <c r="O82" s="177">
        <f t="shared" si="26"/>
        <v>2.57</v>
      </c>
      <c r="Q82" s="120">
        <f t="shared" si="51"/>
        <v>393.61111111111086</v>
      </c>
      <c r="R82">
        <f t="shared" si="35"/>
        <v>23</v>
      </c>
      <c r="T82" s="175">
        <v>45077</v>
      </c>
      <c r="V82" s="118"/>
      <c r="X82" s="177">
        <f t="shared" si="30"/>
        <v>1.71</v>
      </c>
      <c r="Z82" s="120">
        <f t="shared" si="48"/>
        <v>272</v>
      </c>
      <c r="AA82">
        <f t="shared" si="37"/>
        <v>23</v>
      </c>
      <c r="AC82" s="175">
        <v>45077</v>
      </c>
      <c r="AE82" s="118"/>
      <c r="AG82" s="177">
        <f t="shared" si="38"/>
        <v>4.7699999999999996</v>
      </c>
      <c r="AI82" s="120">
        <f t="shared" si="49"/>
        <v>725</v>
      </c>
      <c r="AJ82">
        <f t="shared" si="40"/>
        <v>23</v>
      </c>
      <c r="AL82" s="175">
        <v>45077</v>
      </c>
      <c r="AN82" s="118"/>
      <c r="AP82" s="177">
        <f>ROUND(AR81*$AQ$48*30/365,2)</f>
        <v>1.96</v>
      </c>
      <c r="AR82" s="120">
        <f>AR81+AT82</f>
        <v>311.75</v>
      </c>
      <c r="AS82" s="175">
        <v>45077</v>
      </c>
      <c r="AT82" s="120">
        <f t="shared" si="42"/>
        <v>13.33</v>
      </c>
      <c r="AU82" s="273">
        <f t="shared" si="31"/>
        <v>0.54</v>
      </c>
      <c r="AV82" s="131">
        <f t="shared" si="28"/>
        <v>2.57</v>
      </c>
      <c r="AW82" s="131">
        <f t="shared" si="29"/>
        <v>1.71</v>
      </c>
      <c r="AX82" s="120">
        <f t="shared" si="46"/>
        <v>4.7699999999999996</v>
      </c>
      <c r="AY82">
        <f t="shared" si="54"/>
        <v>13.33</v>
      </c>
      <c r="AZ82" s="120">
        <f t="shared" si="55"/>
        <v>1.96</v>
      </c>
    </row>
    <row r="83" spans="1:55" x14ac:dyDescent="0.2">
      <c r="A83">
        <f t="shared" si="52"/>
        <v>24</v>
      </c>
      <c r="C83" s="175">
        <v>45107</v>
      </c>
      <c r="D83" s="118">
        <f t="shared" si="50"/>
        <v>3.9027777777777786</v>
      </c>
      <c r="F83" s="177">
        <f>ROUND(H82*$G$48*30/365,2)</f>
        <v>0.52</v>
      </c>
      <c r="H83" s="120">
        <f t="shared" si="47"/>
        <v>81.958333333333456</v>
      </c>
      <c r="I83">
        <f t="shared" si="34"/>
        <v>24</v>
      </c>
      <c r="K83" s="175">
        <v>45107</v>
      </c>
      <c r="M83" s="118">
        <f t="shared" si="53"/>
        <v>15.138888888888889</v>
      </c>
      <c r="O83" s="177">
        <f t="shared" si="26"/>
        <v>2.4700000000000002</v>
      </c>
      <c r="Q83" s="120">
        <f t="shared" si="51"/>
        <v>378.47222222222194</v>
      </c>
      <c r="R83">
        <f t="shared" si="35"/>
        <v>24</v>
      </c>
      <c r="T83" s="175">
        <v>45107</v>
      </c>
      <c r="V83" s="118"/>
      <c r="X83" s="177">
        <f t="shared" si="30"/>
        <v>1.71</v>
      </c>
      <c r="Z83" s="120">
        <f t="shared" si="48"/>
        <v>272</v>
      </c>
      <c r="AA83">
        <f t="shared" si="37"/>
        <v>24</v>
      </c>
      <c r="AC83" s="175">
        <v>45107</v>
      </c>
      <c r="AE83" s="118"/>
      <c r="AG83" s="177">
        <f t="shared" si="38"/>
        <v>4.7699999999999996</v>
      </c>
      <c r="AI83" s="120">
        <f t="shared" si="49"/>
        <v>725</v>
      </c>
      <c r="AJ83">
        <f t="shared" si="40"/>
        <v>24</v>
      </c>
      <c r="AL83" s="175">
        <v>45107</v>
      </c>
      <c r="AN83" s="118"/>
      <c r="AP83" s="177">
        <f>ROUND(AR82*$AQ$48*30/365,2)</f>
        <v>2.0499999999999998</v>
      </c>
      <c r="AR83" s="120">
        <f>AR82+AT83-0.08</f>
        <v>325</v>
      </c>
      <c r="AS83" s="175">
        <v>45107</v>
      </c>
      <c r="AT83" s="275">
        <f t="shared" si="42"/>
        <v>13.33</v>
      </c>
      <c r="AU83" s="273">
        <f t="shared" si="31"/>
        <v>0.52</v>
      </c>
      <c r="AV83" s="131">
        <f t="shared" si="28"/>
        <v>2.4700000000000002</v>
      </c>
      <c r="AW83" s="131">
        <f t="shared" si="29"/>
        <v>1.71</v>
      </c>
      <c r="AX83" s="120">
        <f t="shared" si="46"/>
        <v>4.7699999999999996</v>
      </c>
      <c r="AY83">
        <f t="shared" si="54"/>
        <v>13.33</v>
      </c>
      <c r="AZ83" s="120">
        <f t="shared" si="55"/>
        <v>2.0499999999999998</v>
      </c>
    </row>
    <row r="84" spans="1:55" x14ac:dyDescent="0.2">
      <c r="A84">
        <f t="shared" si="52"/>
        <v>25</v>
      </c>
      <c r="C84" s="175">
        <v>45138</v>
      </c>
      <c r="D84" s="118">
        <f t="shared" si="50"/>
        <v>3.9027777777777786</v>
      </c>
      <c r="F84" s="177">
        <f>ROUND(H83*$G$48*30/365,2)</f>
        <v>0.49</v>
      </c>
      <c r="H84" s="120">
        <f t="shared" si="47"/>
        <v>78.055555555555685</v>
      </c>
      <c r="I84">
        <f t="shared" si="34"/>
        <v>25</v>
      </c>
      <c r="K84" s="175">
        <v>45138</v>
      </c>
      <c r="M84" s="118">
        <f t="shared" si="53"/>
        <v>15.138888888888889</v>
      </c>
      <c r="O84" s="177">
        <f t="shared" si="26"/>
        <v>2.38</v>
      </c>
      <c r="Q84" s="120">
        <f t="shared" si="51"/>
        <v>363.33333333333303</v>
      </c>
      <c r="R84">
        <f t="shared" si="35"/>
        <v>25</v>
      </c>
      <c r="T84" s="175">
        <v>45138</v>
      </c>
      <c r="V84" s="118">
        <v>7.56</v>
      </c>
      <c r="X84" s="177">
        <f t="shared" si="30"/>
        <v>1.71</v>
      </c>
      <c r="Z84" s="120">
        <f t="shared" si="48"/>
        <v>264.44</v>
      </c>
      <c r="AA84">
        <f t="shared" si="37"/>
        <v>25</v>
      </c>
      <c r="AC84" s="175">
        <v>45138</v>
      </c>
      <c r="AE84" s="118">
        <v>12.08</v>
      </c>
      <c r="AG84" s="177">
        <f t="shared" si="38"/>
        <v>4.7699999999999996</v>
      </c>
      <c r="AI84" s="120">
        <f t="shared" si="49"/>
        <v>712.92</v>
      </c>
      <c r="AJ84">
        <f t="shared" si="40"/>
        <v>25</v>
      </c>
      <c r="AL84" s="175">
        <v>45138</v>
      </c>
      <c r="AN84" s="118">
        <f>$AR$83/24</f>
        <v>13.541666666666666</v>
      </c>
      <c r="AP84" s="177">
        <f t="shared" ref="AP84:AP115" si="56">ROUND(AR83*$AH$48*30/365,2)</f>
        <v>2.14</v>
      </c>
      <c r="AR84" s="120">
        <f>AR83-AN84</f>
        <v>311.45833333333331</v>
      </c>
      <c r="AS84" s="175">
        <v>45138</v>
      </c>
      <c r="AT84" s="120"/>
      <c r="AU84" s="273">
        <f t="shared" si="31"/>
        <v>0.49</v>
      </c>
      <c r="AV84" s="131">
        <f t="shared" si="28"/>
        <v>2.38</v>
      </c>
      <c r="AW84" s="131">
        <f t="shared" si="29"/>
        <v>1.71</v>
      </c>
      <c r="AX84" s="120">
        <f t="shared" si="46"/>
        <v>4.7699999999999996</v>
      </c>
      <c r="AY84">
        <f t="shared" si="54"/>
        <v>13.33</v>
      </c>
      <c r="AZ84" s="120">
        <f t="shared" si="55"/>
        <v>2.14</v>
      </c>
    </row>
    <row r="85" spans="1:55" x14ac:dyDescent="0.2">
      <c r="A85">
        <f t="shared" si="52"/>
        <v>26</v>
      </c>
      <c r="C85" s="175">
        <v>45169</v>
      </c>
      <c r="D85" s="118">
        <f t="shared" si="50"/>
        <v>3.9027777777777786</v>
      </c>
      <c r="F85" s="177">
        <f>ROUND(H84*$G$48*30/365,2)</f>
        <v>0.47</v>
      </c>
      <c r="H85" s="120">
        <f t="shared" si="47"/>
        <v>74.152777777777914</v>
      </c>
      <c r="I85">
        <f t="shared" si="34"/>
        <v>26</v>
      </c>
      <c r="K85" s="175">
        <v>45169</v>
      </c>
      <c r="M85" s="118">
        <f t="shared" si="53"/>
        <v>15.138888888888889</v>
      </c>
      <c r="O85" s="177">
        <f t="shared" si="26"/>
        <v>2.2799999999999998</v>
      </c>
      <c r="Q85" s="120">
        <f t="shared" si="51"/>
        <v>348.19444444444412</v>
      </c>
      <c r="R85">
        <f t="shared" si="35"/>
        <v>26</v>
      </c>
      <c r="T85" s="175">
        <v>45169</v>
      </c>
      <c r="V85" s="118">
        <v>7.56</v>
      </c>
      <c r="X85" s="177">
        <f t="shared" si="30"/>
        <v>1.66</v>
      </c>
      <c r="Z85" s="120">
        <f t="shared" si="48"/>
        <v>256.88</v>
      </c>
      <c r="AA85">
        <f t="shared" si="37"/>
        <v>26</v>
      </c>
      <c r="AC85" s="175">
        <v>45169</v>
      </c>
      <c r="AE85" s="118">
        <f>AE84</f>
        <v>12.08</v>
      </c>
      <c r="AG85" s="177">
        <f t="shared" si="38"/>
        <v>4.6900000000000004</v>
      </c>
      <c r="AI85" s="120">
        <f t="shared" si="49"/>
        <v>700.83999999999992</v>
      </c>
      <c r="AJ85">
        <f t="shared" si="40"/>
        <v>26</v>
      </c>
      <c r="AL85" s="175">
        <v>45169</v>
      </c>
      <c r="AN85" s="118">
        <f>AN84</f>
        <v>13.541666666666666</v>
      </c>
      <c r="AP85" s="177">
        <f t="shared" si="56"/>
        <v>2.0499999999999998</v>
      </c>
      <c r="AR85" s="120">
        <f t="shared" ref="AR85:AR143" si="57">AR84-AN85</f>
        <v>297.91666666666663</v>
      </c>
      <c r="AS85" s="175">
        <v>45169</v>
      </c>
      <c r="AT85" s="120"/>
      <c r="AU85" s="273">
        <f t="shared" si="31"/>
        <v>0.47</v>
      </c>
      <c r="AV85" s="131">
        <f t="shared" si="28"/>
        <v>2.2799999999999998</v>
      </c>
      <c r="AW85" s="131">
        <f t="shared" si="29"/>
        <v>1.66</v>
      </c>
      <c r="AX85" s="120">
        <f t="shared" si="46"/>
        <v>4.6900000000000004</v>
      </c>
      <c r="AY85">
        <f t="shared" si="54"/>
        <v>13.33</v>
      </c>
      <c r="AZ85" s="120">
        <f t="shared" si="55"/>
        <v>2.0499999999999998</v>
      </c>
    </row>
    <row r="86" spans="1:55" x14ac:dyDescent="0.2">
      <c r="A86">
        <f t="shared" si="52"/>
        <v>27</v>
      </c>
      <c r="C86" s="175">
        <v>45199</v>
      </c>
      <c r="D86" s="118">
        <f t="shared" si="50"/>
        <v>3.9027777777777786</v>
      </c>
      <c r="F86" s="177">
        <f>ROUND(H85*$G$48*30/365,2)</f>
        <v>0.44</v>
      </c>
      <c r="H86" s="120">
        <f t="shared" si="47"/>
        <v>70.250000000000142</v>
      </c>
      <c r="I86">
        <f t="shared" si="34"/>
        <v>27</v>
      </c>
      <c r="K86" s="175">
        <v>45199</v>
      </c>
      <c r="M86" s="118">
        <f t="shared" si="53"/>
        <v>15.138888888888889</v>
      </c>
      <c r="O86" s="177">
        <f t="shared" si="26"/>
        <v>2.19</v>
      </c>
      <c r="Q86" s="120">
        <f t="shared" si="51"/>
        <v>333.0555555555552</v>
      </c>
      <c r="R86">
        <f t="shared" si="35"/>
        <v>27</v>
      </c>
      <c r="T86" s="175">
        <v>45199</v>
      </c>
      <c r="V86" s="118">
        <f t="shared" ref="V86:V118" si="58">V85</f>
        <v>7.56</v>
      </c>
      <c r="X86" s="177">
        <f t="shared" si="30"/>
        <v>1.62</v>
      </c>
      <c r="Z86" s="120">
        <f t="shared" si="48"/>
        <v>249.32</v>
      </c>
      <c r="AA86">
        <f t="shared" si="37"/>
        <v>27</v>
      </c>
      <c r="AC86" s="175">
        <v>45199</v>
      </c>
      <c r="AE86" s="118">
        <f t="shared" ref="AE86:AE142" si="59">AE85</f>
        <v>12.08</v>
      </c>
      <c r="AG86" s="177">
        <f t="shared" si="38"/>
        <v>4.6100000000000003</v>
      </c>
      <c r="AI86" s="120">
        <f t="shared" si="49"/>
        <v>688.75999999999988</v>
      </c>
      <c r="AJ86">
        <f t="shared" si="40"/>
        <v>27</v>
      </c>
      <c r="AL86" s="175">
        <v>45199</v>
      </c>
      <c r="AN86" s="118">
        <f t="shared" ref="AN86:AN107" si="60">AN85</f>
        <v>13.541666666666666</v>
      </c>
      <c r="AP86" s="177">
        <f t="shared" si="56"/>
        <v>1.96</v>
      </c>
      <c r="AR86" s="120">
        <f t="shared" si="57"/>
        <v>284.37499999999994</v>
      </c>
      <c r="AS86" s="175">
        <v>45199</v>
      </c>
      <c r="AT86" s="120"/>
      <c r="AU86" s="273">
        <f t="shared" si="31"/>
        <v>0.44</v>
      </c>
      <c r="AV86" s="131">
        <f t="shared" si="28"/>
        <v>2.19</v>
      </c>
      <c r="AW86" s="131">
        <f t="shared" si="29"/>
        <v>1.62</v>
      </c>
      <c r="AX86" s="120">
        <f t="shared" si="46"/>
        <v>4.6100000000000003</v>
      </c>
      <c r="AY86">
        <f t="shared" si="54"/>
        <v>13.33</v>
      </c>
      <c r="AZ86" s="120">
        <f t="shared" si="55"/>
        <v>1.96</v>
      </c>
    </row>
    <row r="87" spans="1:55" x14ac:dyDescent="0.2">
      <c r="A87">
        <f t="shared" si="52"/>
        <v>28</v>
      </c>
      <c r="C87" s="175">
        <v>45230</v>
      </c>
      <c r="D87" s="118">
        <f t="shared" si="50"/>
        <v>3.9027777777777786</v>
      </c>
      <c r="F87" s="177">
        <f>ROUND(H86*$G$48*30/365,2)</f>
        <v>0.42</v>
      </c>
      <c r="H87" s="120">
        <f t="shared" si="47"/>
        <v>66.347222222222371</v>
      </c>
      <c r="I87">
        <f t="shared" si="34"/>
        <v>28</v>
      </c>
      <c r="K87" s="175">
        <v>45230</v>
      </c>
      <c r="M87" s="118">
        <f t="shared" si="53"/>
        <v>15.138888888888889</v>
      </c>
      <c r="O87" s="177">
        <f t="shared" si="26"/>
        <v>2.09</v>
      </c>
      <c r="Q87" s="120">
        <f t="shared" si="51"/>
        <v>317.91666666666629</v>
      </c>
      <c r="R87">
        <f t="shared" si="35"/>
        <v>28</v>
      </c>
      <c r="T87" s="175">
        <v>45230</v>
      </c>
      <c r="V87" s="118">
        <f t="shared" si="58"/>
        <v>7.56</v>
      </c>
      <c r="X87" s="177">
        <f t="shared" si="30"/>
        <v>1.57</v>
      </c>
      <c r="Z87" s="120">
        <f t="shared" si="48"/>
        <v>241.76</v>
      </c>
      <c r="AA87">
        <f t="shared" si="37"/>
        <v>28</v>
      </c>
      <c r="AC87" s="175">
        <v>45230</v>
      </c>
      <c r="AE87" s="118">
        <f t="shared" si="59"/>
        <v>12.08</v>
      </c>
      <c r="AG87" s="177">
        <f t="shared" si="38"/>
        <v>4.53</v>
      </c>
      <c r="AI87" s="120">
        <f t="shared" si="49"/>
        <v>676.67999999999984</v>
      </c>
      <c r="AJ87">
        <f t="shared" si="40"/>
        <v>28</v>
      </c>
      <c r="AL87" s="175">
        <v>45230</v>
      </c>
      <c r="AN87" s="118">
        <f t="shared" si="60"/>
        <v>13.541666666666666</v>
      </c>
      <c r="AP87" s="177">
        <f t="shared" si="56"/>
        <v>1.87</v>
      </c>
      <c r="AR87" s="120">
        <f t="shared" si="57"/>
        <v>270.83333333333326</v>
      </c>
      <c r="AS87" s="175">
        <v>45230</v>
      </c>
      <c r="AT87" s="120"/>
      <c r="AU87" s="273">
        <f t="shared" si="31"/>
        <v>0.42</v>
      </c>
      <c r="AV87" s="131">
        <f t="shared" si="28"/>
        <v>2.09</v>
      </c>
      <c r="AW87" s="131">
        <f t="shared" si="29"/>
        <v>1.57</v>
      </c>
      <c r="AX87" s="120">
        <f t="shared" si="46"/>
        <v>4.53</v>
      </c>
      <c r="AY87">
        <f t="shared" si="54"/>
        <v>13.33</v>
      </c>
      <c r="AZ87" s="120">
        <f t="shared" si="55"/>
        <v>1.87</v>
      </c>
    </row>
    <row r="88" spans="1:55" x14ac:dyDescent="0.2">
      <c r="A88">
        <f t="shared" si="52"/>
        <v>29</v>
      </c>
      <c r="C88" s="175">
        <v>45260</v>
      </c>
      <c r="D88" s="118">
        <f t="shared" si="50"/>
        <v>3.9027777777777786</v>
      </c>
      <c r="F88" s="177">
        <f>ROUND(H87*$G$48*30/365,2)</f>
        <v>0.4</v>
      </c>
      <c r="H88" s="120">
        <f t="shared" si="47"/>
        <v>62.444444444444592</v>
      </c>
      <c r="I88">
        <f t="shared" si="34"/>
        <v>29</v>
      </c>
      <c r="K88" s="175">
        <v>45260</v>
      </c>
      <c r="M88" s="118">
        <f t="shared" si="53"/>
        <v>15.138888888888889</v>
      </c>
      <c r="O88" s="177">
        <f t="shared" si="26"/>
        <v>2</v>
      </c>
      <c r="Q88" s="120">
        <f t="shared" si="51"/>
        <v>302.77777777777737</v>
      </c>
      <c r="R88">
        <f t="shared" si="35"/>
        <v>29</v>
      </c>
      <c r="T88" s="175">
        <v>45260</v>
      </c>
      <c r="V88" s="118">
        <f t="shared" si="58"/>
        <v>7.56</v>
      </c>
      <c r="X88" s="177">
        <f t="shared" si="30"/>
        <v>1.52</v>
      </c>
      <c r="Z88" s="120">
        <f t="shared" si="48"/>
        <v>234.2</v>
      </c>
      <c r="AA88">
        <f t="shared" si="37"/>
        <v>29</v>
      </c>
      <c r="AC88" s="175">
        <v>45260</v>
      </c>
      <c r="AE88" s="118">
        <f t="shared" si="59"/>
        <v>12.08</v>
      </c>
      <c r="AG88" s="177">
        <f t="shared" si="38"/>
        <v>4.45</v>
      </c>
      <c r="AI88" s="120">
        <f t="shared" si="49"/>
        <v>664.5999999999998</v>
      </c>
      <c r="AJ88">
        <f t="shared" si="40"/>
        <v>29</v>
      </c>
      <c r="AL88" s="175">
        <v>45260</v>
      </c>
      <c r="AN88" s="118">
        <f t="shared" si="60"/>
        <v>13.541666666666666</v>
      </c>
      <c r="AP88" s="177">
        <f t="shared" si="56"/>
        <v>1.78</v>
      </c>
      <c r="AR88" s="120">
        <f t="shared" si="57"/>
        <v>257.29166666666657</v>
      </c>
      <c r="AS88" s="175">
        <v>45260</v>
      </c>
      <c r="AT88" s="120"/>
      <c r="AU88" s="273">
        <f t="shared" si="31"/>
        <v>0.4</v>
      </c>
      <c r="AV88" s="131">
        <f t="shared" si="28"/>
        <v>2</v>
      </c>
      <c r="AW88" s="131">
        <f t="shared" si="29"/>
        <v>1.52</v>
      </c>
      <c r="AX88" s="120">
        <f t="shared" si="46"/>
        <v>4.45</v>
      </c>
      <c r="AY88">
        <f t="shared" si="54"/>
        <v>13.33</v>
      </c>
      <c r="AZ88" s="120">
        <f t="shared" si="55"/>
        <v>1.78</v>
      </c>
    </row>
    <row r="89" spans="1:55" x14ac:dyDescent="0.2">
      <c r="A89">
        <f t="shared" si="52"/>
        <v>30</v>
      </c>
      <c r="C89" s="175">
        <v>45291</v>
      </c>
      <c r="D89" s="118">
        <f t="shared" si="50"/>
        <v>3.9027777777777786</v>
      </c>
      <c r="F89" s="177">
        <f>ROUND(H88*$G$48*30/365,2)</f>
        <v>0.37</v>
      </c>
      <c r="H89" s="120">
        <f t="shared" si="47"/>
        <v>58.541666666666814</v>
      </c>
      <c r="I89">
        <f t="shared" si="34"/>
        <v>30</v>
      </c>
      <c r="K89" s="175">
        <v>45291</v>
      </c>
      <c r="M89" s="118">
        <f t="shared" si="53"/>
        <v>15.138888888888889</v>
      </c>
      <c r="O89" s="177">
        <f t="shared" ref="O89:O108" si="61">ROUND(Q88*$P$48*30/365,2)</f>
        <v>1.9</v>
      </c>
      <c r="Q89" s="120">
        <f t="shared" si="51"/>
        <v>287.63888888888846</v>
      </c>
      <c r="R89">
        <f t="shared" si="35"/>
        <v>30</v>
      </c>
      <c r="T89" s="175">
        <v>45291</v>
      </c>
      <c r="V89" s="118">
        <f t="shared" si="58"/>
        <v>7.56</v>
      </c>
      <c r="X89" s="177">
        <f t="shared" si="30"/>
        <v>1.47</v>
      </c>
      <c r="Z89" s="120">
        <f t="shared" si="48"/>
        <v>226.64</v>
      </c>
      <c r="AA89">
        <f t="shared" si="37"/>
        <v>30</v>
      </c>
      <c r="AC89" s="175">
        <v>45291</v>
      </c>
      <c r="AE89" s="118">
        <f t="shared" si="59"/>
        <v>12.08</v>
      </c>
      <c r="AG89" s="177">
        <f t="shared" si="38"/>
        <v>4.37</v>
      </c>
      <c r="AI89" s="120">
        <f t="shared" si="49"/>
        <v>652.51999999999975</v>
      </c>
      <c r="AJ89">
        <f t="shared" si="40"/>
        <v>30</v>
      </c>
      <c r="AL89" s="175">
        <v>45291</v>
      </c>
      <c r="AN89" s="118">
        <f t="shared" si="60"/>
        <v>13.541666666666666</v>
      </c>
      <c r="AP89" s="177">
        <f t="shared" si="56"/>
        <v>1.69</v>
      </c>
      <c r="AR89" s="120">
        <f t="shared" si="57"/>
        <v>243.74999999999991</v>
      </c>
      <c r="AS89" s="175">
        <v>45291</v>
      </c>
      <c r="AT89" s="120"/>
      <c r="AU89" s="273">
        <f t="shared" si="31"/>
        <v>0.37</v>
      </c>
      <c r="AV89" s="131">
        <f t="shared" si="28"/>
        <v>1.9</v>
      </c>
      <c r="AW89" s="131">
        <f t="shared" si="29"/>
        <v>1.47</v>
      </c>
      <c r="AX89" s="120">
        <f t="shared" si="46"/>
        <v>4.37</v>
      </c>
      <c r="AY89">
        <f t="shared" si="54"/>
        <v>13.33</v>
      </c>
      <c r="AZ89" s="120">
        <f t="shared" si="55"/>
        <v>1.69</v>
      </c>
    </row>
    <row r="90" spans="1:55" x14ac:dyDescent="0.2">
      <c r="A90">
        <f t="shared" si="52"/>
        <v>31</v>
      </c>
      <c r="C90" s="175">
        <v>45322</v>
      </c>
      <c r="D90" s="118">
        <f t="shared" si="50"/>
        <v>3.9027777777777786</v>
      </c>
      <c r="F90" s="177">
        <f>ROUND(H89*$G$48*30/365,2)</f>
        <v>0.35</v>
      </c>
      <c r="H90" s="120">
        <f t="shared" si="47"/>
        <v>54.638888888889035</v>
      </c>
      <c r="I90">
        <f t="shared" si="34"/>
        <v>31</v>
      </c>
      <c r="K90" s="175">
        <v>45322</v>
      </c>
      <c r="M90" s="118">
        <f t="shared" si="53"/>
        <v>15.138888888888889</v>
      </c>
      <c r="O90" s="177">
        <f t="shared" si="61"/>
        <v>1.81</v>
      </c>
      <c r="Q90" s="120">
        <f t="shared" si="51"/>
        <v>272.49999999999955</v>
      </c>
      <c r="R90">
        <f t="shared" si="35"/>
        <v>31</v>
      </c>
      <c r="T90" s="175">
        <v>45322</v>
      </c>
      <c r="V90" s="118">
        <f t="shared" si="58"/>
        <v>7.56</v>
      </c>
      <c r="X90" s="177">
        <f t="shared" si="30"/>
        <v>1.43</v>
      </c>
      <c r="Z90" s="120">
        <f t="shared" si="48"/>
        <v>219.07999999999998</v>
      </c>
      <c r="AA90">
        <f t="shared" si="37"/>
        <v>31</v>
      </c>
      <c r="AC90" s="175">
        <v>45322</v>
      </c>
      <c r="AE90" s="118">
        <f t="shared" si="59"/>
        <v>12.08</v>
      </c>
      <c r="AG90" s="177">
        <f t="shared" si="38"/>
        <v>4.29</v>
      </c>
      <c r="AI90" s="120">
        <f t="shared" si="49"/>
        <v>640.43999999999971</v>
      </c>
      <c r="AJ90">
        <f t="shared" si="40"/>
        <v>31</v>
      </c>
      <c r="AL90" s="175">
        <v>45322</v>
      </c>
      <c r="AN90" s="118">
        <f t="shared" si="60"/>
        <v>13.541666666666666</v>
      </c>
      <c r="AP90" s="177">
        <f t="shared" si="56"/>
        <v>1.6</v>
      </c>
      <c r="AR90" s="120">
        <f t="shared" si="57"/>
        <v>230.20833333333326</v>
      </c>
      <c r="AS90" s="175">
        <v>45322</v>
      </c>
      <c r="AT90" s="120"/>
      <c r="AU90" s="273">
        <f t="shared" si="31"/>
        <v>0.35</v>
      </c>
      <c r="AV90" s="131">
        <f t="shared" si="28"/>
        <v>1.81</v>
      </c>
      <c r="AW90" s="131">
        <f t="shared" si="29"/>
        <v>1.43</v>
      </c>
      <c r="AX90" s="120">
        <f t="shared" si="46"/>
        <v>4.29</v>
      </c>
      <c r="AY90">
        <f t="shared" si="54"/>
        <v>13.33</v>
      </c>
      <c r="AZ90" s="120">
        <f t="shared" si="55"/>
        <v>1.6</v>
      </c>
    </row>
    <row r="91" spans="1:55" x14ac:dyDescent="0.2">
      <c r="A91">
        <f t="shared" si="52"/>
        <v>32</v>
      </c>
      <c r="C91" s="175">
        <v>45351</v>
      </c>
      <c r="D91" s="118">
        <f t="shared" si="50"/>
        <v>3.9027777777777786</v>
      </c>
      <c r="F91" s="177">
        <f t="shared" ref="F91:F104" si="62">ROUND(H90*$G$48*30/365,2)</f>
        <v>0.33</v>
      </c>
      <c r="H91" s="120">
        <f t="shared" si="47"/>
        <v>50.736111111111256</v>
      </c>
      <c r="I91">
        <f t="shared" si="34"/>
        <v>32</v>
      </c>
      <c r="K91" s="175">
        <v>45351</v>
      </c>
      <c r="M91" s="118">
        <f t="shared" si="53"/>
        <v>15.138888888888889</v>
      </c>
      <c r="O91" s="177">
        <f t="shared" si="61"/>
        <v>1.71</v>
      </c>
      <c r="Q91" s="120">
        <f t="shared" si="51"/>
        <v>257.36111111111063</v>
      </c>
      <c r="R91">
        <f t="shared" si="35"/>
        <v>32</v>
      </c>
      <c r="T91" s="175">
        <v>45351</v>
      </c>
      <c r="V91" s="118">
        <f t="shared" si="58"/>
        <v>7.56</v>
      </c>
      <c r="X91" s="177">
        <f t="shared" si="30"/>
        <v>1.38</v>
      </c>
      <c r="Z91" s="120">
        <f t="shared" si="48"/>
        <v>211.51999999999998</v>
      </c>
      <c r="AA91">
        <f t="shared" si="37"/>
        <v>32</v>
      </c>
      <c r="AC91" s="175">
        <v>45351</v>
      </c>
      <c r="AE91" s="118">
        <f t="shared" si="59"/>
        <v>12.08</v>
      </c>
      <c r="AG91" s="177">
        <f t="shared" si="38"/>
        <v>4.21</v>
      </c>
      <c r="AI91" s="120">
        <f t="shared" si="49"/>
        <v>628.35999999999967</v>
      </c>
      <c r="AJ91">
        <f t="shared" si="40"/>
        <v>32</v>
      </c>
      <c r="AL91" s="175">
        <v>45351</v>
      </c>
      <c r="AN91" s="118">
        <f t="shared" si="60"/>
        <v>13.541666666666666</v>
      </c>
      <c r="AP91" s="177">
        <f t="shared" si="56"/>
        <v>1.51</v>
      </c>
      <c r="AR91" s="120">
        <f t="shared" si="57"/>
        <v>216.6666666666666</v>
      </c>
      <c r="AS91" s="175">
        <v>45351</v>
      </c>
      <c r="AT91" s="120"/>
      <c r="AU91" s="273">
        <f t="shared" si="31"/>
        <v>0.33</v>
      </c>
      <c r="AV91" s="131">
        <f t="shared" si="28"/>
        <v>1.71</v>
      </c>
      <c r="AW91" s="131">
        <f t="shared" si="29"/>
        <v>1.38</v>
      </c>
      <c r="AX91" s="120">
        <f t="shared" si="46"/>
        <v>4.21</v>
      </c>
      <c r="AY91">
        <f t="shared" si="54"/>
        <v>13.33</v>
      </c>
      <c r="AZ91" s="120">
        <f t="shared" si="55"/>
        <v>1.51</v>
      </c>
    </row>
    <row r="92" spans="1:55" s="137" customFormat="1" x14ac:dyDescent="0.2">
      <c r="A92" s="137">
        <f t="shared" si="52"/>
        <v>33</v>
      </c>
      <c r="C92" s="175">
        <v>45382</v>
      </c>
      <c r="D92" s="118">
        <f t="shared" si="50"/>
        <v>3.9027777777777786</v>
      </c>
      <c r="E92" s="138">
        <f>SUM(D81:D92)</f>
        <v>46.833333333333343</v>
      </c>
      <c r="F92" s="177">
        <f t="shared" si="62"/>
        <v>0.3</v>
      </c>
      <c r="G92" s="138">
        <f>SUM(F81:F92)</f>
        <v>5.1899999999999995</v>
      </c>
      <c r="H92" s="138">
        <f t="shared" si="47"/>
        <v>46.833333333333478</v>
      </c>
      <c r="I92" s="137">
        <f t="shared" si="34"/>
        <v>33</v>
      </c>
      <c r="K92" s="175">
        <v>45382</v>
      </c>
      <c r="M92" s="139">
        <f t="shared" si="53"/>
        <v>15.138888888888889</v>
      </c>
      <c r="N92" s="138">
        <f>SUM(M81:M92)</f>
        <v>181.66666666666666</v>
      </c>
      <c r="O92" s="177">
        <f t="shared" si="61"/>
        <v>1.62</v>
      </c>
      <c r="P92" s="138">
        <f>SUM(O81:O92)</f>
        <v>25.689999999999998</v>
      </c>
      <c r="Q92" s="138">
        <f t="shared" si="51"/>
        <v>242.22222222222175</v>
      </c>
      <c r="R92" s="137">
        <f t="shared" si="35"/>
        <v>33</v>
      </c>
      <c r="T92" s="175">
        <v>45382</v>
      </c>
      <c r="V92" s="139">
        <f t="shared" si="58"/>
        <v>7.56</v>
      </c>
      <c r="W92" s="138">
        <f>SUM(V81:V92)</f>
        <v>68.040000000000006</v>
      </c>
      <c r="X92" s="177">
        <f t="shared" ref="X92:X119" si="63">ROUND(Z91*$Y$48*30/365,2)</f>
        <v>1.33</v>
      </c>
      <c r="Y92" s="138">
        <f>SUM(X81:X92)</f>
        <v>18.82</v>
      </c>
      <c r="Z92" s="138">
        <f t="shared" si="48"/>
        <v>203.95999999999998</v>
      </c>
      <c r="AA92" s="137">
        <f t="shared" si="37"/>
        <v>33</v>
      </c>
      <c r="AC92" s="175">
        <v>45382</v>
      </c>
      <c r="AE92" s="139">
        <f t="shared" si="59"/>
        <v>12.08</v>
      </c>
      <c r="AF92" s="138">
        <f>SUM(AE81:AE92)</f>
        <v>108.72</v>
      </c>
      <c r="AG92" s="177">
        <f t="shared" si="38"/>
        <v>4.13</v>
      </c>
      <c r="AH92" s="138">
        <f>SUM(AG81:AG92)</f>
        <v>54.36</v>
      </c>
      <c r="AI92" s="138">
        <f t="shared" si="49"/>
        <v>616.27999999999963</v>
      </c>
      <c r="AJ92" s="137">
        <f t="shared" si="40"/>
        <v>33</v>
      </c>
      <c r="AL92" s="175">
        <v>45382</v>
      </c>
      <c r="AN92" s="139">
        <f t="shared" si="60"/>
        <v>13.541666666666666</v>
      </c>
      <c r="AO92" s="138">
        <f>SUM(AN81:AN92)</f>
        <v>121.87500000000001</v>
      </c>
      <c r="AP92" s="177">
        <f t="shared" si="56"/>
        <v>1.42</v>
      </c>
      <c r="AQ92" s="138">
        <f>SUM(AP81:AP92)</f>
        <v>21.900000000000006</v>
      </c>
      <c r="AR92" s="120">
        <f t="shared" si="57"/>
        <v>203.12499999999994</v>
      </c>
      <c r="AS92" s="175">
        <v>45382</v>
      </c>
      <c r="AT92" s="120"/>
      <c r="AU92" s="273">
        <f t="shared" si="31"/>
        <v>0.3</v>
      </c>
      <c r="AV92" s="131">
        <f t="shared" si="28"/>
        <v>1.62</v>
      </c>
      <c r="AW92" s="131">
        <f t="shared" si="29"/>
        <v>1.33</v>
      </c>
      <c r="AX92" s="120">
        <f t="shared" si="46"/>
        <v>4.13</v>
      </c>
      <c r="AY92">
        <f t="shared" si="54"/>
        <v>13.33</v>
      </c>
      <c r="AZ92" s="120">
        <f t="shared" si="55"/>
        <v>1.42</v>
      </c>
      <c r="BA92" s="138">
        <f>SUM(AU81:AZ92)</f>
        <v>285.92000000000007</v>
      </c>
      <c r="BB92" s="138">
        <f>SUM(AT81:AT92)-0.08</f>
        <v>39.910000000000004</v>
      </c>
      <c r="BC92" s="138">
        <f>BA92-BB92</f>
        <v>246.01000000000008</v>
      </c>
    </row>
    <row r="93" spans="1:55" x14ac:dyDescent="0.2">
      <c r="A93">
        <f t="shared" si="52"/>
        <v>34</v>
      </c>
      <c r="C93" s="175">
        <v>45412</v>
      </c>
      <c r="D93" s="118">
        <f t="shared" si="50"/>
        <v>3.9027777777777786</v>
      </c>
      <c r="F93" s="177">
        <f t="shared" si="62"/>
        <v>0.28000000000000003</v>
      </c>
      <c r="H93" s="120">
        <f t="shared" si="47"/>
        <v>42.930555555555699</v>
      </c>
      <c r="I93">
        <f t="shared" si="34"/>
        <v>34</v>
      </c>
      <c r="K93" s="175">
        <v>45412</v>
      </c>
      <c r="M93" s="118">
        <f t="shared" si="53"/>
        <v>15.138888888888889</v>
      </c>
      <c r="O93" s="177">
        <f t="shared" si="61"/>
        <v>1.52</v>
      </c>
      <c r="Q93" s="120">
        <f t="shared" si="51"/>
        <v>227.08333333333286</v>
      </c>
      <c r="R93">
        <f t="shared" si="35"/>
        <v>34</v>
      </c>
      <c r="T93" s="175">
        <v>45412</v>
      </c>
      <c r="V93" s="118">
        <f t="shared" si="58"/>
        <v>7.56</v>
      </c>
      <c r="X93" s="177">
        <f t="shared" si="63"/>
        <v>1.28</v>
      </c>
      <c r="Z93" s="120">
        <f t="shared" si="48"/>
        <v>196.39999999999998</v>
      </c>
      <c r="AA93">
        <f t="shared" si="37"/>
        <v>34</v>
      </c>
      <c r="AC93" s="175">
        <v>45412</v>
      </c>
      <c r="AE93" s="118">
        <f t="shared" si="59"/>
        <v>12.08</v>
      </c>
      <c r="AG93" s="177">
        <f t="shared" ref="AG93:AG124" si="64">ROUND(AI92*$AH$48*30/365,2)</f>
        <v>4.05</v>
      </c>
      <c r="AI93" s="120">
        <f t="shared" si="49"/>
        <v>604.19999999999959</v>
      </c>
      <c r="AJ93">
        <f t="shared" si="40"/>
        <v>34</v>
      </c>
      <c r="AL93" s="175">
        <v>45412</v>
      </c>
      <c r="AN93" s="118">
        <f t="shared" si="60"/>
        <v>13.541666666666666</v>
      </c>
      <c r="AP93" s="177">
        <f t="shared" si="56"/>
        <v>1.34</v>
      </c>
      <c r="AR93" s="120">
        <f t="shared" si="57"/>
        <v>189.58333333333329</v>
      </c>
      <c r="AS93" s="175">
        <v>45412</v>
      </c>
      <c r="AT93" s="120"/>
      <c r="AU93" s="273">
        <f t="shared" si="31"/>
        <v>0.28000000000000003</v>
      </c>
      <c r="AV93" s="131">
        <f t="shared" si="28"/>
        <v>1.52</v>
      </c>
      <c r="AW93" s="131">
        <f t="shared" si="29"/>
        <v>1.28</v>
      </c>
      <c r="AX93" s="120">
        <f t="shared" si="46"/>
        <v>4.05</v>
      </c>
      <c r="AY93">
        <f t="shared" si="54"/>
        <v>13.33</v>
      </c>
      <c r="AZ93" s="120">
        <f t="shared" si="55"/>
        <v>1.34</v>
      </c>
    </row>
    <row r="94" spans="1:55" x14ac:dyDescent="0.2">
      <c r="A94">
        <f t="shared" si="52"/>
        <v>35</v>
      </c>
      <c r="C94" s="175">
        <v>45443</v>
      </c>
      <c r="D94" s="118">
        <f t="shared" si="50"/>
        <v>3.9027777777777786</v>
      </c>
      <c r="F94" s="177">
        <f t="shared" si="62"/>
        <v>0.26</v>
      </c>
      <c r="H94" s="120">
        <f t="shared" si="47"/>
        <v>39.027777777777921</v>
      </c>
      <c r="I94">
        <f t="shared" si="34"/>
        <v>35</v>
      </c>
      <c r="K94" s="175">
        <v>45443</v>
      </c>
      <c r="M94" s="118">
        <f t="shared" si="53"/>
        <v>15.138888888888889</v>
      </c>
      <c r="O94" s="177">
        <f t="shared" si="61"/>
        <v>1.43</v>
      </c>
      <c r="Q94" s="120">
        <f t="shared" si="51"/>
        <v>211.94444444444397</v>
      </c>
      <c r="R94">
        <f t="shared" si="35"/>
        <v>35</v>
      </c>
      <c r="T94" s="175">
        <v>45443</v>
      </c>
      <c r="V94" s="118">
        <f t="shared" si="58"/>
        <v>7.56</v>
      </c>
      <c r="X94" s="177">
        <f t="shared" si="63"/>
        <v>1.23</v>
      </c>
      <c r="Z94" s="120">
        <f t="shared" si="48"/>
        <v>188.83999999999997</v>
      </c>
      <c r="AA94">
        <f t="shared" si="37"/>
        <v>35</v>
      </c>
      <c r="AC94" s="175">
        <v>45443</v>
      </c>
      <c r="AE94" s="118">
        <f t="shared" si="59"/>
        <v>12.08</v>
      </c>
      <c r="AG94" s="177">
        <f t="shared" si="64"/>
        <v>3.97</v>
      </c>
      <c r="AI94" s="120">
        <f t="shared" si="49"/>
        <v>592.11999999999955</v>
      </c>
      <c r="AJ94">
        <f t="shared" si="40"/>
        <v>35</v>
      </c>
      <c r="AL94" s="175">
        <v>45443</v>
      </c>
      <c r="AN94" s="118">
        <f t="shared" si="60"/>
        <v>13.541666666666666</v>
      </c>
      <c r="AP94" s="177">
        <f t="shared" si="56"/>
        <v>1.25</v>
      </c>
      <c r="AR94" s="120">
        <f t="shared" si="57"/>
        <v>176.04166666666663</v>
      </c>
      <c r="AS94" s="175">
        <v>45443</v>
      </c>
      <c r="AT94" s="120"/>
      <c r="AU94" s="273">
        <f t="shared" si="31"/>
        <v>0.26</v>
      </c>
      <c r="AV94" s="131">
        <f t="shared" si="28"/>
        <v>1.43</v>
      </c>
      <c r="AW94" s="131">
        <f t="shared" si="29"/>
        <v>1.23</v>
      </c>
      <c r="AX94" s="120">
        <f t="shared" si="46"/>
        <v>3.97</v>
      </c>
      <c r="AY94">
        <f t="shared" si="54"/>
        <v>13.33</v>
      </c>
      <c r="AZ94" s="120">
        <f t="shared" si="55"/>
        <v>1.25</v>
      </c>
    </row>
    <row r="95" spans="1:55" x14ac:dyDescent="0.2">
      <c r="A95">
        <f t="shared" si="52"/>
        <v>36</v>
      </c>
      <c r="C95" s="175">
        <v>45473</v>
      </c>
      <c r="D95" s="118">
        <f t="shared" si="50"/>
        <v>3.9027777777777786</v>
      </c>
      <c r="F95" s="177">
        <f t="shared" si="62"/>
        <v>0.23</v>
      </c>
      <c r="H95" s="120">
        <f t="shared" si="47"/>
        <v>35.125000000000142</v>
      </c>
      <c r="I95">
        <f t="shared" si="34"/>
        <v>36</v>
      </c>
      <c r="K95" s="175">
        <v>45473</v>
      </c>
      <c r="M95" s="118">
        <f t="shared" si="53"/>
        <v>15.138888888888889</v>
      </c>
      <c r="O95" s="177">
        <f t="shared" si="61"/>
        <v>1.33</v>
      </c>
      <c r="Q95" s="120">
        <f t="shared" si="51"/>
        <v>196.80555555555509</v>
      </c>
      <c r="R95">
        <f t="shared" si="35"/>
        <v>36</v>
      </c>
      <c r="T95" s="175">
        <v>45473</v>
      </c>
      <c r="V95" s="118">
        <f t="shared" si="58"/>
        <v>7.56</v>
      </c>
      <c r="X95" s="177">
        <f t="shared" si="63"/>
        <v>1.19</v>
      </c>
      <c r="Z95" s="120">
        <f t="shared" si="48"/>
        <v>181.27999999999997</v>
      </c>
      <c r="AA95">
        <f t="shared" si="37"/>
        <v>36</v>
      </c>
      <c r="AC95" s="175">
        <v>45473</v>
      </c>
      <c r="AE95" s="118">
        <f t="shared" si="59"/>
        <v>12.08</v>
      </c>
      <c r="AG95" s="177">
        <f t="shared" si="64"/>
        <v>3.89</v>
      </c>
      <c r="AI95" s="120">
        <f t="shared" si="49"/>
        <v>580.03999999999951</v>
      </c>
      <c r="AJ95">
        <f t="shared" si="40"/>
        <v>36</v>
      </c>
      <c r="AL95" s="175">
        <v>45473</v>
      </c>
      <c r="AN95" s="118">
        <f t="shared" si="60"/>
        <v>13.541666666666666</v>
      </c>
      <c r="AP95" s="177">
        <f t="shared" si="56"/>
        <v>1.1599999999999999</v>
      </c>
      <c r="AR95" s="120">
        <f t="shared" si="57"/>
        <v>162.49999999999997</v>
      </c>
      <c r="AS95" s="175">
        <v>45473</v>
      </c>
      <c r="AT95" s="120"/>
      <c r="AU95" s="273">
        <f t="shared" si="31"/>
        <v>0.23</v>
      </c>
      <c r="AV95" s="131">
        <f t="shared" si="28"/>
        <v>1.33</v>
      </c>
      <c r="AW95" s="131">
        <f t="shared" si="29"/>
        <v>1.19</v>
      </c>
      <c r="AX95" s="120">
        <f t="shared" si="46"/>
        <v>3.89</v>
      </c>
      <c r="AY95">
        <f t="shared" si="54"/>
        <v>13.33</v>
      </c>
      <c r="AZ95" s="120">
        <f t="shared" si="55"/>
        <v>1.1599999999999999</v>
      </c>
    </row>
    <row r="96" spans="1:55" x14ac:dyDescent="0.2">
      <c r="A96">
        <f t="shared" si="52"/>
        <v>37</v>
      </c>
      <c r="C96" s="175">
        <v>45504</v>
      </c>
      <c r="D96" s="118">
        <f t="shared" si="50"/>
        <v>3.9027777777777786</v>
      </c>
      <c r="F96" s="177">
        <f t="shared" si="62"/>
        <v>0.21</v>
      </c>
      <c r="H96" s="120">
        <f t="shared" si="47"/>
        <v>31.222222222222364</v>
      </c>
      <c r="I96">
        <f t="shared" si="34"/>
        <v>37</v>
      </c>
      <c r="K96" s="175">
        <v>45504</v>
      </c>
      <c r="M96" s="118">
        <f t="shared" si="53"/>
        <v>15.138888888888889</v>
      </c>
      <c r="O96" s="177">
        <f t="shared" si="61"/>
        <v>1.24</v>
      </c>
      <c r="Q96" s="120">
        <f t="shared" si="51"/>
        <v>181.6666666666662</v>
      </c>
      <c r="R96">
        <f t="shared" si="35"/>
        <v>37</v>
      </c>
      <c r="T96" s="175">
        <v>45504</v>
      </c>
      <c r="V96" s="118">
        <f t="shared" si="58"/>
        <v>7.56</v>
      </c>
      <c r="X96" s="177">
        <f t="shared" si="63"/>
        <v>1.1399999999999999</v>
      </c>
      <c r="Z96" s="120">
        <f t="shared" si="48"/>
        <v>173.71999999999997</v>
      </c>
      <c r="AA96">
        <f t="shared" si="37"/>
        <v>37</v>
      </c>
      <c r="AC96" s="175">
        <v>45504</v>
      </c>
      <c r="AE96" s="118">
        <f t="shared" si="59"/>
        <v>12.08</v>
      </c>
      <c r="AG96" s="177">
        <f t="shared" si="64"/>
        <v>3.81</v>
      </c>
      <c r="AI96" s="120">
        <f t="shared" si="49"/>
        <v>567.95999999999947</v>
      </c>
      <c r="AJ96">
        <f t="shared" si="40"/>
        <v>37</v>
      </c>
      <c r="AL96" s="175">
        <v>45504</v>
      </c>
      <c r="AN96" s="118">
        <f t="shared" si="60"/>
        <v>13.541666666666666</v>
      </c>
      <c r="AP96" s="177">
        <f t="shared" si="56"/>
        <v>1.07</v>
      </c>
      <c r="AR96" s="120">
        <f t="shared" si="57"/>
        <v>148.95833333333331</v>
      </c>
      <c r="AS96" s="175">
        <v>45504</v>
      </c>
      <c r="AT96" s="120"/>
      <c r="AU96" s="273">
        <f t="shared" si="31"/>
        <v>0.21</v>
      </c>
      <c r="AV96" s="131">
        <f t="shared" si="28"/>
        <v>1.24</v>
      </c>
      <c r="AW96" s="131">
        <f t="shared" si="29"/>
        <v>1.1399999999999999</v>
      </c>
      <c r="AX96" s="120">
        <f t="shared" si="46"/>
        <v>3.81</v>
      </c>
      <c r="AY96">
        <f t="shared" si="54"/>
        <v>13.33</v>
      </c>
      <c r="AZ96" s="120">
        <f t="shared" si="55"/>
        <v>1.07</v>
      </c>
    </row>
    <row r="97" spans="1:55" x14ac:dyDescent="0.2">
      <c r="A97">
        <f t="shared" si="52"/>
        <v>38</v>
      </c>
      <c r="C97" s="175">
        <v>45535</v>
      </c>
      <c r="D97" s="118">
        <f t="shared" si="50"/>
        <v>3.9027777777777786</v>
      </c>
      <c r="F97" s="177">
        <f t="shared" si="62"/>
        <v>0.19</v>
      </c>
      <c r="H97" s="120">
        <f t="shared" si="47"/>
        <v>27.319444444444585</v>
      </c>
      <c r="I97">
        <f t="shared" si="34"/>
        <v>38</v>
      </c>
      <c r="K97" s="175">
        <v>45535</v>
      </c>
      <c r="M97" s="118">
        <f t="shared" si="53"/>
        <v>15.138888888888889</v>
      </c>
      <c r="O97" s="177">
        <f t="shared" si="61"/>
        <v>1.1399999999999999</v>
      </c>
      <c r="Q97" s="120">
        <f t="shared" si="51"/>
        <v>166.52777777777732</v>
      </c>
      <c r="R97">
        <f t="shared" si="35"/>
        <v>38</v>
      </c>
      <c r="T97" s="175">
        <v>45535</v>
      </c>
      <c r="V97" s="118">
        <f t="shared" si="58"/>
        <v>7.56</v>
      </c>
      <c r="X97" s="177">
        <f t="shared" si="63"/>
        <v>1.0900000000000001</v>
      </c>
      <c r="Z97" s="120">
        <f t="shared" si="48"/>
        <v>166.15999999999997</v>
      </c>
      <c r="AA97">
        <f t="shared" si="37"/>
        <v>38</v>
      </c>
      <c r="AC97" s="175">
        <v>45535</v>
      </c>
      <c r="AE97" s="118">
        <f t="shared" si="59"/>
        <v>12.08</v>
      </c>
      <c r="AG97" s="177">
        <f t="shared" si="64"/>
        <v>3.73</v>
      </c>
      <c r="AI97" s="120">
        <f t="shared" si="49"/>
        <v>555.87999999999943</v>
      </c>
      <c r="AJ97">
        <f t="shared" si="40"/>
        <v>38</v>
      </c>
      <c r="AL97" s="175">
        <v>45535</v>
      </c>
      <c r="AN97" s="118">
        <f t="shared" si="60"/>
        <v>13.541666666666666</v>
      </c>
      <c r="AP97" s="177">
        <f t="shared" si="56"/>
        <v>0.98</v>
      </c>
      <c r="AR97" s="120">
        <f t="shared" si="57"/>
        <v>135.41666666666666</v>
      </c>
      <c r="AS97" s="175">
        <v>45535</v>
      </c>
      <c r="AT97" s="120"/>
      <c r="AU97" s="273">
        <f t="shared" si="31"/>
        <v>0.19</v>
      </c>
      <c r="AV97" s="131">
        <f t="shared" si="28"/>
        <v>1.1399999999999999</v>
      </c>
      <c r="AW97" s="131">
        <f t="shared" si="29"/>
        <v>1.0900000000000001</v>
      </c>
      <c r="AX97" s="120">
        <f t="shared" si="46"/>
        <v>3.73</v>
      </c>
      <c r="AY97">
        <f t="shared" si="54"/>
        <v>13.33</v>
      </c>
      <c r="AZ97" s="120">
        <f t="shared" si="55"/>
        <v>0.98</v>
      </c>
    </row>
    <row r="98" spans="1:55" x14ac:dyDescent="0.2">
      <c r="A98">
        <f t="shared" si="52"/>
        <v>39</v>
      </c>
      <c r="C98" s="175">
        <v>45565</v>
      </c>
      <c r="D98" s="118">
        <f t="shared" si="50"/>
        <v>3.9027777777777786</v>
      </c>
      <c r="F98" s="177">
        <f t="shared" si="62"/>
        <v>0.16</v>
      </c>
      <c r="H98" s="120">
        <f t="shared" si="47"/>
        <v>23.416666666666806</v>
      </c>
      <c r="I98">
        <f t="shared" si="34"/>
        <v>39</v>
      </c>
      <c r="K98" s="175">
        <v>45565</v>
      </c>
      <c r="M98" s="118">
        <f t="shared" si="53"/>
        <v>15.138888888888889</v>
      </c>
      <c r="O98" s="177">
        <f t="shared" si="61"/>
        <v>1.05</v>
      </c>
      <c r="Q98" s="120">
        <f t="shared" si="51"/>
        <v>151.38888888888843</v>
      </c>
      <c r="R98">
        <f t="shared" si="35"/>
        <v>39</v>
      </c>
      <c r="T98" s="175">
        <v>45565</v>
      </c>
      <c r="V98" s="118">
        <f t="shared" si="58"/>
        <v>7.56</v>
      </c>
      <c r="X98" s="177">
        <f t="shared" si="63"/>
        <v>1.04</v>
      </c>
      <c r="Z98" s="120">
        <f t="shared" si="48"/>
        <v>158.59999999999997</v>
      </c>
      <c r="AA98">
        <f t="shared" si="37"/>
        <v>39</v>
      </c>
      <c r="AC98" s="175">
        <v>45565</v>
      </c>
      <c r="AE98" s="118">
        <f t="shared" si="59"/>
        <v>12.08</v>
      </c>
      <c r="AG98" s="177">
        <f t="shared" si="64"/>
        <v>3.66</v>
      </c>
      <c r="AI98" s="120">
        <f t="shared" si="49"/>
        <v>543.79999999999939</v>
      </c>
      <c r="AJ98">
        <f t="shared" si="40"/>
        <v>39</v>
      </c>
      <c r="AL98" s="175">
        <v>45565</v>
      </c>
      <c r="AN98" s="118">
        <f t="shared" si="60"/>
        <v>13.541666666666666</v>
      </c>
      <c r="AP98" s="177">
        <f t="shared" si="56"/>
        <v>0.89</v>
      </c>
      <c r="AR98" s="120">
        <f t="shared" si="57"/>
        <v>121.87499999999999</v>
      </c>
      <c r="AS98" s="175">
        <v>45565</v>
      </c>
      <c r="AT98" s="120"/>
      <c r="AU98" s="273">
        <f t="shared" si="31"/>
        <v>0.16</v>
      </c>
      <c r="AV98" s="131">
        <f t="shared" si="28"/>
        <v>1.05</v>
      </c>
      <c r="AW98" s="131">
        <f t="shared" si="29"/>
        <v>1.04</v>
      </c>
      <c r="AX98" s="120">
        <f t="shared" si="46"/>
        <v>3.66</v>
      </c>
      <c r="AY98">
        <f t="shared" si="54"/>
        <v>13.33</v>
      </c>
      <c r="AZ98" s="120">
        <f t="shared" si="55"/>
        <v>0.89</v>
      </c>
    </row>
    <row r="99" spans="1:55" x14ac:dyDescent="0.2">
      <c r="A99">
        <f t="shared" si="52"/>
        <v>40</v>
      </c>
      <c r="C99" s="175">
        <v>45596</v>
      </c>
      <c r="D99" s="118">
        <f t="shared" si="50"/>
        <v>3.9027777777777786</v>
      </c>
      <c r="F99" s="177">
        <f t="shared" si="62"/>
        <v>0.14000000000000001</v>
      </c>
      <c r="H99" s="120">
        <f t="shared" si="47"/>
        <v>19.513888888889028</v>
      </c>
      <c r="I99">
        <f t="shared" si="34"/>
        <v>40</v>
      </c>
      <c r="K99" s="175">
        <v>45596</v>
      </c>
      <c r="M99" s="118">
        <f t="shared" si="53"/>
        <v>15.138888888888889</v>
      </c>
      <c r="O99" s="177">
        <f t="shared" si="61"/>
        <v>0.95</v>
      </c>
      <c r="Q99" s="120">
        <f t="shared" si="51"/>
        <v>136.24999999999955</v>
      </c>
      <c r="R99">
        <f t="shared" si="35"/>
        <v>40</v>
      </c>
      <c r="T99" s="175">
        <v>45596</v>
      </c>
      <c r="V99" s="118">
        <f t="shared" si="58"/>
        <v>7.56</v>
      </c>
      <c r="X99" s="177">
        <f t="shared" si="63"/>
        <v>1</v>
      </c>
      <c r="Z99" s="120">
        <f t="shared" si="48"/>
        <v>151.03999999999996</v>
      </c>
      <c r="AA99">
        <f t="shared" si="37"/>
        <v>40</v>
      </c>
      <c r="AC99" s="175">
        <v>45596</v>
      </c>
      <c r="AE99" s="118">
        <f t="shared" si="59"/>
        <v>12.08</v>
      </c>
      <c r="AG99" s="177">
        <f t="shared" si="64"/>
        <v>3.58</v>
      </c>
      <c r="AI99" s="120">
        <f t="shared" si="49"/>
        <v>531.71999999999935</v>
      </c>
      <c r="AJ99">
        <f t="shared" si="40"/>
        <v>40</v>
      </c>
      <c r="AL99" s="175">
        <v>45596</v>
      </c>
      <c r="AN99" s="118">
        <f t="shared" si="60"/>
        <v>13.541666666666666</v>
      </c>
      <c r="AP99" s="177">
        <f t="shared" si="56"/>
        <v>0.8</v>
      </c>
      <c r="AR99" s="120">
        <f t="shared" si="57"/>
        <v>108.33333333333331</v>
      </c>
      <c r="AS99" s="175">
        <v>45596</v>
      </c>
      <c r="AT99" s="120"/>
      <c r="AU99" s="273">
        <f t="shared" si="31"/>
        <v>0.14000000000000001</v>
      </c>
      <c r="AV99" s="131">
        <f t="shared" si="28"/>
        <v>0.95</v>
      </c>
      <c r="AW99" s="131">
        <f t="shared" si="29"/>
        <v>1</v>
      </c>
      <c r="AX99" s="120">
        <f t="shared" si="46"/>
        <v>3.58</v>
      </c>
      <c r="AY99">
        <f t="shared" si="54"/>
        <v>13.33</v>
      </c>
      <c r="AZ99" s="120">
        <f t="shared" si="55"/>
        <v>0.8</v>
      </c>
    </row>
    <row r="100" spans="1:55" x14ac:dyDescent="0.2">
      <c r="A100">
        <f t="shared" si="52"/>
        <v>41</v>
      </c>
      <c r="C100" s="175">
        <v>45626</v>
      </c>
      <c r="D100" s="118">
        <f t="shared" si="50"/>
        <v>3.9027777777777786</v>
      </c>
      <c r="F100" s="177">
        <f t="shared" si="62"/>
        <v>0.12</v>
      </c>
      <c r="H100" s="120">
        <f t="shared" si="47"/>
        <v>15.611111111111249</v>
      </c>
      <c r="I100">
        <f t="shared" si="34"/>
        <v>41</v>
      </c>
      <c r="K100" s="175">
        <v>45626</v>
      </c>
      <c r="M100" s="118">
        <f t="shared" si="53"/>
        <v>15.138888888888889</v>
      </c>
      <c r="O100" s="177">
        <f t="shared" si="61"/>
        <v>0.86</v>
      </c>
      <c r="Q100" s="120">
        <f t="shared" si="51"/>
        <v>121.11111111111066</v>
      </c>
      <c r="R100">
        <f t="shared" si="35"/>
        <v>41</v>
      </c>
      <c r="T100" s="175">
        <v>45626</v>
      </c>
      <c r="V100" s="118">
        <f t="shared" si="58"/>
        <v>7.56</v>
      </c>
      <c r="X100" s="177">
        <f t="shared" si="63"/>
        <v>0.95</v>
      </c>
      <c r="Z100" s="120">
        <f t="shared" si="48"/>
        <v>143.47999999999996</v>
      </c>
      <c r="AA100">
        <f t="shared" si="37"/>
        <v>41</v>
      </c>
      <c r="AC100" s="175">
        <v>45626</v>
      </c>
      <c r="AE100" s="118">
        <f t="shared" si="59"/>
        <v>12.08</v>
      </c>
      <c r="AG100" s="177">
        <f t="shared" si="64"/>
        <v>3.5</v>
      </c>
      <c r="AI100" s="120">
        <f t="shared" si="49"/>
        <v>519.6399999999993</v>
      </c>
      <c r="AJ100">
        <f t="shared" si="40"/>
        <v>41</v>
      </c>
      <c r="AL100" s="175">
        <v>45626</v>
      </c>
      <c r="AN100" s="118">
        <f t="shared" si="60"/>
        <v>13.541666666666666</v>
      </c>
      <c r="AP100" s="177">
        <f t="shared" si="56"/>
        <v>0.71</v>
      </c>
      <c r="AR100" s="120">
        <f t="shared" si="57"/>
        <v>94.791666666666643</v>
      </c>
      <c r="AS100" s="175">
        <v>45626</v>
      </c>
      <c r="AT100" s="120"/>
      <c r="AU100" s="273">
        <f t="shared" si="31"/>
        <v>0.12</v>
      </c>
      <c r="AV100" s="131">
        <f t="shared" si="28"/>
        <v>0.86</v>
      </c>
      <c r="AW100" s="131">
        <f t="shared" si="29"/>
        <v>0.95</v>
      </c>
      <c r="AX100" s="120">
        <f t="shared" si="46"/>
        <v>3.5</v>
      </c>
      <c r="AY100">
        <f t="shared" si="54"/>
        <v>13.33</v>
      </c>
      <c r="AZ100" s="120">
        <f t="shared" si="55"/>
        <v>0.71</v>
      </c>
    </row>
    <row r="101" spans="1:55" x14ac:dyDescent="0.2">
      <c r="A101">
        <f t="shared" si="52"/>
        <v>42</v>
      </c>
      <c r="C101" s="175">
        <v>45657</v>
      </c>
      <c r="D101" s="118">
        <f t="shared" si="50"/>
        <v>3.9027777777777786</v>
      </c>
      <c r="F101" s="177">
        <f t="shared" si="62"/>
        <v>0.09</v>
      </c>
      <c r="H101" s="120">
        <f t="shared" si="47"/>
        <v>11.708333333333471</v>
      </c>
      <c r="I101">
        <f t="shared" si="34"/>
        <v>42</v>
      </c>
      <c r="K101" s="175">
        <v>45657</v>
      </c>
      <c r="M101" s="118">
        <f t="shared" si="53"/>
        <v>15.138888888888889</v>
      </c>
      <c r="O101" s="177">
        <f t="shared" si="61"/>
        <v>0.76</v>
      </c>
      <c r="Q101" s="120">
        <f t="shared" si="51"/>
        <v>105.97222222222177</v>
      </c>
      <c r="R101">
        <f t="shared" si="35"/>
        <v>42</v>
      </c>
      <c r="T101" s="175">
        <v>45657</v>
      </c>
      <c r="V101" s="118">
        <f t="shared" si="58"/>
        <v>7.56</v>
      </c>
      <c r="X101" s="177">
        <f t="shared" si="63"/>
        <v>0.9</v>
      </c>
      <c r="Z101" s="120">
        <f t="shared" si="48"/>
        <v>135.91999999999996</v>
      </c>
      <c r="AA101">
        <f t="shared" si="37"/>
        <v>42</v>
      </c>
      <c r="AC101" s="175">
        <v>45657</v>
      </c>
      <c r="AE101" s="118">
        <f t="shared" si="59"/>
        <v>12.08</v>
      </c>
      <c r="AG101" s="177">
        <f t="shared" si="64"/>
        <v>3.42</v>
      </c>
      <c r="AI101" s="120">
        <f t="shared" si="49"/>
        <v>507.55999999999932</v>
      </c>
      <c r="AJ101">
        <f t="shared" si="40"/>
        <v>42</v>
      </c>
      <c r="AL101" s="175">
        <v>45657</v>
      </c>
      <c r="AN101" s="118">
        <f t="shared" si="60"/>
        <v>13.541666666666666</v>
      </c>
      <c r="AP101" s="177">
        <f t="shared" si="56"/>
        <v>0.62</v>
      </c>
      <c r="AR101" s="120">
        <f t="shared" si="57"/>
        <v>81.249999999999972</v>
      </c>
      <c r="AS101" s="175">
        <v>45657</v>
      </c>
      <c r="AT101" s="120"/>
      <c r="AU101" s="273">
        <f t="shared" si="31"/>
        <v>0.09</v>
      </c>
      <c r="AV101" s="131">
        <f t="shared" si="28"/>
        <v>0.76</v>
      </c>
      <c r="AW101" s="131">
        <f t="shared" si="29"/>
        <v>0.9</v>
      </c>
      <c r="AX101" s="120">
        <f t="shared" si="46"/>
        <v>3.42</v>
      </c>
      <c r="AY101">
        <f t="shared" si="54"/>
        <v>13.33</v>
      </c>
      <c r="AZ101" s="120">
        <f t="shared" si="55"/>
        <v>0.62</v>
      </c>
    </row>
    <row r="102" spans="1:55" x14ac:dyDescent="0.2">
      <c r="A102">
        <f t="shared" si="52"/>
        <v>43</v>
      </c>
      <c r="C102" s="175">
        <v>45688</v>
      </c>
      <c r="D102" s="118">
        <f t="shared" si="50"/>
        <v>3.9027777777777786</v>
      </c>
      <c r="F102" s="177">
        <f t="shared" si="62"/>
        <v>7.0000000000000007E-2</v>
      </c>
      <c r="H102" s="120">
        <f t="shared" si="47"/>
        <v>7.8055555555556921</v>
      </c>
      <c r="I102">
        <f t="shared" si="34"/>
        <v>43</v>
      </c>
      <c r="K102" s="175">
        <v>45688</v>
      </c>
      <c r="M102" s="118">
        <f t="shared" si="53"/>
        <v>15.138888888888889</v>
      </c>
      <c r="O102" s="177">
        <f t="shared" si="61"/>
        <v>0.67</v>
      </c>
      <c r="Q102" s="120">
        <f t="shared" si="51"/>
        <v>90.833333333332888</v>
      </c>
      <c r="R102">
        <f t="shared" si="35"/>
        <v>43</v>
      </c>
      <c r="T102" s="175">
        <v>45688</v>
      </c>
      <c r="V102" s="118">
        <f t="shared" si="58"/>
        <v>7.56</v>
      </c>
      <c r="X102" s="177">
        <f t="shared" si="63"/>
        <v>0.85</v>
      </c>
      <c r="Z102" s="120">
        <f t="shared" si="48"/>
        <v>128.35999999999996</v>
      </c>
      <c r="AA102">
        <f t="shared" si="37"/>
        <v>43</v>
      </c>
      <c r="AC102" s="175">
        <v>45688</v>
      </c>
      <c r="AE102" s="118">
        <f t="shared" si="59"/>
        <v>12.08</v>
      </c>
      <c r="AG102" s="177">
        <f t="shared" si="64"/>
        <v>3.34</v>
      </c>
      <c r="AI102" s="120">
        <f t="shared" si="49"/>
        <v>495.47999999999934</v>
      </c>
      <c r="AJ102">
        <f t="shared" si="40"/>
        <v>43</v>
      </c>
      <c r="AL102" s="175">
        <v>45688</v>
      </c>
      <c r="AN102" s="118">
        <f t="shared" si="60"/>
        <v>13.541666666666666</v>
      </c>
      <c r="AP102" s="177">
        <f t="shared" si="56"/>
        <v>0.53</v>
      </c>
      <c r="AR102" s="120">
        <f t="shared" si="57"/>
        <v>67.7083333333333</v>
      </c>
      <c r="AS102" s="175">
        <v>45688</v>
      </c>
      <c r="AT102" s="120"/>
      <c r="AU102" s="273">
        <f t="shared" si="31"/>
        <v>7.0000000000000007E-2</v>
      </c>
      <c r="AV102" s="131">
        <f t="shared" si="28"/>
        <v>0.67</v>
      </c>
      <c r="AW102" s="131">
        <f t="shared" si="29"/>
        <v>0.85</v>
      </c>
      <c r="AX102" s="120">
        <f t="shared" si="46"/>
        <v>3.34</v>
      </c>
      <c r="AY102">
        <f t="shared" si="54"/>
        <v>13.33</v>
      </c>
      <c r="AZ102" s="120">
        <f t="shared" si="55"/>
        <v>0.53</v>
      </c>
    </row>
    <row r="103" spans="1:55" x14ac:dyDescent="0.2">
      <c r="A103">
        <f t="shared" si="52"/>
        <v>44</v>
      </c>
      <c r="C103" s="175">
        <v>45716</v>
      </c>
      <c r="D103" s="118">
        <f t="shared" si="50"/>
        <v>3.9027777777777786</v>
      </c>
      <c r="F103" s="177">
        <f t="shared" si="62"/>
        <v>0.05</v>
      </c>
      <c r="H103" s="120">
        <f t="shared" si="47"/>
        <v>3.9027777777779136</v>
      </c>
      <c r="I103">
        <f t="shared" si="34"/>
        <v>44</v>
      </c>
      <c r="K103" s="175">
        <v>45716</v>
      </c>
      <c r="M103" s="118">
        <f t="shared" si="53"/>
        <v>15.138888888888889</v>
      </c>
      <c r="O103" s="177">
        <f t="shared" si="61"/>
        <v>0.56999999999999995</v>
      </c>
      <c r="Q103" s="120">
        <f t="shared" si="51"/>
        <v>75.694444444444002</v>
      </c>
      <c r="R103">
        <f t="shared" si="35"/>
        <v>44</v>
      </c>
      <c r="T103" s="175">
        <v>45716</v>
      </c>
      <c r="V103" s="118">
        <f t="shared" si="58"/>
        <v>7.56</v>
      </c>
      <c r="X103" s="177">
        <f t="shared" si="63"/>
        <v>0.81</v>
      </c>
      <c r="Z103" s="120">
        <f t="shared" si="48"/>
        <v>120.79999999999995</v>
      </c>
      <c r="AA103">
        <f t="shared" si="37"/>
        <v>44</v>
      </c>
      <c r="AC103" s="175">
        <v>45716</v>
      </c>
      <c r="AE103" s="118">
        <f t="shared" si="59"/>
        <v>12.08</v>
      </c>
      <c r="AG103" s="177">
        <f t="shared" si="64"/>
        <v>3.26</v>
      </c>
      <c r="AI103" s="120">
        <f t="shared" si="49"/>
        <v>483.39999999999935</v>
      </c>
      <c r="AJ103">
        <f t="shared" si="40"/>
        <v>44</v>
      </c>
      <c r="AL103" s="175">
        <v>45716</v>
      </c>
      <c r="AN103" s="118">
        <f t="shared" si="60"/>
        <v>13.541666666666666</v>
      </c>
      <c r="AP103" s="177">
        <f t="shared" si="56"/>
        <v>0.45</v>
      </c>
      <c r="AR103" s="120">
        <f t="shared" si="57"/>
        <v>54.166666666666636</v>
      </c>
      <c r="AS103" s="175">
        <v>45716</v>
      </c>
      <c r="AT103" s="120"/>
      <c r="AU103" s="273">
        <f t="shared" si="31"/>
        <v>0.05</v>
      </c>
      <c r="AV103" s="131">
        <f t="shared" si="28"/>
        <v>0.56999999999999995</v>
      </c>
      <c r="AW103" s="131">
        <f t="shared" si="29"/>
        <v>0.81</v>
      </c>
      <c r="AX103" s="120">
        <f t="shared" si="46"/>
        <v>3.26</v>
      </c>
      <c r="AY103">
        <f t="shared" si="54"/>
        <v>13.33</v>
      </c>
      <c r="AZ103" s="120">
        <f t="shared" si="55"/>
        <v>0.45</v>
      </c>
    </row>
    <row r="104" spans="1:55" s="137" customFormat="1" x14ac:dyDescent="0.2">
      <c r="A104" s="137">
        <f t="shared" si="52"/>
        <v>45</v>
      </c>
      <c r="C104" s="175">
        <v>45747</v>
      </c>
      <c r="D104" s="118">
        <f t="shared" si="50"/>
        <v>3.9027777777777786</v>
      </c>
      <c r="E104" s="138">
        <f>SUM(D93:D104)</f>
        <v>46.833333333333343</v>
      </c>
      <c r="F104" s="177">
        <f t="shared" si="62"/>
        <v>0.02</v>
      </c>
      <c r="G104" s="138">
        <f>SUM(F93:F104)</f>
        <v>1.82</v>
      </c>
      <c r="H104" s="138">
        <f t="shared" si="47"/>
        <v>1.3500311979441904E-13</v>
      </c>
      <c r="I104" s="137">
        <f t="shared" si="34"/>
        <v>45</v>
      </c>
      <c r="K104" s="175">
        <v>45747</v>
      </c>
      <c r="M104" s="139">
        <f t="shared" si="53"/>
        <v>15.138888888888889</v>
      </c>
      <c r="N104" s="138">
        <f>SUM(M93:M104)</f>
        <v>181.66666666666666</v>
      </c>
      <c r="O104" s="177">
        <f t="shared" si="61"/>
        <v>0.48</v>
      </c>
      <c r="P104" s="138">
        <f>SUM(O93:O104)</f>
        <v>12</v>
      </c>
      <c r="Q104" s="138">
        <f t="shared" si="51"/>
        <v>60.555555555555117</v>
      </c>
      <c r="R104" s="137">
        <f t="shared" si="35"/>
        <v>45</v>
      </c>
      <c r="T104" s="175">
        <v>45747</v>
      </c>
      <c r="V104" s="139">
        <f t="shared" si="58"/>
        <v>7.56</v>
      </c>
      <c r="W104" s="138">
        <f>SUM(V93:V104)</f>
        <v>90.720000000000013</v>
      </c>
      <c r="X104" s="177">
        <f t="shared" si="63"/>
        <v>0.76</v>
      </c>
      <c r="Y104" s="138">
        <f>SUM(X93:X104)</f>
        <v>12.24</v>
      </c>
      <c r="Z104" s="138">
        <f t="shared" si="48"/>
        <v>113.23999999999995</v>
      </c>
      <c r="AA104" s="137">
        <f t="shared" si="37"/>
        <v>45</v>
      </c>
      <c r="AC104" s="175">
        <v>45747</v>
      </c>
      <c r="AE104" s="139">
        <f t="shared" si="59"/>
        <v>12.08</v>
      </c>
      <c r="AF104" s="138">
        <f>SUM(AE93:AE104)</f>
        <v>144.96</v>
      </c>
      <c r="AG104" s="177">
        <f t="shared" si="64"/>
        <v>3.18</v>
      </c>
      <c r="AH104" s="138">
        <f>SUM(AG93:AG104)</f>
        <v>43.39</v>
      </c>
      <c r="AI104" s="138">
        <f t="shared" si="49"/>
        <v>471.31999999999937</v>
      </c>
      <c r="AJ104" s="137">
        <f t="shared" si="40"/>
        <v>45</v>
      </c>
      <c r="AL104" s="175">
        <v>45747</v>
      </c>
      <c r="AN104" s="139">
        <f t="shared" si="60"/>
        <v>13.541666666666666</v>
      </c>
      <c r="AO104" s="138">
        <f>SUM(AN93:AN104)</f>
        <v>162.5</v>
      </c>
      <c r="AP104" s="177">
        <f t="shared" si="56"/>
        <v>0.36</v>
      </c>
      <c r="AQ104" s="138">
        <f>SUM(AP93:AP104)</f>
        <v>10.159999999999997</v>
      </c>
      <c r="AR104" s="120">
        <f t="shared" si="57"/>
        <v>40.624999999999972</v>
      </c>
      <c r="AS104" s="175">
        <v>45747</v>
      </c>
      <c r="AT104" s="120"/>
      <c r="AU104" s="273">
        <f t="shared" si="31"/>
        <v>0.02</v>
      </c>
      <c r="AV104" s="131">
        <f t="shared" si="28"/>
        <v>0.48</v>
      </c>
      <c r="AW104" s="131">
        <f t="shared" si="29"/>
        <v>0.76</v>
      </c>
      <c r="AX104" s="120">
        <f t="shared" si="46"/>
        <v>3.18</v>
      </c>
      <c r="AY104">
        <f t="shared" si="54"/>
        <v>13.33</v>
      </c>
      <c r="AZ104" s="120">
        <f t="shared" si="55"/>
        <v>0.36</v>
      </c>
      <c r="BA104" s="137">
        <f>SUM(AU93:AZ104)</f>
        <v>239.57000000000005</v>
      </c>
      <c r="BB104" s="137">
        <v>0</v>
      </c>
      <c r="BC104" s="138">
        <f>BA104-BB104</f>
        <v>239.57000000000005</v>
      </c>
    </row>
    <row r="105" spans="1:55" x14ac:dyDescent="0.2">
      <c r="A105">
        <f t="shared" si="52"/>
        <v>46</v>
      </c>
      <c r="C105" s="175"/>
      <c r="D105" s="118"/>
      <c r="F105" s="177"/>
      <c r="H105" s="120">
        <f t="shared" si="47"/>
        <v>1.3500311979441904E-13</v>
      </c>
      <c r="I105">
        <f t="shared" si="34"/>
        <v>46</v>
      </c>
      <c r="K105" s="175">
        <v>45777</v>
      </c>
      <c r="M105" s="118">
        <f t="shared" si="53"/>
        <v>15.138888888888889</v>
      </c>
      <c r="O105" s="177">
        <f t="shared" si="61"/>
        <v>0.38</v>
      </c>
      <c r="Q105" s="120">
        <f t="shared" si="51"/>
        <v>45.416666666666231</v>
      </c>
      <c r="R105">
        <f t="shared" si="35"/>
        <v>46</v>
      </c>
      <c r="T105" s="175">
        <v>45777</v>
      </c>
      <c r="V105" s="118">
        <f t="shared" si="58"/>
        <v>7.56</v>
      </c>
      <c r="X105" s="177">
        <f t="shared" si="63"/>
        <v>0.71</v>
      </c>
      <c r="Z105" s="120">
        <f t="shared" si="48"/>
        <v>105.67999999999995</v>
      </c>
      <c r="AA105">
        <f t="shared" si="37"/>
        <v>46</v>
      </c>
      <c r="AC105" s="175">
        <v>45777</v>
      </c>
      <c r="AE105" s="118">
        <f t="shared" si="59"/>
        <v>12.08</v>
      </c>
      <c r="AG105" s="177">
        <f t="shared" si="64"/>
        <v>3.1</v>
      </c>
      <c r="AI105" s="120">
        <f t="shared" si="49"/>
        <v>459.23999999999938</v>
      </c>
      <c r="AJ105">
        <f t="shared" si="40"/>
        <v>46</v>
      </c>
      <c r="AL105" s="175">
        <v>45777</v>
      </c>
      <c r="AN105" s="118">
        <f t="shared" si="60"/>
        <v>13.541666666666666</v>
      </c>
      <c r="AP105" s="177">
        <f t="shared" si="56"/>
        <v>0.27</v>
      </c>
      <c r="AR105" s="120">
        <f t="shared" si="57"/>
        <v>27.083333333333307</v>
      </c>
      <c r="AS105" s="175">
        <v>45777</v>
      </c>
      <c r="AT105" s="120"/>
      <c r="AU105" s="273">
        <f t="shared" si="31"/>
        <v>0</v>
      </c>
      <c r="AV105" s="131">
        <f t="shared" si="28"/>
        <v>0.38</v>
      </c>
      <c r="AW105" s="131">
        <f t="shared" si="29"/>
        <v>0.71</v>
      </c>
      <c r="AX105" s="120">
        <f t="shared" si="46"/>
        <v>3.1</v>
      </c>
      <c r="AY105">
        <f t="shared" si="54"/>
        <v>13.33</v>
      </c>
      <c r="AZ105" s="120">
        <f t="shared" si="55"/>
        <v>0.27</v>
      </c>
    </row>
    <row r="106" spans="1:55" x14ac:dyDescent="0.2">
      <c r="A106">
        <f t="shared" si="52"/>
        <v>47</v>
      </c>
      <c r="C106" s="175"/>
      <c r="D106" s="118"/>
      <c r="F106" s="177"/>
      <c r="H106" s="120">
        <f t="shared" si="47"/>
        <v>1.3500311979441904E-13</v>
      </c>
      <c r="I106">
        <f t="shared" si="34"/>
        <v>47</v>
      </c>
      <c r="K106" s="175">
        <v>45808</v>
      </c>
      <c r="M106" s="118">
        <f t="shared" si="53"/>
        <v>15.138888888888889</v>
      </c>
      <c r="O106" s="177">
        <f t="shared" si="61"/>
        <v>0.28999999999999998</v>
      </c>
      <c r="Q106" s="120">
        <f t="shared" si="51"/>
        <v>30.277777777777342</v>
      </c>
      <c r="R106">
        <f t="shared" si="35"/>
        <v>47</v>
      </c>
      <c r="T106" s="175">
        <v>45808</v>
      </c>
      <c r="V106" s="118">
        <f t="shared" si="58"/>
        <v>7.56</v>
      </c>
      <c r="X106" s="177">
        <f t="shared" si="63"/>
        <v>0.66</v>
      </c>
      <c r="Z106" s="120">
        <f t="shared" si="48"/>
        <v>98.119999999999948</v>
      </c>
      <c r="AA106">
        <f t="shared" si="37"/>
        <v>47</v>
      </c>
      <c r="AC106" s="175">
        <v>45808</v>
      </c>
      <c r="AE106" s="118">
        <f t="shared" si="59"/>
        <v>12.08</v>
      </c>
      <c r="AG106" s="177">
        <f t="shared" si="64"/>
        <v>3.02</v>
      </c>
      <c r="AI106" s="120">
        <f t="shared" si="49"/>
        <v>447.1599999999994</v>
      </c>
      <c r="AJ106">
        <f t="shared" si="40"/>
        <v>47</v>
      </c>
      <c r="AL106" s="175">
        <v>45808</v>
      </c>
      <c r="AN106" s="118">
        <f t="shared" si="60"/>
        <v>13.541666666666666</v>
      </c>
      <c r="AP106" s="177">
        <f t="shared" si="56"/>
        <v>0.18</v>
      </c>
      <c r="AR106" s="120">
        <f t="shared" si="57"/>
        <v>13.541666666666641</v>
      </c>
      <c r="AS106" s="175">
        <v>45808</v>
      </c>
      <c r="AT106" s="120"/>
      <c r="AU106" s="273">
        <f t="shared" si="31"/>
        <v>0</v>
      </c>
      <c r="AV106" s="131">
        <f t="shared" si="28"/>
        <v>0.28999999999999998</v>
      </c>
      <c r="AW106" s="131">
        <f t="shared" si="29"/>
        <v>0.66</v>
      </c>
      <c r="AX106" s="120">
        <f t="shared" si="46"/>
        <v>3.02</v>
      </c>
      <c r="AY106">
        <f t="shared" si="54"/>
        <v>13.33</v>
      </c>
      <c r="AZ106" s="120">
        <f t="shared" si="55"/>
        <v>0.18</v>
      </c>
    </row>
    <row r="107" spans="1:55" x14ac:dyDescent="0.2">
      <c r="A107">
        <f t="shared" si="52"/>
        <v>48</v>
      </c>
      <c r="C107" s="175"/>
      <c r="D107" s="118"/>
      <c r="F107" s="177"/>
      <c r="H107" s="120">
        <f t="shared" si="47"/>
        <v>1.3500311979441904E-13</v>
      </c>
      <c r="I107">
        <f t="shared" si="34"/>
        <v>48</v>
      </c>
      <c r="K107" s="175">
        <v>45838</v>
      </c>
      <c r="M107" s="118">
        <f t="shared" si="53"/>
        <v>15.138888888888889</v>
      </c>
      <c r="O107" s="177">
        <f t="shared" si="61"/>
        <v>0.19</v>
      </c>
      <c r="Q107" s="120">
        <f t="shared" si="51"/>
        <v>15.138888888888452</v>
      </c>
      <c r="R107">
        <f t="shared" si="35"/>
        <v>48</v>
      </c>
      <c r="T107" s="175">
        <v>45838</v>
      </c>
      <c r="V107" s="118">
        <f t="shared" si="58"/>
        <v>7.56</v>
      </c>
      <c r="X107" s="177">
        <f t="shared" si="63"/>
        <v>0.62</v>
      </c>
      <c r="Z107" s="120">
        <f t="shared" si="48"/>
        <v>90.559999999999945</v>
      </c>
      <c r="AA107">
        <f t="shared" si="37"/>
        <v>48</v>
      </c>
      <c r="AC107" s="175">
        <v>45838</v>
      </c>
      <c r="AE107" s="118">
        <f t="shared" si="59"/>
        <v>12.08</v>
      </c>
      <c r="AG107" s="177">
        <f t="shared" si="64"/>
        <v>2.94</v>
      </c>
      <c r="AI107" s="120">
        <f t="shared" si="49"/>
        <v>435.07999999999942</v>
      </c>
      <c r="AJ107">
        <f t="shared" si="40"/>
        <v>48</v>
      </c>
      <c r="AL107" s="175">
        <v>45838</v>
      </c>
      <c r="AN107" s="118">
        <f t="shared" si="60"/>
        <v>13.541666666666666</v>
      </c>
      <c r="AP107" s="177">
        <f t="shared" si="56"/>
        <v>0.09</v>
      </c>
      <c r="AR107" s="120">
        <f t="shared" si="57"/>
        <v>-2.4868995751603507E-14</v>
      </c>
      <c r="AS107" s="175">
        <v>45838</v>
      </c>
      <c r="AT107" s="120"/>
      <c r="AU107" s="273">
        <f t="shared" si="31"/>
        <v>0</v>
      </c>
      <c r="AV107" s="131">
        <f t="shared" si="28"/>
        <v>0.19</v>
      </c>
      <c r="AW107" s="131">
        <f t="shared" si="29"/>
        <v>0.62</v>
      </c>
      <c r="AX107" s="120">
        <f t="shared" si="46"/>
        <v>2.94</v>
      </c>
      <c r="AY107">
        <f t="shared" si="54"/>
        <v>13.33</v>
      </c>
      <c r="AZ107" s="120">
        <f t="shared" si="55"/>
        <v>0.09</v>
      </c>
    </row>
    <row r="108" spans="1:55" x14ac:dyDescent="0.2">
      <c r="A108" s="137">
        <f t="shared" si="52"/>
        <v>49</v>
      </c>
      <c r="B108" s="137"/>
      <c r="C108" s="141"/>
      <c r="D108" s="139"/>
      <c r="E108" s="138"/>
      <c r="F108" s="138"/>
      <c r="G108" s="138">
        <f>SUM(F105:F108)</f>
        <v>0</v>
      </c>
      <c r="H108" s="138">
        <f t="shared" si="47"/>
        <v>1.3500311979441904E-13</v>
      </c>
      <c r="I108" s="137">
        <f t="shared" si="34"/>
        <v>49</v>
      </c>
      <c r="J108" s="137"/>
      <c r="K108" s="141">
        <v>45869</v>
      </c>
      <c r="L108" s="137"/>
      <c r="M108" s="139">
        <f t="shared" si="53"/>
        <v>15.138888888888889</v>
      </c>
      <c r="N108" s="138">
        <f>SUM(M105:M108)</f>
        <v>60.555555555555557</v>
      </c>
      <c r="O108" s="138">
        <f t="shared" si="61"/>
        <v>0.1</v>
      </c>
      <c r="P108" s="138">
        <f>SUM(O105:O108)</f>
        <v>0.95999999999999985</v>
      </c>
      <c r="Q108" s="120">
        <f t="shared" si="51"/>
        <v>-4.3698378249246161E-13</v>
      </c>
      <c r="R108">
        <f t="shared" si="35"/>
        <v>49</v>
      </c>
      <c r="T108" s="175">
        <v>45869</v>
      </c>
      <c r="V108" s="118">
        <f t="shared" si="58"/>
        <v>7.56</v>
      </c>
      <c r="X108" s="177">
        <f t="shared" si="63"/>
        <v>0.56999999999999995</v>
      </c>
      <c r="Z108" s="120">
        <f t="shared" si="48"/>
        <v>82.999999999999943</v>
      </c>
      <c r="AA108">
        <f t="shared" si="37"/>
        <v>49</v>
      </c>
      <c r="AC108" s="175">
        <v>45869</v>
      </c>
      <c r="AE108" s="118">
        <f t="shared" si="59"/>
        <v>12.08</v>
      </c>
      <c r="AG108" s="177">
        <f t="shared" si="64"/>
        <v>2.86</v>
      </c>
      <c r="AI108" s="120">
        <f t="shared" si="49"/>
        <v>422.99999999999943</v>
      </c>
      <c r="AJ108">
        <f t="shared" si="40"/>
        <v>49</v>
      </c>
      <c r="AL108" s="175">
        <v>45869</v>
      </c>
      <c r="AN108" s="118"/>
      <c r="AP108" s="177">
        <f t="shared" si="56"/>
        <v>0</v>
      </c>
      <c r="AR108" s="120">
        <f t="shared" si="57"/>
        <v>-2.4868995751603507E-14</v>
      </c>
      <c r="AS108" s="175">
        <v>45869</v>
      </c>
      <c r="AT108" s="120"/>
      <c r="AU108" s="273">
        <f t="shared" si="31"/>
        <v>0</v>
      </c>
      <c r="AV108" s="131">
        <f t="shared" si="28"/>
        <v>0.1</v>
      </c>
      <c r="AW108" s="131">
        <f t="shared" si="29"/>
        <v>0.56999999999999995</v>
      </c>
      <c r="AX108" s="120">
        <f t="shared" si="46"/>
        <v>2.86</v>
      </c>
      <c r="AY108">
        <f t="shared" si="54"/>
        <v>13.33</v>
      </c>
      <c r="AZ108" s="120">
        <f t="shared" si="55"/>
        <v>0</v>
      </c>
    </row>
    <row r="109" spans="1:55" x14ac:dyDescent="0.2">
      <c r="C109" s="113"/>
      <c r="D109" s="118"/>
      <c r="F109" s="120"/>
      <c r="G109" s="120">
        <f>SUM(G67:G108)</f>
        <v>27.57</v>
      </c>
      <c r="H109" s="120"/>
      <c r="K109" s="160"/>
      <c r="M109" s="118"/>
      <c r="O109" s="120"/>
      <c r="P109" s="120">
        <f>SUM(P67:P108)</f>
        <v>118.29</v>
      </c>
      <c r="Q109" s="120"/>
      <c r="R109">
        <f>R108+1</f>
        <v>50</v>
      </c>
      <c r="S109" s="120"/>
      <c r="T109" s="175">
        <v>45900</v>
      </c>
      <c r="V109" s="118">
        <f>V108</f>
        <v>7.56</v>
      </c>
      <c r="X109" s="177">
        <f t="shared" si="63"/>
        <v>0.52</v>
      </c>
      <c r="Z109" s="120">
        <f>Z108-V109</f>
        <v>75.439999999999941</v>
      </c>
      <c r="AA109">
        <f>AA108+1</f>
        <v>50</v>
      </c>
      <c r="AB109" s="120"/>
      <c r="AC109" s="175">
        <v>45900</v>
      </c>
      <c r="AE109" s="118">
        <f>AE108</f>
        <v>12.08</v>
      </c>
      <c r="AG109" s="177">
        <f t="shared" si="64"/>
        <v>2.78</v>
      </c>
      <c r="AI109" s="120">
        <f>AI108-AE109</f>
        <v>410.91999999999945</v>
      </c>
      <c r="AJ109">
        <f>AJ108+1</f>
        <v>50</v>
      </c>
      <c r="AK109" s="120"/>
      <c r="AL109" s="175">
        <v>45900</v>
      </c>
      <c r="AN109" s="118"/>
      <c r="AP109" s="177">
        <f t="shared" si="56"/>
        <v>0</v>
      </c>
      <c r="AR109" s="120">
        <f>AR108-AN109</f>
        <v>-2.4868995751603507E-14</v>
      </c>
      <c r="AS109" s="175">
        <v>45900</v>
      </c>
      <c r="AT109" s="120"/>
      <c r="AU109" s="273">
        <f t="shared" si="31"/>
        <v>0</v>
      </c>
      <c r="AV109" s="131">
        <f t="shared" si="28"/>
        <v>0</v>
      </c>
      <c r="AW109" s="131">
        <f t="shared" si="29"/>
        <v>0.52</v>
      </c>
      <c r="AX109" s="120">
        <f t="shared" si="46"/>
        <v>2.78</v>
      </c>
      <c r="AY109">
        <f t="shared" si="54"/>
        <v>13.33</v>
      </c>
      <c r="AZ109" s="120">
        <f t="shared" si="55"/>
        <v>0</v>
      </c>
    </row>
    <row r="110" spans="1:55" x14ac:dyDescent="0.2">
      <c r="C110" s="113"/>
      <c r="D110" s="118"/>
      <c r="F110" s="120"/>
      <c r="H110" s="120"/>
      <c r="K110" s="160"/>
      <c r="M110" s="118"/>
      <c r="O110" s="120"/>
      <c r="Q110" s="120"/>
      <c r="R110">
        <f t="shared" si="35"/>
        <v>51</v>
      </c>
      <c r="S110" s="120"/>
      <c r="T110" s="175">
        <v>45930</v>
      </c>
      <c r="V110" s="118">
        <f t="shared" si="58"/>
        <v>7.56</v>
      </c>
      <c r="X110" s="177">
        <f t="shared" si="63"/>
        <v>0.47</v>
      </c>
      <c r="Z110" s="120">
        <f t="shared" ref="Z110:Z119" si="65">Z109-V110</f>
        <v>67.879999999999939</v>
      </c>
      <c r="AA110">
        <f t="shared" si="37"/>
        <v>51</v>
      </c>
      <c r="AB110" s="120"/>
      <c r="AC110" s="175">
        <v>45930</v>
      </c>
      <c r="AE110" s="118">
        <f t="shared" si="59"/>
        <v>12.08</v>
      </c>
      <c r="AG110" s="177">
        <f t="shared" si="64"/>
        <v>2.7</v>
      </c>
      <c r="AI110" s="120">
        <f t="shared" ref="AI110:AI143" si="66">AI109-AE110</f>
        <v>398.83999999999946</v>
      </c>
      <c r="AJ110">
        <f t="shared" si="40"/>
        <v>51</v>
      </c>
      <c r="AK110" s="120"/>
      <c r="AL110" s="175">
        <v>45930</v>
      </c>
      <c r="AN110" s="118"/>
      <c r="AP110" s="177">
        <f t="shared" si="56"/>
        <v>0</v>
      </c>
      <c r="AR110" s="120">
        <f t="shared" si="57"/>
        <v>-2.4868995751603507E-14</v>
      </c>
      <c r="AS110" s="175">
        <v>45930</v>
      </c>
      <c r="AT110" s="120"/>
      <c r="AU110" s="273">
        <f t="shared" si="31"/>
        <v>0</v>
      </c>
      <c r="AV110" s="131">
        <f t="shared" si="28"/>
        <v>0</v>
      </c>
      <c r="AW110" s="131">
        <f t="shared" si="29"/>
        <v>0.47</v>
      </c>
      <c r="AX110" s="120">
        <f t="shared" si="46"/>
        <v>2.7</v>
      </c>
      <c r="AY110">
        <f t="shared" si="54"/>
        <v>13.33</v>
      </c>
      <c r="AZ110" s="120">
        <f t="shared" si="55"/>
        <v>0</v>
      </c>
    </row>
    <row r="111" spans="1:55" x14ac:dyDescent="0.2">
      <c r="C111" s="113"/>
      <c r="D111" s="118"/>
      <c r="F111" s="120"/>
      <c r="H111" s="120"/>
      <c r="K111" s="160"/>
      <c r="M111" s="118"/>
      <c r="O111" s="120"/>
      <c r="Q111" s="120"/>
      <c r="R111">
        <f t="shared" si="35"/>
        <v>52</v>
      </c>
      <c r="S111" s="120"/>
      <c r="T111" s="175">
        <v>45961</v>
      </c>
      <c r="V111" s="118">
        <f t="shared" si="58"/>
        <v>7.56</v>
      </c>
      <c r="X111" s="177">
        <f t="shared" si="63"/>
        <v>0.43</v>
      </c>
      <c r="Z111" s="120">
        <f t="shared" si="65"/>
        <v>60.319999999999936</v>
      </c>
      <c r="AA111">
        <f t="shared" si="37"/>
        <v>52</v>
      </c>
      <c r="AB111" s="120"/>
      <c r="AC111" s="175">
        <v>45961</v>
      </c>
      <c r="AE111" s="118">
        <f t="shared" si="59"/>
        <v>12.08</v>
      </c>
      <c r="AG111" s="177">
        <f t="shared" si="64"/>
        <v>2.62</v>
      </c>
      <c r="AI111" s="120">
        <f t="shared" si="66"/>
        <v>386.75999999999948</v>
      </c>
      <c r="AJ111">
        <f t="shared" si="40"/>
        <v>52</v>
      </c>
      <c r="AK111" s="120"/>
      <c r="AL111" s="175">
        <v>45961</v>
      </c>
      <c r="AN111" s="118"/>
      <c r="AP111" s="177">
        <f t="shared" si="56"/>
        <v>0</v>
      </c>
      <c r="AR111" s="120">
        <f t="shared" si="57"/>
        <v>-2.4868995751603507E-14</v>
      </c>
      <c r="AS111" s="175">
        <v>45961</v>
      </c>
      <c r="AT111" s="120"/>
      <c r="AU111" s="273">
        <f t="shared" si="31"/>
        <v>0</v>
      </c>
      <c r="AV111" s="131">
        <f t="shared" si="28"/>
        <v>0</v>
      </c>
      <c r="AW111" s="131">
        <f t="shared" si="29"/>
        <v>0.43</v>
      </c>
      <c r="AX111" s="120">
        <f t="shared" si="46"/>
        <v>2.62</v>
      </c>
      <c r="AY111">
        <f t="shared" si="54"/>
        <v>13.33</v>
      </c>
      <c r="AZ111" s="120">
        <f t="shared" si="55"/>
        <v>0</v>
      </c>
    </row>
    <row r="112" spans="1:55" x14ac:dyDescent="0.2">
      <c r="C112" s="113"/>
      <c r="D112" s="118"/>
      <c r="F112" s="120"/>
      <c r="H112" s="120"/>
      <c r="K112" s="160"/>
      <c r="M112" s="118"/>
      <c r="O112" s="120"/>
      <c r="Q112" s="120"/>
      <c r="R112">
        <f t="shared" si="35"/>
        <v>53</v>
      </c>
      <c r="S112" s="120"/>
      <c r="T112" s="175">
        <v>45991</v>
      </c>
      <c r="V112" s="118">
        <f t="shared" si="58"/>
        <v>7.56</v>
      </c>
      <c r="X112" s="177">
        <f t="shared" si="63"/>
        <v>0.38</v>
      </c>
      <c r="Z112" s="120">
        <f t="shared" si="65"/>
        <v>52.759999999999934</v>
      </c>
      <c r="AA112">
        <f t="shared" si="37"/>
        <v>53</v>
      </c>
      <c r="AB112" s="120"/>
      <c r="AC112" s="175">
        <v>45991</v>
      </c>
      <c r="AE112" s="118">
        <f t="shared" si="59"/>
        <v>12.08</v>
      </c>
      <c r="AG112" s="177">
        <f t="shared" si="64"/>
        <v>2.54</v>
      </c>
      <c r="AI112" s="120">
        <f t="shared" si="66"/>
        <v>374.6799999999995</v>
      </c>
      <c r="AJ112">
        <f t="shared" si="40"/>
        <v>53</v>
      </c>
      <c r="AK112" s="120"/>
      <c r="AL112" s="175">
        <v>45991</v>
      </c>
      <c r="AN112" s="118"/>
      <c r="AP112" s="177">
        <f t="shared" si="56"/>
        <v>0</v>
      </c>
      <c r="AR112" s="120">
        <f t="shared" si="57"/>
        <v>-2.4868995751603507E-14</v>
      </c>
      <c r="AS112" s="175">
        <v>45991</v>
      </c>
      <c r="AT112" s="120"/>
      <c r="AU112" s="273">
        <f t="shared" si="31"/>
        <v>0</v>
      </c>
      <c r="AV112" s="131">
        <f t="shared" si="28"/>
        <v>0</v>
      </c>
      <c r="AW112" s="131">
        <f t="shared" si="29"/>
        <v>0.38</v>
      </c>
      <c r="AX112" s="120">
        <f t="shared" si="46"/>
        <v>2.54</v>
      </c>
      <c r="AY112">
        <f t="shared" si="54"/>
        <v>13.33</v>
      </c>
      <c r="AZ112" s="120">
        <f t="shared" si="55"/>
        <v>0</v>
      </c>
    </row>
    <row r="113" spans="1:109" x14ac:dyDescent="0.2">
      <c r="C113" s="113"/>
      <c r="D113" s="118"/>
      <c r="F113" s="120"/>
      <c r="H113" s="120"/>
      <c r="K113" s="160"/>
      <c r="M113" s="118"/>
      <c r="O113" s="120"/>
      <c r="Q113" s="120"/>
      <c r="R113">
        <f t="shared" si="35"/>
        <v>54</v>
      </c>
      <c r="S113" s="120"/>
      <c r="T113" s="175">
        <v>46022</v>
      </c>
      <c r="V113" s="118">
        <f t="shared" si="58"/>
        <v>7.56</v>
      </c>
      <c r="X113" s="177">
        <f t="shared" si="63"/>
        <v>0.33</v>
      </c>
      <c r="Z113" s="120">
        <f t="shared" si="65"/>
        <v>45.199999999999932</v>
      </c>
      <c r="AA113">
        <f t="shared" si="37"/>
        <v>54</v>
      </c>
      <c r="AB113" s="120"/>
      <c r="AC113" s="175">
        <v>46022</v>
      </c>
      <c r="AE113" s="118">
        <f t="shared" si="59"/>
        <v>12.08</v>
      </c>
      <c r="AG113" s="177">
        <f t="shared" si="64"/>
        <v>2.46</v>
      </c>
      <c r="AI113" s="120">
        <f t="shared" si="66"/>
        <v>362.59999999999951</v>
      </c>
      <c r="AJ113">
        <f t="shared" si="40"/>
        <v>54</v>
      </c>
      <c r="AK113" s="120"/>
      <c r="AL113" s="175">
        <v>46022</v>
      </c>
      <c r="AN113" s="118"/>
      <c r="AP113" s="177">
        <f t="shared" si="56"/>
        <v>0</v>
      </c>
      <c r="AR113" s="120">
        <f t="shared" si="57"/>
        <v>-2.4868995751603507E-14</v>
      </c>
      <c r="AS113" s="175">
        <v>46022</v>
      </c>
      <c r="AT113" s="120"/>
      <c r="AU113" s="273">
        <f t="shared" si="31"/>
        <v>0</v>
      </c>
      <c r="AV113" s="131">
        <f t="shared" si="28"/>
        <v>0</v>
      </c>
      <c r="AW113" s="131">
        <f t="shared" si="29"/>
        <v>0.33</v>
      </c>
      <c r="AX113" s="120">
        <f t="shared" si="46"/>
        <v>2.46</v>
      </c>
      <c r="AY113">
        <f t="shared" ref="AY113:AY144" si="67">ROUND($AY$53*$AY$50/12,2)</f>
        <v>13.33</v>
      </c>
      <c r="AZ113" s="120">
        <f t="shared" ref="AZ113:AZ143" si="68">AP113</f>
        <v>0</v>
      </c>
    </row>
    <row r="114" spans="1:109" x14ac:dyDescent="0.2">
      <c r="C114" s="113"/>
      <c r="D114" s="118"/>
      <c r="F114" s="120"/>
      <c r="H114" s="120"/>
      <c r="K114" s="160"/>
      <c r="M114" s="118"/>
      <c r="O114" s="120"/>
      <c r="Q114" s="120"/>
      <c r="R114">
        <f t="shared" si="35"/>
        <v>55</v>
      </c>
      <c r="S114" s="120"/>
      <c r="T114" s="175">
        <v>46053</v>
      </c>
      <c r="V114" s="118">
        <f t="shared" si="58"/>
        <v>7.56</v>
      </c>
      <c r="X114" s="177">
        <f t="shared" si="63"/>
        <v>0.28000000000000003</v>
      </c>
      <c r="Z114" s="120">
        <f t="shared" si="65"/>
        <v>37.63999999999993</v>
      </c>
      <c r="AA114">
        <f t="shared" si="37"/>
        <v>55</v>
      </c>
      <c r="AB114" s="120"/>
      <c r="AC114" s="175">
        <v>46053</v>
      </c>
      <c r="AE114" s="118">
        <f t="shared" si="59"/>
        <v>12.08</v>
      </c>
      <c r="AG114" s="177">
        <f t="shared" si="64"/>
        <v>2.38</v>
      </c>
      <c r="AI114" s="120">
        <f t="shared" si="66"/>
        <v>350.51999999999953</v>
      </c>
      <c r="AJ114">
        <f t="shared" si="40"/>
        <v>55</v>
      </c>
      <c r="AK114" s="120"/>
      <c r="AL114" s="175">
        <v>46053</v>
      </c>
      <c r="AN114" s="118"/>
      <c r="AP114" s="177">
        <f t="shared" si="56"/>
        <v>0</v>
      </c>
      <c r="AR114" s="120">
        <f t="shared" si="57"/>
        <v>-2.4868995751603507E-14</v>
      </c>
      <c r="AS114" s="175">
        <v>46053</v>
      </c>
      <c r="AT114" s="120"/>
      <c r="AU114" s="273">
        <f t="shared" si="31"/>
        <v>0</v>
      </c>
      <c r="AV114" s="131">
        <f t="shared" si="28"/>
        <v>0</v>
      </c>
      <c r="AW114" s="131">
        <f t="shared" si="29"/>
        <v>0.28000000000000003</v>
      </c>
      <c r="AX114" s="120">
        <f t="shared" si="46"/>
        <v>2.38</v>
      </c>
      <c r="AY114">
        <f t="shared" si="67"/>
        <v>13.33</v>
      </c>
      <c r="AZ114" s="120">
        <f t="shared" si="68"/>
        <v>0</v>
      </c>
    </row>
    <row r="115" spans="1:109" x14ac:dyDescent="0.2">
      <c r="A115" s="130"/>
      <c r="B115" s="130"/>
      <c r="C115" s="160"/>
      <c r="D115" s="92"/>
      <c r="E115" s="130"/>
      <c r="F115" s="131"/>
      <c r="G115" s="130"/>
      <c r="H115" s="131"/>
      <c r="I115" s="130"/>
      <c r="J115" s="130"/>
      <c r="K115" s="160"/>
      <c r="L115" s="130"/>
      <c r="M115" s="92"/>
      <c r="N115" s="130"/>
      <c r="O115" s="131"/>
      <c r="P115" s="130"/>
      <c r="Q115" s="131"/>
      <c r="R115">
        <f t="shared" si="35"/>
        <v>56</v>
      </c>
      <c r="S115" s="120"/>
      <c r="T115" s="175">
        <v>46081</v>
      </c>
      <c r="V115" s="118">
        <f t="shared" si="58"/>
        <v>7.56</v>
      </c>
      <c r="X115" s="177">
        <f t="shared" si="63"/>
        <v>0.24</v>
      </c>
      <c r="Z115" s="120">
        <f t="shared" si="65"/>
        <v>30.079999999999931</v>
      </c>
      <c r="AA115">
        <f t="shared" si="37"/>
        <v>56</v>
      </c>
      <c r="AB115" s="120"/>
      <c r="AC115" s="175">
        <v>46081</v>
      </c>
      <c r="AE115" s="118">
        <f t="shared" si="59"/>
        <v>12.08</v>
      </c>
      <c r="AG115" s="177">
        <f t="shared" si="64"/>
        <v>2.2999999999999998</v>
      </c>
      <c r="AI115" s="120">
        <f t="shared" si="66"/>
        <v>338.43999999999954</v>
      </c>
      <c r="AJ115">
        <f t="shared" si="40"/>
        <v>56</v>
      </c>
      <c r="AK115" s="120"/>
      <c r="AL115" s="175">
        <v>46081</v>
      </c>
      <c r="AN115" s="118"/>
      <c r="AP115" s="177">
        <f t="shared" si="56"/>
        <v>0</v>
      </c>
      <c r="AR115" s="120">
        <f t="shared" si="57"/>
        <v>-2.4868995751603507E-14</v>
      </c>
      <c r="AS115" s="175">
        <v>46081</v>
      </c>
      <c r="AT115" s="120"/>
      <c r="AU115" s="273">
        <f t="shared" si="31"/>
        <v>0</v>
      </c>
      <c r="AV115" s="131">
        <f t="shared" si="28"/>
        <v>0</v>
      </c>
      <c r="AW115" s="131">
        <f t="shared" si="29"/>
        <v>0.24</v>
      </c>
      <c r="AX115" s="120">
        <f t="shared" si="46"/>
        <v>2.2999999999999998</v>
      </c>
      <c r="AY115">
        <f t="shared" si="67"/>
        <v>13.33</v>
      </c>
      <c r="AZ115" s="120">
        <f t="shared" si="68"/>
        <v>0</v>
      </c>
    </row>
    <row r="116" spans="1:109" s="137" customFormat="1" x14ac:dyDescent="0.2">
      <c r="A116" s="130"/>
      <c r="B116" s="130"/>
      <c r="C116" s="160"/>
      <c r="D116" s="92"/>
      <c r="E116" s="131"/>
      <c r="F116" s="131"/>
      <c r="G116" s="131"/>
      <c r="H116" s="131"/>
      <c r="I116" s="130"/>
      <c r="J116" s="130"/>
      <c r="K116" s="160"/>
      <c r="L116" s="130"/>
      <c r="M116" s="92"/>
      <c r="N116" s="131"/>
      <c r="O116" s="131"/>
      <c r="P116" s="131"/>
      <c r="Q116" s="131"/>
      <c r="R116" s="137">
        <f t="shared" si="35"/>
        <v>57</v>
      </c>
      <c r="S116" s="138"/>
      <c r="T116" s="175">
        <v>46112</v>
      </c>
      <c r="V116" s="139">
        <f t="shared" si="58"/>
        <v>7.56</v>
      </c>
      <c r="W116" s="138">
        <f>SUM(V105:V116)</f>
        <v>90.720000000000013</v>
      </c>
      <c r="X116" s="177">
        <f t="shared" si="63"/>
        <v>0.19</v>
      </c>
      <c r="Y116" s="138">
        <f>SUM(X105:X116)</f>
        <v>5.4000000000000012</v>
      </c>
      <c r="Z116" s="138">
        <f t="shared" si="65"/>
        <v>22.519999999999932</v>
      </c>
      <c r="AA116" s="137">
        <f t="shared" si="37"/>
        <v>57</v>
      </c>
      <c r="AB116" s="138"/>
      <c r="AC116" s="175">
        <v>46112</v>
      </c>
      <c r="AE116" s="139">
        <f t="shared" si="59"/>
        <v>12.08</v>
      </c>
      <c r="AF116" s="138">
        <f>SUM(AE105:AE116)</f>
        <v>144.96</v>
      </c>
      <c r="AG116" s="177">
        <f t="shared" si="64"/>
        <v>2.23</v>
      </c>
      <c r="AH116" s="138">
        <f>SUM(AG105:AG116)</f>
        <v>31.93</v>
      </c>
      <c r="AI116" s="138">
        <f t="shared" si="66"/>
        <v>326.35999999999956</v>
      </c>
      <c r="AJ116" s="137">
        <f t="shared" si="40"/>
        <v>57</v>
      </c>
      <c r="AK116" s="138"/>
      <c r="AL116" s="175">
        <v>46112</v>
      </c>
      <c r="AN116" s="139"/>
      <c r="AO116" s="138">
        <f>SUM(AN105:AN116)</f>
        <v>40.625</v>
      </c>
      <c r="AP116" s="177">
        <f t="shared" ref="AP116:AP143" si="69">ROUND(AR115*$AH$48*30/365,2)</f>
        <v>0</v>
      </c>
      <c r="AQ116" s="138">
        <f>SUM(AP105:AP116)</f>
        <v>0.54</v>
      </c>
      <c r="AR116" s="120">
        <f t="shared" si="57"/>
        <v>-2.4868995751603507E-14</v>
      </c>
      <c r="AS116" s="175">
        <v>46112</v>
      </c>
      <c r="AT116" s="120"/>
      <c r="AU116" s="273">
        <f t="shared" si="31"/>
        <v>0</v>
      </c>
      <c r="AV116" s="131">
        <f t="shared" si="28"/>
        <v>0</v>
      </c>
      <c r="AW116" s="131">
        <f t="shared" si="29"/>
        <v>0.19</v>
      </c>
      <c r="AX116" s="120">
        <f t="shared" si="46"/>
        <v>2.23</v>
      </c>
      <c r="AY116">
        <f t="shared" si="67"/>
        <v>13.33</v>
      </c>
      <c r="AZ116" s="120">
        <f t="shared" si="68"/>
        <v>0</v>
      </c>
      <c r="BA116" s="137">
        <f>SUM(AU105:AZ116)</f>
        <v>198.79000000000008</v>
      </c>
      <c r="BB116" s="137">
        <v>0</v>
      </c>
      <c r="BC116" s="138">
        <f>BA116-BB116</f>
        <v>198.79000000000008</v>
      </c>
    </row>
    <row r="117" spans="1:109" x14ac:dyDescent="0.2">
      <c r="A117" s="130"/>
      <c r="B117" s="130"/>
      <c r="C117" s="160"/>
      <c r="D117" s="92"/>
      <c r="E117" s="130"/>
      <c r="F117" s="131"/>
      <c r="G117" s="130"/>
      <c r="H117" s="131"/>
      <c r="I117" s="130"/>
      <c r="J117" s="130"/>
      <c r="K117" s="160"/>
      <c r="L117" s="130"/>
      <c r="M117" s="92"/>
      <c r="N117" s="130"/>
      <c r="O117" s="131"/>
      <c r="P117" s="130"/>
      <c r="Q117" s="131"/>
      <c r="R117">
        <f t="shared" si="35"/>
        <v>58</v>
      </c>
      <c r="S117" s="120"/>
      <c r="T117" s="175">
        <v>46142</v>
      </c>
      <c r="V117" s="118">
        <f t="shared" si="58"/>
        <v>7.56</v>
      </c>
      <c r="X117" s="177">
        <f t="shared" si="63"/>
        <v>0.14000000000000001</v>
      </c>
      <c r="Z117" s="120">
        <f t="shared" si="65"/>
        <v>14.959999999999933</v>
      </c>
      <c r="AA117">
        <f t="shared" si="37"/>
        <v>58</v>
      </c>
      <c r="AB117" s="120"/>
      <c r="AC117" s="175">
        <v>46142</v>
      </c>
      <c r="AE117" s="118">
        <f t="shared" si="59"/>
        <v>12.08</v>
      </c>
      <c r="AG117" s="177">
        <f t="shared" si="64"/>
        <v>2.15</v>
      </c>
      <c r="AI117" s="120">
        <f t="shared" si="66"/>
        <v>314.27999999999957</v>
      </c>
      <c r="AJ117">
        <f t="shared" si="40"/>
        <v>58</v>
      </c>
      <c r="AK117" s="120"/>
      <c r="AL117" s="175">
        <v>46142</v>
      </c>
      <c r="AN117" s="118"/>
      <c r="AP117" s="177">
        <f t="shared" si="69"/>
        <v>0</v>
      </c>
      <c r="AR117" s="120">
        <f t="shared" si="57"/>
        <v>-2.4868995751603507E-14</v>
      </c>
      <c r="AS117" s="175">
        <v>46142</v>
      </c>
      <c r="AT117" s="120"/>
      <c r="AU117" s="273">
        <f t="shared" si="31"/>
        <v>0</v>
      </c>
      <c r="AV117" s="131">
        <f t="shared" si="28"/>
        <v>0</v>
      </c>
      <c r="AW117" s="131">
        <f t="shared" si="29"/>
        <v>0.14000000000000001</v>
      </c>
      <c r="AX117" s="120">
        <f t="shared" si="46"/>
        <v>2.15</v>
      </c>
      <c r="AY117">
        <f t="shared" si="67"/>
        <v>13.33</v>
      </c>
      <c r="AZ117" s="120">
        <f t="shared" si="68"/>
        <v>0</v>
      </c>
    </row>
    <row r="118" spans="1:109" x14ac:dyDescent="0.2">
      <c r="A118" s="130"/>
      <c r="B118" s="130"/>
      <c r="C118" s="160"/>
      <c r="D118" s="92"/>
      <c r="E118" s="130"/>
      <c r="F118" s="131"/>
      <c r="G118" s="130"/>
      <c r="H118" s="131"/>
      <c r="I118" s="130"/>
      <c r="J118" s="130"/>
      <c r="K118" s="160"/>
      <c r="L118" s="130"/>
      <c r="M118" s="92"/>
      <c r="N118" s="130"/>
      <c r="O118" s="131"/>
      <c r="P118" s="130"/>
      <c r="Q118" s="131"/>
      <c r="R118">
        <f t="shared" si="35"/>
        <v>59</v>
      </c>
      <c r="S118" s="120"/>
      <c r="T118" s="175">
        <v>46173</v>
      </c>
      <c r="V118" s="118">
        <f t="shared" si="58"/>
        <v>7.56</v>
      </c>
      <c r="X118" s="177">
        <f t="shared" si="63"/>
        <v>0.09</v>
      </c>
      <c r="Z118" s="120">
        <f t="shared" si="65"/>
        <v>7.3999999999999337</v>
      </c>
      <c r="AA118">
        <f t="shared" si="37"/>
        <v>59</v>
      </c>
      <c r="AB118" s="120"/>
      <c r="AC118" s="175">
        <v>46173</v>
      </c>
      <c r="AE118" s="118">
        <f t="shared" si="59"/>
        <v>12.08</v>
      </c>
      <c r="AG118" s="177">
        <f t="shared" si="64"/>
        <v>2.0699999999999998</v>
      </c>
      <c r="AI118" s="120">
        <f t="shared" si="66"/>
        <v>302.19999999999959</v>
      </c>
      <c r="AJ118">
        <f t="shared" si="40"/>
        <v>59</v>
      </c>
      <c r="AK118" s="120"/>
      <c r="AL118" s="175">
        <v>46173</v>
      </c>
      <c r="AN118" s="118"/>
      <c r="AP118" s="177">
        <f t="shared" si="69"/>
        <v>0</v>
      </c>
      <c r="AR118" s="120">
        <f t="shared" si="57"/>
        <v>-2.4868995751603507E-14</v>
      </c>
      <c r="AS118" s="175">
        <v>46173</v>
      </c>
      <c r="AT118" s="120"/>
      <c r="AU118" s="273">
        <f t="shared" si="31"/>
        <v>0</v>
      </c>
      <c r="AV118" s="131">
        <f t="shared" si="28"/>
        <v>0</v>
      </c>
      <c r="AW118" s="131">
        <f t="shared" si="29"/>
        <v>0.09</v>
      </c>
      <c r="AX118" s="120">
        <f t="shared" si="46"/>
        <v>2.0699999999999998</v>
      </c>
      <c r="AY118">
        <f t="shared" si="67"/>
        <v>13.33</v>
      </c>
      <c r="AZ118" s="120">
        <f t="shared" si="68"/>
        <v>0</v>
      </c>
    </row>
    <row r="119" spans="1:109" s="137" customFormat="1" x14ac:dyDescent="0.2">
      <c r="A119" s="130"/>
      <c r="B119" s="130"/>
      <c r="C119" s="160"/>
      <c r="D119" s="92"/>
      <c r="E119" s="131"/>
      <c r="F119" s="131"/>
      <c r="G119" s="131"/>
      <c r="H119" s="131"/>
      <c r="I119" s="130"/>
      <c r="J119" s="130"/>
      <c r="K119" s="160"/>
      <c r="L119" s="130"/>
      <c r="M119" s="92"/>
      <c r="N119" s="131"/>
      <c r="O119" s="131"/>
      <c r="P119" s="131"/>
      <c r="Q119" s="131"/>
      <c r="R119" s="137">
        <f t="shared" si="35"/>
        <v>60</v>
      </c>
      <c r="S119" s="138"/>
      <c r="T119" s="175">
        <v>46203</v>
      </c>
      <c r="V119" s="139">
        <v>7.4</v>
      </c>
      <c r="W119" s="138">
        <f>SUM(V117:V119)</f>
        <v>22.52</v>
      </c>
      <c r="X119" s="177">
        <f t="shared" si="63"/>
        <v>0.05</v>
      </c>
      <c r="Y119" s="138">
        <f>SUM(X117:X119)</f>
        <v>0.28000000000000003</v>
      </c>
      <c r="Z119" s="138">
        <f t="shared" si="65"/>
        <v>-6.6613381477509392E-14</v>
      </c>
      <c r="AA119" s="130">
        <f t="shared" si="37"/>
        <v>60</v>
      </c>
      <c r="AB119" s="131"/>
      <c r="AC119" s="175">
        <v>46203</v>
      </c>
      <c r="AD119" s="130"/>
      <c r="AE119" s="92">
        <f t="shared" si="59"/>
        <v>12.08</v>
      </c>
      <c r="AF119" s="131"/>
      <c r="AG119" s="177">
        <f t="shared" si="64"/>
        <v>1.99</v>
      </c>
      <c r="AH119" s="131"/>
      <c r="AI119" s="131">
        <f t="shared" si="66"/>
        <v>290.11999999999961</v>
      </c>
      <c r="AJ119" s="130">
        <f t="shared" si="40"/>
        <v>60</v>
      </c>
      <c r="AK119" s="131"/>
      <c r="AL119" s="175">
        <v>46203</v>
      </c>
      <c r="AM119" s="130"/>
      <c r="AN119" s="92"/>
      <c r="AO119" s="131"/>
      <c r="AP119" s="177">
        <f t="shared" si="69"/>
        <v>0</v>
      </c>
      <c r="AQ119" s="131"/>
      <c r="AR119" s="120">
        <f t="shared" si="57"/>
        <v>-2.4868995751603507E-14</v>
      </c>
      <c r="AS119" s="175">
        <v>46203</v>
      </c>
      <c r="AT119" s="120"/>
      <c r="AU119" s="273">
        <f t="shared" si="31"/>
        <v>0</v>
      </c>
      <c r="AV119" s="131">
        <f t="shared" si="28"/>
        <v>0</v>
      </c>
      <c r="AW119" s="131">
        <f t="shared" si="29"/>
        <v>0.05</v>
      </c>
      <c r="AX119" s="120">
        <f t="shared" si="46"/>
        <v>1.99</v>
      </c>
      <c r="AY119">
        <f t="shared" si="67"/>
        <v>13.33</v>
      </c>
      <c r="AZ119" s="120">
        <f t="shared" si="68"/>
        <v>0</v>
      </c>
      <c r="BA119" s="130"/>
      <c r="BB119" s="130"/>
      <c r="BC119" s="130"/>
      <c r="BD119" s="130"/>
      <c r="BE119" s="130"/>
      <c r="BF119" s="130"/>
      <c r="BG119" s="130"/>
      <c r="BH119" s="130"/>
      <c r="BI119" s="130"/>
      <c r="BJ119" s="130"/>
      <c r="BK119" s="130"/>
      <c r="BL119" s="130"/>
      <c r="BM119" s="130"/>
      <c r="BN119" s="130"/>
      <c r="BO119" s="130"/>
      <c r="BP119" s="130"/>
      <c r="BQ119" s="130"/>
      <c r="BR119" s="130"/>
      <c r="BS119" s="130"/>
      <c r="BT119" s="130"/>
      <c r="BU119" s="130"/>
      <c r="BV119" s="130"/>
      <c r="BW119" s="130"/>
      <c r="BX119" s="130"/>
      <c r="BY119" s="130"/>
      <c r="BZ119" s="130"/>
      <c r="CA119" s="130"/>
      <c r="CB119" s="130"/>
      <c r="CC119" s="130"/>
      <c r="CD119" s="130"/>
      <c r="CE119" s="130"/>
      <c r="CF119" s="130"/>
      <c r="CG119" s="130"/>
      <c r="CH119" s="130"/>
      <c r="CI119" s="130"/>
      <c r="CJ119" s="130"/>
      <c r="CK119" s="130"/>
      <c r="CL119" s="130"/>
      <c r="CM119" s="130"/>
      <c r="CN119" s="130"/>
      <c r="CO119" s="130"/>
      <c r="CP119" s="130"/>
      <c r="CQ119" s="130"/>
      <c r="CR119" s="130"/>
      <c r="CS119" s="130"/>
      <c r="CT119" s="130"/>
      <c r="CU119" s="130"/>
      <c r="CV119" s="130"/>
      <c r="CW119" s="130"/>
      <c r="CX119" s="130"/>
      <c r="CY119" s="130"/>
      <c r="CZ119" s="130"/>
      <c r="DA119" s="130"/>
      <c r="DB119" s="130"/>
      <c r="DC119" s="130"/>
      <c r="DD119" s="130"/>
      <c r="DE119" s="130"/>
    </row>
    <row r="120" spans="1:109" x14ac:dyDescent="0.2">
      <c r="A120" s="130"/>
      <c r="B120" s="130"/>
      <c r="C120" s="130"/>
      <c r="D120" s="130"/>
      <c r="E120" s="130"/>
      <c r="F120" s="130"/>
      <c r="G120" s="130"/>
      <c r="H120" s="130"/>
      <c r="I120" s="130"/>
      <c r="J120" s="130"/>
      <c r="K120" s="130"/>
      <c r="L120" s="130"/>
      <c r="M120" s="130"/>
      <c r="N120" s="130"/>
      <c r="O120" s="130"/>
      <c r="P120" s="130"/>
      <c r="Q120" s="130"/>
      <c r="T120" s="113"/>
      <c r="V120" s="118"/>
      <c r="X120" s="177"/>
      <c r="Y120" s="120">
        <f>SUM(Y119,Y116,Y104,Y92,Y80,Y68)</f>
        <v>70.940000000000012</v>
      </c>
      <c r="Z120" s="120"/>
      <c r="AA120">
        <f t="shared" si="37"/>
        <v>61</v>
      </c>
      <c r="AB120" s="130"/>
      <c r="AC120" s="175">
        <v>46234</v>
      </c>
      <c r="AE120" s="118">
        <f t="shared" si="59"/>
        <v>12.08</v>
      </c>
      <c r="AG120" s="177">
        <f t="shared" si="64"/>
        <v>1.91</v>
      </c>
      <c r="AI120" s="131">
        <f t="shared" si="66"/>
        <v>278.03999999999962</v>
      </c>
      <c r="AJ120">
        <f t="shared" si="40"/>
        <v>61</v>
      </c>
      <c r="AK120" s="130"/>
      <c r="AL120" s="175">
        <v>46234</v>
      </c>
      <c r="AN120" s="118"/>
      <c r="AP120" s="177">
        <f t="shared" si="69"/>
        <v>0</v>
      </c>
      <c r="AR120" s="120">
        <f t="shared" si="57"/>
        <v>-2.4868995751603507E-14</v>
      </c>
      <c r="AS120" s="175">
        <v>46234</v>
      </c>
      <c r="AT120" s="120"/>
      <c r="AU120" s="273">
        <f t="shared" si="31"/>
        <v>0</v>
      </c>
      <c r="AV120" s="131">
        <f t="shared" si="28"/>
        <v>0</v>
      </c>
      <c r="AW120" s="131">
        <f t="shared" si="29"/>
        <v>0</v>
      </c>
      <c r="AX120" s="120">
        <f t="shared" si="46"/>
        <v>1.91</v>
      </c>
      <c r="AY120">
        <f t="shared" si="67"/>
        <v>13.33</v>
      </c>
      <c r="AZ120" s="120">
        <f t="shared" si="68"/>
        <v>0</v>
      </c>
    </row>
    <row r="121" spans="1:109" x14ac:dyDescent="0.2">
      <c r="AA121">
        <f t="shared" si="37"/>
        <v>62</v>
      </c>
      <c r="AB121" s="130"/>
      <c r="AC121" s="175">
        <v>46265</v>
      </c>
      <c r="AE121" s="118">
        <f t="shared" si="59"/>
        <v>12.08</v>
      </c>
      <c r="AG121" s="177">
        <f t="shared" si="64"/>
        <v>1.83</v>
      </c>
      <c r="AI121" s="131">
        <f t="shared" si="66"/>
        <v>265.95999999999964</v>
      </c>
      <c r="AJ121">
        <f t="shared" si="40"/>
        <v>62</v>
      </c>
      <c r="AK121" s="130"/>
      <c r="AL121" s="175">
        <v>46265</v>
      </c>
      <c r="AN121" s="118"/>
      <c r="AP121" s="177">
        <f t="shared" si="69"/>
        <v>0</v>
      </c>
      <c r="AR121" s="120">
        <f t="shared" si="57"/>
        <v>-2.4868995751603507E-14</v>
      </c>
      <c r="AS121" s="175">
        <v>46265</v>
      </c>
      <c r="AT121" s="120"/>
      <c r="AU121" s="273">
        <f t="shared" si="31"/>
        <v>0</v>
      </c>
      <c r="AV121" s="131">
        <f t="shared" si="28"/>
        <v>0</v>
      </c>
      <c r="AW121" s="131">
        <f t="shared" si="29"/>
        <v>0</v>
      </c>
      <c r="AX121" s="120">
        <f t="shared" si="46"/>
        <v>1.83</v>
      </c>
      <c r="AY121">
        <f t="shared" si="67"/>
        <v>13.33</v>
      </c>
      <c r="AZ121" s="120">
        <f t="shared" si="68"/>
        <v>0</v>
      </c>
    </row>
    <row r="122" spans="1:109" x14ac:dyDescent="0.2">
      <c r="AA122">
        <f t="shared" si="37"/>
        <v>63</v>
      </c>
      <c r="AB122" s="130"/>
      <c r="AC122" s="175">
        <v>46295</v>
      </c>
      <c r="AE122" s="118">
        <f t="shared" si="59"/>
        <v>12.08</v>
      </c>
      <c r="AG122" s="177">
        <f t="shared" si="64"/>
        <v>1.75</v>
      </c>
      <c r="AI122" s="131">
        <f t="shared" si="66"/>
        <v>253.87999999999963</v>
      </c>
      <c r="AJ122">
        <f t="shared" si="40"/>
        <v>63</v>
      </c>
      <c r="AK122" s="130"/>
      <c r="AL122" s="175">
        <v>46295</v>
      </c>
      <c r="AN122" s="118"/>
      <c r="AP122" s="177">
        <f t="shared" si="69"/>
        <v>0</v>
      </c>
      <c r="AR122" s="120">
        <f t="shared" si="57"/>
        <v>-2.4868995751603507E-14</v>
      </c>
      <c r="AS122" s="175">
        <v>46295</v>
      </c>
      <c r="AT122" s="120"/>
      <c r="AU122" s="273">
        <f t="shared" si="31"/>
        <v>0</v>
      </c>
      <c r="AV122" s="131">
        <f t="shared" ref="AV122:AV151" si="70">O122</f>
        <v>0</v>
      </c>
      <c r="AW122" s="131">
        <f t="shared" ref="AW122:AW152" si="71">X122</f>
        <v>0</v>
      </c>
      <c r="AX122" s="120">
        <f t="shared" si="46"/>
        <v>1.75</v>
      </c>
      <c r="AY122">
        <f t="shared" si="67"/>
        <v>13.33</v>
      </c>
      <c r="AZ122" s="120">
        <f t="shared" si="68"/>
        <v>0</v>
      </c>
    </row>
    <row r="123" spans="1:109" x14ac:dyDescent="0.2">
      <c r="AA123">
        <f t="shared" si="37"/>
        <v>64</v>
      </c>
      <c r="AB123" s="130"/>
      <c r="AC123" s="175">
        <v>46326</v>
      </c>
      <c r="AE123" s="118">
        <f t="shared" si="59"/>
        <v>12.08</v>
      </c>
      <c r="AG123" s="177">
        <f t="shared" si="64"/>
        <v>1.67</v>
      </c>
      <c r="AI123" s="131">
        <f t="shared" si="66"/>
        <v>241.79999999999961</v>
      </c>
      <c r="AJ123">
        <f t="shared" si="40"/>
        <v>64</v>
      </c>
      <c r="AK123" s="130"/>
      <c r="AL123" s="175">
        <v>46326</v>
      </c>
      <c r="AN123" s="118"/>
      <c r="AP123" s="177">
        <f t="shared" si="69"/>
        <v>0</v>
      </c>
      <c r="AR123" s="120">
        <f t="shared" si="57"/>
        <v>-2.4868995751603507E-14</v>
      </c>
      <c r="AS123" s="175">
        <v>46326</v>
      </c>
      <c r="AT123" s="120"/>
      <c r="AU123" s="273">
        <f t="shared" si="31"/>
        <v>0</v>
      </c>
      <c r="AV123" s="131">
        <f t="shared" si="70"/>
        <v>0</v>
      </c>
      <c r="AW123" s="131">
        <f t="shared" si="71"/>
        <v>0</v>
      </c>
      <c r="AX123" s="120">
        <f t="shared" si="46"/>
        <v>1.67</v>
      </c>
      <c r="AY123">
        <f t="shared" si="67"/>
        <v>13.33</v>
      </c>
      <c r="AZ123" s="120">
        <f t="shared" si="68"/>
        <v>0</v>
      </c>
    </row>
    <row r="124" spans="1:109" x14ac:dyDescent="0.2">
      <c r="AA124">
        <f t="shared" si="37"/>
        <v>65</v>
      </c>
      <c r="AB124" s="130"/>
      <c r="AC124" s="175">
        <v>46356</v>
      </c>
      <c r="AE124" s="118">
        <f t="shared" si="59"/>
        <v>12.08</v>
      </c>
      <c r="AG124" s="177">
        <f t="shared" si="64"/>
        <v>1.59</v>
      </c>
      <c r="AI124" s="131">
        <f t="shared" si="66"/>
        <v>229.7199999999996</v>
      </c>
      <c r="AJ124">
        <f t="shared" si="40"/>
        <v>65</v>
      </c>
      <c r="AK124" s="130"/>
      <c r="AL124" s="175">
        <v>46356</v>
      </c>
      <c r="AN124" s="118"/>
      <c r="AP124" s="177">
        <f t="shared" si="69"/>
        <v>0</v>
      </c>
      <c r="AR124" s="120">
        <f t="shared" si="57"/>
        <v>-2.4868995751603507E-14</v>
      </c>
      <c r="AS124" s="175">
        <v>46356</v>
      </c>
      <c r="AT124" s="120"/>
      <c r="AU124" s="273">
        <f t="shared" ref="AU124:AU151" si="72">F124</f>
        <v>0</v>
      </c>
      <c r="AV124" s="131">
        <f t="shared" si="70"/>
        <v>0</v>
      </c>
      <c r="AW124" s="131">
        <f t="shared" si="71"/>
        <v>0</v>
      </c>
      <c r="AX124" s="120">
        <f t="shared" si="46"/>
        <v>1.59</v>
      </c>
      <c r="AY124">
        <f t="shared" si="67"/>
        <v>13.33</v>
      </c>
      <c r="AZ124" s="120">
        <f t="shared" si="68"/>
        <v>0</v>
      </c>
    </row>
    <row r="125" spans="1:109" x14ac:dyDescent="0.2">
      <c r="AA125">
        <f t="shared" ref="AA125:AA143" si="73">AA124+1</f>
        <v>66</v>
      </c>
      <c r="AB125" s="130"/>
      <c r="AC125" s="175">
        <v>46387</v>
      </c>
      <c r="AE125" s="118">
        <f t="shared" si="59"/>
        <v>12.08</v>
      </c>
      <c r="AG125" s="177">
        <f t="shared" ref="AG125:AG143" si="74">ROUND(AI124*$AH$48*30/365,2)</f>
        <v>1.51</v>
      </c>
      <c r="AI125" s="131">
        <f t="shared" si="66"/>
        <v>217.63999999999959</v>
      </c>
      <c r="AJ125">
        <f t="shared" ref="AJ125:AJ143" si="75">AJ124+1</f>
        <v>66</v>
      </c>
      <c r="AK125" s="130"/>
      <c r="AL125" s="175">
        <v>46387</v>
      </c>
      <c r="AN125" s="118"/>
      <c r="AP125" s="177">
        <f t="shared" si="69"/>
        <v>0</v>
      </c>
      <c r="AR125" s="120">
        <f t="shared" si="57"/>
        <v>-2.4868995751603507E-14</v>
      </c>
      <c r="AS125" s="175">
        <v>46387</v>
      </c>
      <c r="AT125" s="120"/>
      <c r="AU125" s="273">
        <f t="shared" si="72"/>
        <v>0</v>
      </c>
      <c r="AV125" s="131">
        <f t="shared" si="70"/>
        <v>0</v>
      </c>
      <c r="AW125" s="131">
        <f t="shared" si="71"/>
        <v>0</v>
      </c>
      <c r="AX125" s="120">
        <f t="shared" si="46"/>
        <v>1.51</v>
      </c>
      <c r="AY125">
        <f t="shared" si="67"/>
        <v>13.33</v>
      </c>
      <c r="AZ125" s="120">
        <f t="shared" si="68"/>
        <v>0</v>
      </c>
    </row>
    <row r="126" spans="1:109" x14ac:dyDescent="0.2">
      <c r="AA126">
        <f t="shared" si="73"/>
        <v>67</v>
      </c>
      <c r="AB126" s="130"/>
      <c r="AC126" s="175">
        <v>46418</v>
      </c>
      <c r="AE126" s="118">
        <f t="shared" si="59"/>
        <v>12.08</v>
      </c>
      <c r="AG126" s="177">
        <f t="shared" si="74"/>
        <v>1.43</v>
      </c>
      <c r="AI126" s="131">
        <f t="shared" si="66"/>
        <v>205.55999999999958</v>
      </c>
      <c r="AJ126">
        <f t="shared" si="75"/>
        <v>67</v>
      </c>
      <c r="AK126" s="130"/>
      <c r="AL126" s="175">
        <v>46418</v>
      </c>
      <c r="AN126" s="118"/>
      <c r="AP126" s="177">
        <f t="shared" si="69"/>
        <v>0</v>
      </c>
      <c r="AR126" s="120">
        <f t="shared" si="57"/>
        <v>-2.4868995751603507E-14</v>
      </c>
      <c r="AS126" s="175">
        <v>46418</v>
      </c>
      <c r="AT126" s="120"/>
      <c r="AU126" s="273">
        <f t="shared" si="72"/>
        <v>0</v>
      </c>
      <c r="AV126" s="131">
        <f t="shared" si="70"/>
        <v>0</v>
      </c>
      <c r="AW126" s="131">
        <f t="shared" si="71"/>
        <v>0</v>
      </c>
      <c r="AX126" s="120">
        <f t="shared" ref="AX126:AX152" si="76">AG126</f>
        <v>1.43</v>
      </c>
      <c r="AY126">
        <f t="shared" si="67"/>
        <v>13.33</v>
      </c>
      <c r="AZ126" s="120">
        <f t="shared" si="68"/>
        <v>0</v>
      </c>
    </row>
    <row r="127" spans="1:109" x14ac:dyDescent="0.2">
      <c r="AA127">
        <f t="shared" si="73"/>
        <v>68</v>
      </c>
      <c r="AB127" s="130"/>
      <c r="AC127" s="175">
        <v>46446</v>
      </c>
      <c r="AE127" s="118">
        <f t="shared" si="59"/>
        <v>12.08</v>
      </c>
      <c r="AG127" s="177">
        <f t="shared" si="74"/>
        <v>1.35</v>
      </c>
      <c r="AI127" s="131">
        <f t="shared" si="66"/>
        <v>193.47999999999956</v>
      </c>
      <c r="AJ127">
        <f t="shared" si="75"/>
        <v>68</v>
      </c>
      <c r="AK127" s="130"/>
      <c r="AL127" s="175">
        <v>46446</v>
      </c>
      <c r="AN127" s="118"/>
      <c r="AP127" s="177">
        <f t="shared" si="69"/>
        <v>0</v>
      </c>
      <c r="AR127" s="120">
        <f t="shared" si="57"/>
        <v>-2.4868995751603507E-14</v>
      </c>
      <c r="AS127" s="175">
        <v>46446</v>
      </c>
      <c r="AT127" s="120"/>
      <c r="AU127" s="273">
        <f t="shared" si="72"/>
        <v>0</v>
      </c>
      <c r="AV127" s="131">
        <f t="shared" si="70"/>
        <v>0</v>
      </c>
      <c r="AW127" s="131">
        <f t="shared" si="71"/>
        <v>0</v>
      </c>
      <c r="AX127" s="120">
        <f t="shared" si="76"/>
        <v>1.35</v>
      </c>
      <c r="AY127">
        <f t="shared" si="67"/>
        <v>13.33</v>
      </c>
      <c r="AZ127" s="120">
        <f t="shared" si="68"/>
        <v>0</v>
      </c>
    </row>
    <row r="128" spans="1:109" x14ac:dyDescent="0.2">
      <c r="AA128">
        <f t="shared" si="73"/>
        <v>69</v>
      </c>
      <c r="AB128" s="137"/>
      <c r="AC128" s="175">
        <v>46477</v>
      </c>
      <c r="AD128" s="137"/>
      <c r="AE128" s="139">
        <f t="shared" si="59"/>
        <v>12.08</v>
      </c>
      <c r="AF128" s="138">
        <f>SUM(AE117:AE128)</f>
        <v>144.96</v>
      </c>
      <c r="AG128" s="177">
        <f t="shared" si="74"/>
        <v>1.27</v>
      </c>
      <c r="AH128" s="138">
        <f>SUM(AG117:AG128)</f>
        <v>20.52</v>
      </c>
      <c r="AI128" s="138">
        <f t="shared" si="66"/>
        <v>181.39999999999955</v>
      </c>
      <c r="AJ128" s="137">
        <f t="shared" si="75"/>
        <v>69</v>
      </c>
      <c r="AK128" s="137"/>
      <c r="AL128" s="175">
        <v>46477</v>
      </c>
      <c r="AM128" s="137"/>
      <c r="AN128" s="139"/>
      <c r="AO128" s="138">
        <f>SUM(AN117:AN128)</f>
        <v>0</v>
      </c>
      <c r="AP128" s="177">
        <f t="shared" si="69"/>
        <v>0</v>
      </c>
      <c r="AQ128" s="138">
        <f>SUM(AP117:AP128)</f>
        <v>0</v>
      </c>
      <c r="AR128" s="120">
        <f t="shared" si="57"/>
        <v>-2.4868995751603507E-14</v>
      </c>
      <c r="AS128" s="175">
        <v>46477</v>
      </c>
      <c r="AT128" s="120"/>
      <c r="AU128" s="273">
        <f t="shared" si="72"/>
        <v>0</v>
      </c>
      <c r="AV128" s="131">
        <f t="shared" si="70"/>
        <v>0</v>
      </c>
      <c r="AW128" s="131">
        <f t="shared" si="71"/>
        <v>0</v>
      </c>
      <c r="AX128" s="120">
        <f t="shared" si="76"/>
        <v>1.27</v>
      </c>
      <c r="AY128">
        <f t="shared" si="67"/>
        <v>13.33</v>
      </c>
      <c r="AZ128" s="120">
        <f t="shared" si="68"/>
        <v>0</v>
      </c>
      <c r="BA128" s="137">
        <f>SUM(AU117:AZ128)</f>
        <v>180.76000000000005</v>
      </c>
      <c r="BB128">
        <v>0</v>
      </c>
      <c r="BC128" s="138">
        <f>BA128-BB128</f>
        <v>180.76000000000005</v>
      </c>
    </row>
    <row r="129" spans="27:55" x14ac:dyDescent="0.2">
      <c r="AA129">
        <f t="shared" si="73"/>
        <v>70</v>
      </c>
      <c r="AB129" s="130"/>
      <c r="AC129" s="175">
        <v>46507</v>
      </c>
      <c r="AE129" s="118">
        <f t="shared" si="59"/>
        <v>12.08</v>
      </c>
      <c r="AG129" s="177">
        <f t="shared" si="74"/>
        <v>1.19</v>
      </c>
      <c r="AI129" s="131">
        <f t="shared" si="66"/>
        <v>169.31999999999954</v>
      </c>
      <c r="AJ129">
        <f t="shared" si="75"/>
        <v>70</v>
      </c>
      <c r="AK129" s="130"/>
      <c r="AL129" s="175">
        <v>46507</v>
      </c>
      <c r="AN129" s="118"/>
      <c r="AP129" s="177">
        <f t="shared" si="69"/>
        <v>0</v>
      </c>
      <c r="AR129" s="120">
        <f t="shared" si="57"/>
        <v>-2.4868995751603507E-14</v>
      </c>
      <c r="AS129" s="175">
        <v>46507</v>
      </c>
      <c r="AT129" s="120"/>
      <c r="AU129" s="273">
        <f t="shared" si="72"/>
        <v>0</v>
      </c>
      <c r="AV129" s="131">
        <f t="shared" si="70"/>
        <v>0</v>
      </c>
      <c r="AW129" s="131">
        <f t="shared" si="71"/>
        <v>0</v>
      </c>
      <c r="AX129" s="120">
        <f t="shared" si="76"/>
        <v>1.19</v>
      </c>
      <c r="AY129">
        <f t="shared" si="67"/>
        <v>13.33</v>
      </c>
      <c r="AZ129" s="120">
        <f t="shared" si="68"/>
        <v>0</v>
      </c>
    </row>
    <row r="130" spans="27:55" x14ac:dyDescent="0.2">
      <c r="AA130">
        <f t="shared" si="73"/>
        <v>71</v>
      </c>
      <c r="AB130" s="130"/>
      <c r="AC130" s="175">
        <v>46538</v>
      </c>
      <c r="AD130" s="130"/>
      <c r="AE130" s="92">
        <f t="shared" si="59"/>
        <v>12.08</v>
      </c>
      <c r="AF130" s="131"/>
      <c r="AG130" s="177">
        <f t="shared" si="74"/>
        <v>1.1100000000000001</v>
      </c>
      <c r="AH130" s="131"/>
      <c r="AI130" s="131">
        <f t="shared" si="66"/>
        <v>157.23999999999953</v>
      </c>
      <c r="AJ130">
        <f t="shared" si="75"/>
        <v>71</v>
      </c>
      <c r="AK130" s="130"/>
      <c r="AL130" s="175">
        <v>46538</v>
      </c>
      <c r="AM130" s="130"/>
      <c r="AN130" s="92"/>
      <c r="AO130" s="131"/>
      <c r="AP130" s="177">
        <f t="shared" si="69"/>
        <v>0</v>
      </c>
      <c r="AQ130" s="131"/>
      <c r="AR130" s="120">
        <f t="shared" si="57"/>
        <v>-2.4868995751603507E-14</v>
      </c>
      <c r="AS130" s="175">
        <v>46538</v>
      </c>
      <c r="AT130" s="120"/>
      <c r="AU130" s="273">
        <f t="shared" si="72"/>
        <v>0</v>
      </c>
      <c r="AV130" s="131">
        <f t="shared" si="70"/>
        <v>0</v>
      </c>
      <c r="AW130" s="131">
        <f t="shared" si="71"/>
        <v>0</v>
      </c>
      <c r="AX130" s="120">
        <f t="shared" si="76"/>
        <v>1.1100000000000001</v>
      </c>
      <c r="AY130">
        <f t="shared" si="67"/>
        <v>13.33</v>
      </c>
      <c r="AZ130" s="120">
        <f t="shared" si="68"/>
        <v>0</v>
      </c>
    </row>
    <row r="131" spans="27:55" x14ac:dyDescent="0.2">
      <c r="AA131">
        <f t="shared" si="73"/>
        <v>72</v>
      </c>
      <c r="AB131" s="130"/>
      <c r="AC131" s="175">
        <v>46568</v>
      </c>
      <c r="AE131" s="118">
        <f t="shared" si="59"/>
        <v>12.08</v>
      </c>
      <c r="AG131" s="177">
        <f t="shared" si="74"/>
        <v>1.03</v>
      </c>
      <c r="AI131" s="131">
        <f t="shared" si="66"/>
        <v>145.15999999999951</v>
      </c>
      <c r="AJ131">
        <f t="shared" si="75"/>
        <v>72</v>
      </c>
      <c r="AK131" s="130"/>
      <c r="AL131" s="175">
        <v>46568</v>
      </c>
      <c r="AN131" s="118"/>
      <c r="AP131" s="177">
        <f t="shared" si="69"/>
        <v>0</v>
      </c>
      <c r="AR131" s="120">
        <f t="shared" si="57"/>
        <v>-2.4868995751603507E-14</v>
      </c>
      <c r="AS131" s="175">
        <v>46568</v>
      </c>
      <c r="AT131" s="120"/>
      <c r="AU131" s="273">
        <f t="shared" si="72"/>
        <v>0</v>
      </c>
      <c r="AV131" s="131">
        <f t="shared" si="70"/>
        <v>0</v>
      </c>
      <c r="AW131" s="131">
        <f t="shared" si="71"/>
        <v>0</v>
      </c>
      <c r="AX131" s="120">
        <f t="shared" si="76"/>
        <v>1.03</v>
      </c>
      <c r="AY131">
        <f t="shared" si="67"/>
        <v>13.33</v>
      </c>
      <c r="AZ131" s="120">
        <f t="shared" si="68"/>
        <v>0</v>
      </c>
    </row>
    <row r="132" spans="27:55" x14ac:dyDescent="0.2">
      <c r="AA132">
        <f t="shared" si="73"/>
        <v>73</v>
      </c>
      <c r="AB132" s="130"/>
      <c r="AC132" s="175">
        <v>46599</v>
      </c>
      <c r="AE132" s="118">
        <f t="shared" si="59"/>
        <v>12.08</v>
      </c>
      <c r="AG132" s="177">
        <f t="shared" si="74"/>
        <v>0.95</v>
      </c>
      <c r="AI132" s="131">
        <f t="shared" si="66"/>
        <v>133.0799999999995</v>
      </c>
      <c r="AJ132">
        <f t="shared" si="75"/>
        <v>73</v>
      </c>
      <c r="AK132" s="130"/>
      <c r="AL132" s="175">
        <v>46599</v>
      </c>
      <c r="AN132" s="118"/>
      <c r="AP132" s="177">
        <f t="shared" si="69"/>
        <v>0</v>
      </c>
      <c r="AR132" s="120">
        <f t="shared" si="57"/>
        <v>-2.4868995751603507E-14</v>
      </c>
      <c r="AS132" s="175">
        <v>46599</v>
      </c>
      <c r="AT132" s="120"/>
      <c r="AU132" s="273">
        <f t="shared" si="72"/>
        <v>0</v>
      </c>
      <c r="AV132" s="131">
        <f t="shared" si="70"/>
        <v>0</v>
      </c>
      <c r="AW132" s="131">
        <f t="shared" si="71"/>
        <v>0</v>
      </c>
      <c r="AX132" s="120">
        <f t="shared" si="76"/>
        <v>0.95</v>
      </c>
      <c r="AY132">
        <f t="shared" si="67"/>
        <v>13.33</v>
      </c>
      <c r="AZ132" s="120">
        <f t="shared" si="68"/>
        <v>0</v>
      </c>
    </row>
    <row r="133" spans="27:55" x14ac:dyDescent="0.2">
      <c r="AA133">
        <f t="shared" si="73"/>
        <v>74</v>
      </c>
      <c r="AB133" s="130"/>
      <c r="AC133" s="175">
        <v>46630</v>
      </c>
      <c r="AE133" s="118">
        <f t="shared" si="59"/>
        <v>12.08</v>
      </c>
      <c r="AG133" s="177">
        <f t="shared" si="74"/>
        <v>0.88</v>
      </c>
      <c r="AI133" s="131">
        <f t="shared" si="66"/>
        <v>120.9999999999995</v>
      </c>
      <c r="AJ133">
        <f t="shared" si="75"/>
        <v>74</v>
      </c>
      <c r="AK133" s="130"/>
      <c r="AL133" s="175">
        <v>46630</v>
      </c>
      <c r="AN133" s="118"/>
      <c r="AP133" s="177">
        <f t="shared" si="69"/>
        <v>0</v>
      </c>
      <c r="AR133" s="120">
        <f t="shared" si="57"/>
        <v>-2.4868995751603507E-14</v>
      </c>
      <c r="AS133" s="175">
        <v>46630</v>
      </c>
      <c r="AT133" s="120"/>
      <c r="AU133" s="273">
        <f t="shared" si="72"/>
        <v>0</v>
      </c>
      <c r="AV133" s="131">
        <f t="shared" si="70"/>
        <v>0</v>
      </c>
      <c r="AW133" s="131">
        <f t="shared" si="71"/>
        <v>0</v>
      </c>
      <c r="AX133" s="120">
        <f t="shared" si="76"/>
        <v>0.88</v>
      </c>
      <c r="AY133">
        <f t="shared" si="67"/>
        <v>13.33</v>
      </c>
      <c r="AZ133" s="120">
        <f t="shared" si="68"/>
        <v>0</v>
      </c>
    </row>
    <row r="134" spans="27:55" x14ac:dyDescent="0.2">
      <c r="AA134">
        <f t="shared" si="73"/>
        <v>75</v>
      </c>
      <c r="AB134" s="130"/>
      <c r="AC134" s="175">
        <v>46660</v>
      </c>
      <c r="AE134" s="118">
        <f t="shared" si="59"/>
        <v>12.08</v>
      </c>
      <c r="AG134" s="177">
        <f t="shared" si="74"/>
        <v>0.8</v>
      </c>
      <c r="AI134" s="131">
        <f t="shared" si="66"/>
        <v>108.9199999999995</v>
      </c>
      <c r="AJ134">
        <f t="shared" si="75"/>
        <v>75</v>
      </c>
      <c r="AK134" s="130"/>
      <c r="AL134" s="175">
        <v>46660</v>
      </c>
      <c r="AN134" s="118"/>
      <c r="AP134" s="177">
        <f t="shared" si="69"/>
        <v>0</v>
      </c>
      <c r="AR134" s="120">
        <f t="shared" si="57"/>
        <v>-2.4868995751603507E-14</v>
      </c>
      <c r="AS134" s="175">
        <v>46660</v>
      </c>
      <c r="AT134" s="120"/>
      <c r="AU134" s="273">
        <f t="shared" si="72"/>
        <v>0</v>
      </c>
      <c r="AV134" s="131">
        <f t="shared" si="70"/>
        <v>0</v>
      </c>
      <c r="AW134" s="131">
        <f t="shared" si="71"/>
        <v>0</v>
      </c>
      <c r="AX134" s="120">
        <f t="shared" si="76"/>
        <v>0.8</v>
      </c>
      <c r="AY134">
        <f t="shared" si="67"/>
        <v>13.33</v>
      </c>
      <c r="AZ134" s="120">
        <f t="shared" si="68"/>
        <v>0</v>
      </c>
    </row>
    <row r="135" spans="27:55" x14ac:dyDescent="0.2">
      <c r="AA135">
        <f t="shared" si="73"/>
        <v>76</v>
      </c>
      <c r="AB135" s="130"/>
      <c r="AC135" s="175">
        <v>46691</v>
      </c>
      <c r="AE135" s="118">
        <f t="shared" si="59"/>
        <v>12.08</v>
      </c>
      <c r="AG135" s="177">
        <f t="shared" si="74"/>
        <v>0.72</v>
      </c>
      <c r="AI135" s="131">
        <f t="shared" si="66"/>
        <v>96.839999999999506</v>
      </c>
      <c r="AJ135">
        <f t="shared" si="75"/>
        <v>76</v>
      </c>
      <c r="AK135" s="130"/>
      <c r="AL135" s="175">
        <v>46691</v>
      </c>
      <c r="AN135" s="118"/>
      <c r="AP135" s="177">
        <f t="shared" si="69"/>
        <v>0</v>
      </c>
      <c r="AR135" s="120">
        <f t="shared" si="57"/>
        <v>-2.4868995751603507E-14</v>
      </c>
      <c r="AS135" s="175">
        <v>46691</v>
      </c>
      <c r="AT135" s="120"/>
      <c r="AU135" s="273">
        <f t="shared" si="72"/>
        <v>0</v>
      </c>
      <c r="AV135" s="131">
        <f t="shared" si="70"/>
        <v>0</v>
      </c>
      <c r="AW135" s="131">
        <f t="shared" si="71"/>
        <v>0</v>
      </c>
      <c r="AX135" s="120">
        <f t="shared" si="76"/>
        <v>0.72</v>
      </c>
      <c r="AY135">
        <f t="shared" si="67"/>
        <v>13.33</v>
      </c>
      <c r="AZ135" s="120">
        <f t="shared" si="68"/>
        <v>0</v>
      </c>
    </row>
    <row r="136" spans="27:55" x14ac:dyDescent="0.2">
      <c r="AA136">
        <f t="shared" si="73"/>
        <v>77</v>
      </c>
      <c r="AB136" s="130"/>
      <c r="AC136" s="175">
        <v>46721</v>
      </c>
      <c r="AE136" s="118">
        <f t="shared" si="59"/>
        <v>12.08</v>
      </c>
      <c r="AG136" s="177">
        <f t="shared" si="74"/>
        <v>0.64</v>
      </c>
      <c r="AI136" s="131">
        <f t="shared" si="66"/>
        <v>84.759999999999508</v>
      </c>
      <c r="AJ136">
        <f t="shared" si="75"/>
        <v>77</v>
      </c>
      <c r="AK136" s="130"/>
      <c r="AL136" s="175">
        <v>46721</v>
      </c>
      <c r="AN136" s="118"/>
      <c r="AP136" s="177">
        <f t="shared" si="69"/>
        <v>0</v>
      </c>
      <c r="AR136" s="120">
        <f t="shared" si="57"/>
        <v>-2.4868995751603507E-14</v>
      </c>
      <c r="AS136" s="175">
        <v>46721</v>
      </c>
      <c r="AT136" s="120"/>
      <c r="AU136" s="273">
        <f t="shared" si="72"/>
        <v>0</v>
      </c>
      <c r="AV136" s="131">
        <f t="shared" si="70"/>
        <v>0</v>
      </c>
      <c r="AW136" s="131">
        <f t="shared" si="71"/>
        <v>0</v>
      </c>
      <c r="AX136" s="120">
        <f t="shared" si="76"/>
        <v>0.64</v>
      </c>
      <c r="AY136">
        <f t="shared" si="67"/>
        <v>13.33</v>
      </c>
      <c r="AZ136" s="120">
        <f t="shared" si="68"/>
        <v>0</v>
      </c>
    </row>
    <row r="137" spans="27:55" x14ac:dyDescent="0.2">
      <c r="AA137">
        <f t="shared" si="73"/>
        <v>78</v>
      </c>
      <c r="AB137" s="130"/>
      <c r="AC137" s="175">
        <v>46752</v>
      </c>
      <c r="AE137" s="118">
        <f t="shared" si="59"/>
        <v>12.08</v>
      </c>
      <c r="AG137" s="177">
        <f t="shared" si="74"/>
        <v>0.56000000000000005</v>
      </c>
      <c r="AI137" s="131">
        <f t="shared" si="66"/>
        <v>72.679999999999509</v>
      </c>
      <c r="AJ137">
        <f t="shared" si="75"/>
        <v>78</v>
      </c>
      <c r="AK137" s="130"/>
      <c r="AL137" s="175">
        <v>46752</v>
      </c>
      <c r="AN137" s="118"/>
      <c r="AP137" s="177">
        <f t="shared" si="69"/>
        <v>0</v>
      </c>
      <c r="AR137" s="120">
        <f t="shared" si="57"/>
        <v>-2.4868995751603507E-14</v>
      </c>
      <c r="AS137" s="175">
        <v>46752</v>
      </c>
      <c r="AT137" s="120"/>
      <c r="AU137" s="273">
        <f t="shared" si="72"/>
        <v>0</v>
      </c>
      <c r="AV137" s="131">
        <f t="shared" si="70"/>
        <v>0</v>
      </c>
      <c r="AW137" s="131">
        <f t="shared" si="71"/>
        <v>0</v>
      </c>
      <c r="AX137" s="120">
        <f t="shared" si="76"/>
        <v>0.56000000000000005</v>
      </c>
      <c r="AY137">
        <f t="shared" si="67"/>
        <v>13.33</v>
      </c>
      <c r="AZ137" s="120">
        <f t="shared" si="68"/>
        <v>0</v>
      </c>
    </row>
    <row r="138" spans="27:55" x14ac:dyDescent="0.2">
      <c r="AA138">
        <f t="shared" si="73"/>
        <v>79</v>
      </c>
      <c r="AB138" s="130"/>
      <c r="AC138" s="175">
        <v>46783</v>
      </c>
      <c r="AE138" s="118">
        <f t="shared" si="59"/>
        <v>12.08</v>
      </c>
      <c r="AG138" s="177">
        <f t="shared" si="74"/>
        <v>0.48</v>
      </c>
      <c r="AI138" s="131">
        <f t="shared" si="66"/>
        <v>60.599999999999511</v>
      </c>
      <c r="AJ138">
        <f t="shared" si="75"/>
        <v>79</v>
      </c>
      <c r="AK138" s="130"/>
      <c r="AL138" s="175">
        <v>46783</v>
      </c>
      <c r="AN138" s="118"/>
      <c r="AP138" s="177">
        <f t="shared" si="69"/>
        <v>0</v>
      </c>
      <c r="AR138" s="120">
        <f t="shared" si="57"/>
        <v>-2.4868995751603507E-14</v>
      </c>
      <c r="AS138" s="175">
        <v>46783</v>
      </c>
      <c r="AT138" s="120"/>
      <c r="AU138" s="273">
        <f t="shared" si="72"/>
        <v>0</v>
      </c>
      <c r="AV138" s="131">
        <f t="shared" si="70"/>
        <v>0</v>
      </c>
      <c r="AW138" s="131">
        <f t="shared" si="71"/>
        <v>0</v>
      </c>
      <c r="AX138" s="120">
        <f t="shared" si="76"/>
        <v>0.48</v>
      </c>
      <c r="AY138">
        <f t="shared" si="67"/>
        <v>13.33</v>
      </c>
      <c r="AZ138" s="120">
        <f t="shared" si="68"/>
        <v>0</v>
      </c>
    </row>
    <row r="139" spans="27:55" x14ac:dyDescent="0.2">
      <c r="AA139">
        <f t="shared" si="73"/>
        <v>80</v>
      </c>
      <c r="AB139" s="130"/>
      <c r="AC139" s="175">
        <v>46812</v>
      </c>
      <c r="AE139" s="118">
        <f t="shared" si="59"/>
        <v>12.08</v>
      </c>
      <c r="AG139" s="177">
        <f t="shared" si="74"/>
        <v>0.4</v>
      </c>
      <c r="AI139" s="131">
        <f t="shared" si="66"/>
        <v>48.519999999999513</v>
      </c>
      <c r="AJ139">
        <f t="shared" si="75"/>
        <v>80</v>
      </c>
      <c r="AK139" s="130"/>
      <c r="AL139" s="175">
        <v>46812</v>
      </c>
      <c r="AN139" s="118"/>
      <c r="AP139" s="177">
        <f t="shared" si="69"/>
        <v>0</v>
      </c>
      <c r="AR139" s="120">
        <f t="shared" si="57"/>
        <v>-2.4868995751603507E-14</v>
      </c>
      <c r="AS139" s="175">
        <v>46812</v>
      </c>
      <c r="AT139" s="120"/>
      <c r="AU139" s="273">
        <f t="shared" si="72"/>
        <v>0</v>
      </c>
      <c r="AV139" s="131">
        <f t="shared" si="70"/>
        <v>0</v>
      </c>
      <c r="AW139" s="131">
        <f t="shared" si="71"/>
        <v>0</v>
      </c>
      <c r="AX139" s="120">
        <f t="shared" si="76"/>
        <v>0.4</v>
      </c>
      <c r="AY139">
        <f t="shared" si="67"/>
        <v>13.33</v>
      </c>
      <c r="AZ139" s="120">
        <f t="shared" si="68"/>
        <v>0</v>
      </c>
    </row>
    <row r="140" spans="27:55" x14ac:dyDescent="0.2">
      <c r="AA140">
        <f t="shared" si="73"/>
        <v>81</v>
      </c>
      <c r="AB140" s="137"/>
      <c r="AC140" s="175">
        <v>46843</v>
      </c>
      <c r="AD140" s="137"/>
      <c r="AE140" s="139">
        <f t="shared" si="59"/>
        <v>12.08</v>
      </c>
      <c r="AF140" s="138">
        <f>SUM(AE129:AE140)</f>
        <v>144.96</v>
      </c>
      <c r="AG140" s="177">
        <f t="shared" si="74"/>
        <v>0.32</v>
      </c>
      <c r="AH140" s="138">
        <f>SUM(AG129:AG140)</f>
        <v>9.08</v>
      </c>
      <c r="AI140" s="138">
        <f t="shared" si="66"/>
        <v>36.439999999999515</v>
      </c>
      <c r="AJ140" s="137">
        <f t="shared" si="75"/>
        <v>81</v>
      </c>
      <c r="AK140" s="137"/>
      <c r="AL140" s="175">
        <v>46843</v>
      </c>
      <c r="AM140" s="137"/>
      <c r="AN140" s="139"/>
      <c r="AO140" s="138">
        <f>SUM(AN129:AN140)</f>
        <v>0</v>
      </c>
      <c r="AP140" s="177">
        <f t="shared" si="69"/>
        <v>0</v>
      </c>
      <c r="AQ140" s="138">
        <f>SUM(AP129:AP140)</f>
        <v>0</v>
      </c>
      <c r="AR140" s="120">
        <f t="shared" si="57"/>
        <v>-2.4868995751603507E-14</v>
      </c>
      <c r="AS140" s="175">
        <v>46843</v>
      </c>
      <c r="AT140" s="120"/>
      <c r="AU140" s="273">
        <f t="shared" si="72"/>
        <v>0</v>
      </c>
      <c r="AV140" s="131">
        <f t="shared" si="70"/>
        <v>0</v>
      </c>
      <c r="AW140" s="131">
        <f t="shared" si="71"/>
        <v>0</v>
      </c>
      <c r="AX140" s="120">
        <f t="shared" si="76"/>
        <v>0.32</v>
      </c>
      <c r="AY140">
        <f t="shared" si="67"/>
        <v>13.33</v>
      </c>
      <c r="AZ140" s="120">
        <f t="shared" si="68"/>
        <v>0</v>
      </c>
      <c r="BA140" s="137">
        <f>SUM(AU129:AZ140)</f>
        <v>169.04000000000002</v>
      </c>
      <c r="BB140">
        <v>0</v>
      </c>
      <c r="BC140" s="138">
        <f>BA140-BB140</f>
        <v>169.04000000000002</v>
      </c>
    </row>
    <row r="141" spans="27:55" x14ac:dyDescent="0.2">
      <c r="AA141">
        <f t="shared" si="73"/>
        <v>82</v>
      </c>
      <c r="AB141" s="130"/>
      <c r="AC141" s="175">
        <v>46873</v>
      </c>
      <c r="AE141" s="118">
        <f t="shared" si="59"/>
        <v>12.08</v>
      </c>
      <c r="AG141" s="177">
        <f t="shared" si="74"/>
        <v>0.24</v>
      </c>
      <c r="AI141" s="131">
        <f t="shared" si="66"/>
        <v>24.359999999999516</v>
      </c>
      <c r="AJ141">
        <f t="shared" si="75"/>
        <v>82</v>
      </c>
      <c r="AK141" s="130"/>
      <c r="AL141" s="175">
        <v>46873</v>
      </c>
      <c r="AN141" s="118"/>
      <c r="AP141" s="177">
        <f t="shared" si="69"/>
        <v>0</v>
      </c>
      <c r="AR141" s="120">
        <f t="shared" si="57"/>
        <v>-2.4868995751603507E-14</v>
      </c>
      <c r="AS141" s="175">
        <v>46873</v>
      </c>
      <c r="AT141" s="120"/>
      <c r="AU141" s="273">
        <f t="shared" si="72"/>
        <v>0</v>
      </c>
      <c r="AV141" s="131">
        <f t="shared" si="70"/>
        <v>0</v>
      </c>
      <c r="AW141" s="131">
        <f t="shared" si="71"/>
        <v>0</v>
      </c>
      <c r="AX141" s="120">
        <f t="shared" si="76"/>
        <v>0.24</v>
      </c>
      <c r="AY141">
        <f t="shared" si="67"/>
        <v>13.33</v>
      </c>
      <c r="AZ141" s="120">
        <f t="shared" si="68"/>
        <v>0</v>
      </c>
    </row>
    <row r="142" spans="27:55" x14ac:dyDescent="0.2">
      <c r="AA142">
        <f t="shared" si="73"/>
        <v>83</v>
      </c>
      <c r="AB142" s="130"/>
      <c r="AC142" s="175">
        <v>46904</v>
      </c>
      <c r="AE142" s="118">
        <f t="shared" si="59"/>
        <v>12.08</v>
      </c>
      <c r="AG142" s="177">
        <f t="shared" si="74"/>
        <v>0.16</v>
      </c>
      <c r="AI142" s="131">
        <f t="shared" si="66"/>
        <v>12.279999999999516</v>
      </c>
      <c r="AJ142">
        <f t="shared" si="75"/>
        <v>83</v>
      </c>
      <c r="AK142" s="130"/>
      <c r="AL142" s="175">
        <v>46904</v>
      </c>
      <c r="AN142" s="118"/>
      <c r="AP142" s="177">
        <f t="shared" si="69"/>
        <v>0</v>
      </c>
      <c r="AR142" s="120">
        <f t="shared" si="57"/>
        <v>-2.4868995751603507E-14</v>
      </c>
      <c r="AS142" s="175">
        <v>46904</v>
      </c>
      <c r="AT142" s="120"/>
      <c r="AU142" s="273">
        <f t="shared" si="72"/>
        <v>0</v>
      </c>
      <c r="AV142" s="131">
        <f t="shared" si="70"/>
        <v>0</v>
      </c>
      <c r="AW142" s="131">
        <f t="shared" si="71"/>
        <v>0</v>
      </c>
      <c r="AX142" s="120">
        <f t="shared" si="76"/>
        <v>0.16</v>
      </c>
      <c r="AY142">
        <f t="shared" si="67"/>
        <v>13.33</v>
      </c>
      <c r="AZ142" s="120">
        <f t="shared" si="68"/>
        <v>0</v>
      </c>
    </row>
    <row r="143" spans="27:55" x14ac:dyDescent="0.2">
      <c r="AA143">
        <f t="shared" si="73"/>
        <v>84</v>
      </c>
      <c r="AB143" s="137"/>
      <c r="AC143" s="175">
        <v>46934</v>
      </c>
      <c r="AD143" s="137"/>
      <c r="AE143" s="139">
        <v>12.28</v>
      </c>
      <c r="AF143" s="138">
        <f>SUM(AE141:AE143)</f>
        <v>36.44</v>
      </c>
      <c r="AG143" s="177">
        <f t="shared" si="74"/>
        <v>0.08</v>
      </c>
      <c r="AH143" s="138">
        <f>SUM(AG141:AG143)</f>
        <v>0.48000000000000004</v>
      </c>
      <c r="AI143" s="138">
        <f t="shared" si="66"/>
        <v>-4.8316906031686813E-13</v>
      </c>
      <c r="AJ143" s="137">
        <f t="shared" si="75"/>
        <v>84</v>
      </c>
      <c r="AK143" s="137"/>
      <c r="AL143" s="175">
        <v>46934</v>
      </c>
      <c r="AM143" s="137"/>
      <c r="AN143" s="139"/>
      <c r="AO143" s="138">
        <f>SUM(AN141:AN143)</f>
        <v>0</v>
      </c>
      <c r="AP143" s="177">
        <f t="shared" si="69"/>
        <v>0</v>
      </c>
      <c r="AQ143" s="138">
        <f>SUM(AP141:AP143)</f>
        <v>0</v>
      </c>
      <c r="AR143" s="120">
        <f t="shared" si="57"/>
        <v>-2.4868995751603507E-14</v>
      </c>
      <c r="AS143" s="175">
        <v>46934</v>
      </c>
      <c r="AT143" s="160"/>
      <c r="AU143" s="273">
        <f t="shared" si="72"/>
        <v>0</v>
      </c>
      <c r="AV143" s="131">
        <f t="shared" si="70"/>
        <v>0</v>
      </c>
      <c r="AW143" s="131">
        <f t="shared" si="71"/>
        <v>0</v>
      </c>
      <c r="AX143" s="120">
        <f t="shared" si="76"/>
        <v>0.08</v>
      </c>
      <c r="AY143">
        <f t="shared" si="67"/>
        <v>13.33</v>
      </c>
      <c r="AZ143" s="120">
        <f t="shared" si="68"/>
        <v>0</v>
      </c>
      <c r="BA143" s="120"/>
    </row>
    <row r="144" spans="27:55" x14ac:dyDescent="0.2">
      <c r="AC144" s="160"/>
      <c r="AE144" s="118"/>
      <c r="AH144" s="120">
        <f>SUM(AH143,AH140,AH128,AH116,AH104,AH92,AH80,AH68)</f>
        <v>255.15999999999997</v>
      </c>
      <c r="AN144" s="120">
        <f>SUM(AN84:AN143)</f>
        <v>325.00000000000006</v>
      </c>
      <c r="AQ144" s="120">
        <f>SUM(AQ143,AQ140,AQ128,AQ116,AQ104,AQ92,AQ80,AQ68)</f>
        <v>51.639999999999993</v>
      </c>
      <c r="AS144" s="271">
        <v>46965</v>
      </c>
      <c r="AT144" s="160"/>
      <c r="AU144" s="273">
        <f t="shared" si="72"/>
        <v>0</v>
      </c>
      <c r="AV144" s="131">
        <f t="shared" si="70"/>
        <v>0</v>
      </c>
      <c r="AW144" s="131">
        <f t="shared" si="71"/>
        <v>0</v>
      </c>
      <c r="AX144" s="120">
        <f t="shared" si="76"/>
        <v>0</v>
      </c>
      <c r="AY144">
        <f t="shared" si="67"/>
        <v>13.33</v>
      </c>
      <c r="AZ144" s="120">
        <f t="shared" ref="AZ144:AZ152" si="77">AP144</f>
        <v>0</v>
      </c>
    </row>
    <row r="145" spans="29:55" ht="18" x14ac:dyDescent="0.25">
      <c r="AC145" s="160"/>
      <c r="AE145" s="118"/>
      <c r="AL145" s="276" t="s">
        <v>516</v>
      </c>
      <c r="AS145" s="271">
        <v>46996</v>
      </c>
      <c r="AT145" s="160"/>
      <c r="AU145" s="273">
        <f t="shared" si="72"/>
        <v>0</v>
      </c>
      <c r="AV145" s="131">
        <f t="shared" si="70"/>
        <v>0</v>
      </c>
      <c r="AW145" s="131">
        <f t="shared" si="71"/>
        <v>0</v>
      </c>
      <c r="AX145" s="120">
        <f t="shared" si="76"/>
        <v>0</v>
      </c>
      <c r="AY145">
        <f t="shared" ref="AY145:AY152" si="78">ROUND($AY$53*$AY$50/12,2)</f>
        <v>13.33</v>
      </c>
      <c r="AZ145" s="120">
        <f t="shared" si="77"/>
        <v>0</v>
      </c>
    </row>
    <row r="146" spans="29:55" x14ac:dyDescent="0.2">
      <c r="AC146" s="160"/>
      <c r="AE146" s="118"/>
      <c r="AL146" s="116"/>
      <c r="AS146" s="271">
        <v>47026</v>
      </c>
      <c r="AT146" s="160"/>
      <c r="AU146" s="273">
        <f t="shared" si="72"/>
        <v>0</v>
      </c>
      <c r="AV146" s="131">
        <f t="shared" si="70"/>
        <v>0</v>
      </c>
      <c r="AW146" s="131">
        <f t="shared" si="71"/>
        <v>0</v>
      </c>
      <c r="AX146" s="120">
        <f t="shared" si="76"/>
        <v>0</v>
      </c>
      <c r="AY146">
        <f t="shared" si="78"/>
        <v>13.33</v>
      </c>
      <c r="AZ146" s="120">
        <f t="shared" si="77"/>
        <v>0</v>
      </c>
    </row>
    <row r="147" spans="29:55" x14ac:dyDescent="0.2">
      <c r="AC147" s="160"/>
      <c r="AE147" s="118"/>
      <c r="AL147" s="116"/>
      <c r="AS147" s="175">
        <v>47057</v>
      </c>
      <c r="AT147" s="160"/>
      <c r="AU147" s="273">
        <f t="shared" si="72"/>
        <v>0</v>
      </c>
      <c r="AV147" s="131">
        <f t="shared" si="70"/>
        <v>0</v>
      </c>
      <c r="AW147" s="131">
        <f t="shared" si="71"/>
        <v>0</v>
      </c>
      <c r="AX147" s="120">
        <f t="shared" si="76"/>
        <v>0</v>
      </c>
      <c r="AY147">
        <f t="shared" si="78"/>
        <v>13.33</v>
      </c>
      <c r="AZ147" s="120">
        <f t="shared" si="77"/>
        <v>0</v>
      </c>
    </row>
    <row r="148" spans="29:55" x14ac:dyDescent="0.2">
      <c r="AE148" s="118"/>
      <c r="AL148" s="116"/>
      <c r="AS148" s="175">
        <v>47087</v>
      </c>
      <c r="AT148" s="160"/>
      <c r="AU148" s="273">
        <f t="shared" si="72"/>
        <v>0</v>
      </c>
      <c r="AV148" s="131">
        <f t="shared" si="70"/>
        <v>0</v>
      </c>
      <c r="AW148" s="131">
        <f t="shared" si="71"/>
        <v>0</v>
      </c>
      <c r="AX148" s="120">
        <f t="shared" si="76"/>
        <v>0</v>
      </c>
      <c r="AY148">
        <f t="shared" si="78"/>
        <v>13.33</v>
      </c>
      <c r="AZ148" s="120">
        <f t="shared" si="77"/>
        <v>0</v>
      </c>
    </row>
    <row r="149" spans="29:55" x14ac:dyDescent="0.2">
      <c r="AE149" s="118"/>
      <c r="AL149" s="116"/>
      <c r="AS149" s="175">
        <v>47118</v>
      </c>
      <c r="AT149" s="160"/>
      <c r="AU149" s="273">
        <f t="shared" si="72"/>
        <v>0</v>
      </c>
      <c r="AV149" s="131">
        <f t="shared" si="70"/>
        <v>0</v>
      </c>
      <c r="AW149" s="131">
        <f t="shared" si="71"/>
        <v>0</v>
      </c>
      <c r="AX149" s="120">
        <f t="shared" si="76"/>
        <v>0</v>
      </c>
      <c r="AY149">
        <f t="shared" si="78"/>
        <v>13.33</v>
      </c>
      <c r="AZ149" s="120">
        <f t="shared" si="77"/>
        <v>0</v>
      </c>
    </row>
    <row r="150" spans="29:55" x14ac:dyDescent="0.2">
      <c r="AE150" s="118"/>
      <c r="AL150" s="116" t="s">
        <v>515</v>
      </c>
      <c r="AS150" s="175">
        <v>47149</v>
      </c>
      <c r="AT150" s="160"/>
      <c r="AU150" s="273">
        <f t="shared" si="72"/>
        <v>0</v>
      </c>
      <c r="AV150" s="131">
        <f t="shared" si="70"/>
        <v>0</v>
      </c>
      <c r="AW150" s="131">
        <f t="shared" si="71"/>
        <v>0</v>
      </c>
      <c r="AX150" s="120">
        <f t="shared" si="76"/>
        <v>0</v>
      </c>
      <c r="AY150">
        <f t="shared" si="78"/>
        <v>13.33</v>
      </c>
      <c r="AZ150" s="120">
        <f t="shared" si="77"/>
        <v>0</v>
      </c>
    </row>
    <row r="151" spans="29:55" x14ac:dyDescent="0.2">
      <c r="AE151" s="118"/>
      <c r="AS151" s="175">
        <v>47177</v>
      </c>
      <c r="AT151" s="160"/>
      <c r="AU151" s="273">
        <f t="shared" si="72"/>
        <v>0</v>
      </c>
      <c r="AV151" s="131">
        <f t="shared" si="70"/>
        <v>0</v>
      </c>
      <c r="AW151" s="131">
        <f t="shared" si="71"/>
        <v>0</v>
      </c>
      <c r="AX151" s="120">
        <f t="shared" si="76"/>
        <v>0</v>
      </c>
      <c r="AY151">
        <f t="shared" si="78"/>
        <v>13.33</v>
      </c>
      <c r="AZ151" s="120">
        <f t="shared" si="77"/>
        <v>0</v>
      </c>
    </row>
    <row r="152" spans="29:55" x14ac:dyDescent="0.2">
      <c r="AS152" s="175">
        <v>47208</v>
      </c>
      <c r="AT152" s="160"/>
      <c r="AU152" s="120">
        <f t="shared" ref="AU152" si="79">F151</f>
        <v>0</v>
      </c>
      <c r="AV152" s="120">
        <f t="shared" ref="AV152" si="80">O151</f>
        <v>0</v>
      </c>
      <c r="AW152" s="131">
        <f t="shared" si="71"/>
        <v>0</v>
      </c>
      <c r="AX152" s="120">
        <f t="shared" si="76"/>
        <v>0</v>
      </c>
      <c r="AY152">
        <f t="shared" si="78"/>
        <v>13.33</v>
      </c>
      <c r="AZ152" s="120">
        <f t="shared" si="77"/>
        <v>0</v>
      </c>
      <c r="BA152" s="137">
        <f>SUM(AU141:AZ152)</f>
        <v>160.44000000000003</v>
      </c>
      <c r="BB152">
        <v>0</v>
      </c>
      <c r="BC152" s="138">
        <f>BA152-BB152</f>
        <v>160.44000000000003</v>
      </c>
    </row>
    <row r="153" spans="29:55" x14ac:dyDescent="0.2">
      <c r="AU153" s="120">
        <f t="shared" ref="AU153:BC153" si="81">SUM(AU57:AU152)</f>
        <v>27.57</v>
      </c>
      <c r="AV153" s="120">
        <f t="shared" si="81"/>
        <v>118.28999999999999</v>
      </c>
      <c r="AW153" s="120">
        <f t="shared" si="81"/>
        <v>70.94</v>
      </c>
      <c r="AX153" s="120">
        <f t="shared" si="81"/>
        <v>255.15999999999991</v>
      </c>
      <c r="AY153" s="120">
        <f t="shared" si="81"/>
        <v>1326.2699999999998</v>
      </c>
      <c r="AZ153" s="120">
        <f t="shared" si="81"/>
        <v>51.640000000000008</v>
      </c>
      <c r="BA153" s="120">
        <f>SUM(BA60:BA152)</f>
        <v>1849.8700000000001</v>
      </c>
      <c r="BB153" s="120">
        <f t="shared" si="81"/>
        <v>325.00000000000006</v>
      </c>
      <c r="BC153" s="120">
        <f t="shared" si="81"/>
        <v>1524.8700000000003</v>
      </c>
    </row>
    <row r="154" spans="29:55" x14ac:dyDescent="0.2">
      <c r="AZ154" s="120">
        <f>SUM(AU153:AZ153)</f>
        <v>1849.8699999999997</v>
      </c>
    </row>
    <row r="193" spans="4:21" x14ac:dyDescent="0.2">
      <c r="D193" s="115"/>
      <c r="I193" s="114">
        <v>0.08</v>
      </c>
      <c r="K193" s="116"/>
      <c r="M193" s="115" t="s">
        <v>390</v>
      </c>
      <c r="N193" s="115"/>
      <c r="S193" s="114">
        <v>0.08</v>
      </c>
      <c r="U193" s="116" t="s">
        <v>383</v>
      </c>
    </row>
    <row r="194" spans="4:21" x14ac:dyDescent="0.2">
      <c r="E194" s="116" t="s">
        <v>373</v>
      </c>
      <c r="F194" s="116" t="s">
        <v>374</v>
      </c>
      <c r="H194" s="116" t="s">
        <v>375</v>
      </c>
      <c r="I194" s="116" t="s">
        <v>33</v>
      </c>
      <c r="M194" s="116" t="s">
        <v>372</v>
      </c>
      <c r="O194" s="116" t="s">
        <v>373</v>
      </c>
      <c r="P194" s="116" t="s">
        <v>374</v>
      </c>
      <c r="R194" s="116" t="s">
        <v>375</v>
      </c>
      <c r="S194" s="116" t="s">
        <v>33</v>
      </c>
    </row>
    <row r="195" spans="4:21" x14ac:dyDescent="0.2">
      <c r="D195" s="125">
        <v>44286</v>
      </c>
      <c r="E195" s="116">
        <v>0</v>
      </c>
      <c r="F195" s="118">
        <v>1500</v>
      </c>
      <c r="H195" s="126" t="s">
        <v>380</v>
      </c>
      <c r="I195" s="120">
        <v>30</v>
      </c>
      <c r="J195" s="120">
        <f>I195</f>
        <v>30</v>
      </c>
      <c r="K195" s="116"/>
      <c r="M195" s="119">
        <v>44075</v>
      </c>
      <c r="N195" s="125">
        <v>44286</v>
      </c>
      <c r="O195" s="116">
        <v>0</v>
      </c>
      <c r="P195" s="118">
        <v>208</v>
      </c>
      <c r="R195" s="132" t="s">
        <v>391</v>
      </c>
      <c r="S195" s="120">
        <f>P195*$S$193*7/12</f>
        <v>9.706666666666667</v>
      </c>
      <c r="T195" s="120">
        <f>S195</f>
        <v>9.706666666666667</v>
      </c>
      <c r="U195" s="116" t="s">
        <v>357</v>
      </c>
    </row>
    <row r="196" spans="4:21" x14ac:dyDescent="0.2">
      <c r="D196" s="125">
        <v>44651</v>
      </c>
      <c r="E196" s="116">
        <v>0</v>
      </c>
      <c r="F196" s="118">
        <v>1500</v>
      </c>
      <c r="H196" s="116" t="s">
        <v>381</v>
      </c>
      <c r="I196" s="120">
        <v>120</v>
      </c>
      <c r="J196" s="120">
        <f>I196</f>
        <v>120</v>
      </c>
      <c r="K196" s="116"/>
      <c r="M196" s="129">
        <v>44287</v>
      </c>
      <c r="N196" s="129">
        <v>44651</v>
      </c>
      <c r="O196" s="130">
        <v>0</v>
      </c>
      <c r="P196" s="92">
        <v>208</v>
      </c>
      <c r="Q196" s="130"/>
      <c r="R196" s="133" t="s">
        <v>381</v>
      </c>
      <c r="S196" s="131">
        <f>P196*$S$193</f>
        <v>16.64</v>
      </c>
      <c r="T196" s="120">
        <f>S196</f>
        <v>16.64</v>
      </c>
      <c r="U196" s="116" t="s">
        <v>358</v>
      </c>
    </row>
    <row r="197" spans="4:21" x14ac:dyDescent="0.2">
      <c r="D197" s="125">
        <v>44926</v>
      </c>
      <c r="E197">
        <v>0</v>
      </c>
      <c r="F197" s="118">
        <v>1500</v>
      </c>
      <c r="H197" s="116" t="s">
        <v>382</v>
      </c>
      <c r="I197" s="120">
        <v>90</v>
      </c>
      <c r="M197" s="129">
        <v>44652</v>
      </c>
      <c r="N197" s="129">
        <v>44926</v>
      </c>
      <c r="O197" s="130">
        <v>0</v>
      </c>
      <c r="P197" s="92">
        <v>208</v>
      </c>
      <c r="Q197" s="130"/>
      <c r="R197" s="133" t="s">
        <v>382</v>
      </c>
      <c r="S197" s="120">
        <f>P197*$S$193*9/12</f>
        <v>12.479999999999999</v>
      </c>
      <c r="T197" s="120"/>
      <c r="U197" s="130"/>
    </row>
    <row r="198" spans="4:21" x14ac:dyDescent="0.2">
      <c r="I198" s="120"/>
      <c r="M198" s="129"/>
      <c r="N198" s="129"/>
      <c r="O198" s="130"/>
      <c r="P198" s="92"/>
      <c r="Q198" s="130"/>
      <c r="R198" s="5"/>
      <c r="S198" s="120"/>
      <c r="T198" s="130"/>
      <c r="U198" s="130"/>
    </row>
    <row r="199" spans="4:21" x14ac:dyDescent="0.2">
      <c r="D199" s="113">
        <v>44927</v>
      </c>
      <c r="E199">
        <v>20.83</v>
      </c>
      <c r="F199" s="120">
        <f>F195-E199</f>
        <v>1479.17</v>
      </c>
      <c r="I199" s="120">
        <f t="shared" ref="I199:I230" si="82">ROUND(F199*$I$193/12,2)</f>
        <v>9.86</v>
      </c>
      <c r="M199">
        <v>1</v>
      </c>
      <c r="N199" s="113">
        <v>44927</v>
      </c>
      <c r="O199">
        <v>4.33</v>
      </c>
      <c r="P199" s="120">
        <f>P195-O199</f>
        <v>203.67</v>
      </c>
      <c r="S199" s="120">
        <f t="shared" ref="S199:S246" si="83">ROUND(P199*$S$193/12,2)</f>
        <v>1.36</v>
      </c>
    </row>
    <row r="200" spans="4:21" x14ac:dyDescent="0.2">
      <c r="D200" s="113">
        <v>44958</v>
      </c>
      <c r="E200">
        <v>20.83</v>
      </c>
      <c r="F200" s="120">
        <f t="shared" ref="F200:F231" si="84">F199-E200</f>
        <v>1458.3400000000001</v>
      </c>
      <c r="I200" s="120">
        <f t="shared" si="82"/>
        <v>9.7200000000000006</v>
      </c>
      <c r="M200">
        <v>2</v>
      </c>
      <c r="N200" s="113">
        <v>44958</v>
      </c>
      <c r="O200">
        <v>4.33</v>
      </c>
      <c r="P200" s="120">
        <f t="shared" ref="P200:P232" si="85">P199-O200</f>
        <v>199.33999999999997</v>
      </c>
      <c r="S200" s="120">
        <f t="shared" si="83"/>
        <v>1.33</v>
      </c>
    </row>
    <row r="201" spans="4:21" x14ac:dyDescent="0.2">
      <c r="D201" s="113">
        <v>44986</v>
      </c>
      <c r="E201">
        <v>20.83</v>
      </c>
      <c r="F201" s="120">
        <f t="shared" si="84"/>
        <v>1437.5100000000002</v>
      </c>
      <c r="G201">
        <f>SUM(E199:E201)</f>
        <v>62.489999999999995</v>
      </c>
      <c r="I201" s="120">
        <f t="shared" si="82"/>
        <v>9.58</v>
      </c>
      <c r="J201" s="120">
        <f>SUM(I197:I201)</f>
        <v>119.16</v>
      </c>
      <c r="K201" s="116" t="s">
        <v>377</v>
      </c>
      <c r="M201">
        <v>3</v>
      </c>
      <c r="N201" s="113">
        <v>44986</v>
      </c>
      <c r="O201">
        <v>4.33</v>
      </c>
      <c r="P201" s="120">
        <f t="shared" si="85"/>
        <v>195.00999999999996</v>
      </c>
      <c r="Q201">
        <f>SUM(O199:O201)</f>
        <v>12.99</v>
      </c>
      <c r="S201" s="120">
        <f t="shared" si="83"/>
        <v>1.3</v>
      </c>
      <c r="T201" s="120">
        <f>SUM(S197:S201)</f>
        <v>16.47</v>
      </c>
      <c r="U201" s="116" t="s">
        <v>377</v>
      </c>
    </row>
    <row r="202" spans="4:21" x14ac:dyDescent="0.2">
      <c r="D202" s="113">
        <v>45017</v>
      </c>
      <c r="E202">
        <v>20.83</v>
      </c>
      <c r="F202" s="120">
        <f t="shared" si="84"/>
        <v>1416.6800000000003</v>
      </c>
      <c r="G202" s="120"/>
      <c r="I202" s="120">
        <f t="shared" si="82"/>
        <v>9.44</v>
      </c>
      <c r="J202" s="120"/>
      <c r="M202">
        <v>4</v>
      </c>
      <c r="N202" s="113">
        <v>45017</v>
      </c>
      <c r="O202">
        <v>4.33</v>
      </c>
      <c r="P202" s="120">
        <f t="shared" si="85"/>
        <v>190.67999999999995</v>
      </c>
      <c r="Q202" s="120"/>
      <c r="S202" s="120">
        <f t="shared" si="83"/>
        <v>1.27</v>
      </c>
      <c r="T202" s="120"/>
    </row>
    <row r="203" spans="4:21" x14ac:dyDescent="0.2">
      <c r="D203" s="113">
        <v>45047</v>
      </c>
      <c r="E203">
        <v>20.83</v>
      </c>
      <c r="F203" s="120">
        <f t="shared" si="84"/>
        <v>1395.8500000000004</v>
      </c>
      <c r="I203" s="120">
        <f t="shared" si="82"/>
        <v>9.31</v>
      </c>
      <c r="M203">
        <v>5</v>
      </c>
      <c r="N203" s="113">
        <v>45047</v>
      </c>
      <c r="O203">
        <v>4.33</v>
      </c>
      <c r="P203" s="120">
        <f t="shared" si="85"/>
        <v>186.34999999999994</v>
      </c>
      <c r="S203" s="120">
        <f t="shared" si="83"/>
        <v>1.24</v>
      </c>
    </row>
    <row r="204" spans="4:21" x14ac:dyDescent="0.2">
      <c r="D204" s="113">
        <v>45078</v>
      </c>
      <c r="E204">
        <v>20.83</v>
      </c>
      <c r="F204" s="120">
        <f t="shared" si="84"/>
        <v>1375.0200000000004</v>
      </c>
      <c r="I204" s="120">
        <f t="shared" si="82"/>
        <v>9.17</v>
      </c>
      <c r="M204">
        <v>6</v>
      </c>
      <c r="N204" s="113">
        <v>45078</v>
      </c>
      <c r="O204">
        <v>4.33</v>
      </c>
      <c r="P204" s="120">
        <f t="shared" si="85"/>
        <v>182.01999999999992</v>
      </c>
      <c r="S204" s="120">
        <f t="shared" si="83"/>
        <v>1.21</v>
      </c>
    </row>
    <row r="205" spans="4:21" x14ac:dyDescent="0.2">
      <c r="D205" s="113">
        <v>45108</v>
      </c>
      <c r="E205">
        <v>20.83</v>
      </c>
      <c r="F205" s="120">
        <f t="shared" si="84"/>
        <v>1354.1900000000005</v>
      </c>
      <c r="I205" s="120">
        <f t="shared" si="82"/>
        <v>9.0299999999999994</v>
      </c>
      <c r="M205">
        <v>7</v>
      </c>
      <c r="N205" s="113">
        <v>45108</v>
      </c>
      <c r="O205">
        <v>4.33</v>
      </c>
      <c r="P205" s="120">
        <f t="shared" si="85"/>
        <v>177.68999999999991</v>
      </c>
      <c r="S205" s="120">
        <f t="shared" si="83"/>
        <v>1.18</v>
      </c>
    </row>
    <row r="206" spans="4:21" x14ac:dyDescent="0.2">
      <c r="D206" s="113">
        <v>45139</v>
      </c>
      <c r="E206">
        <v>20.83</v>
      </c>
      <c r="F206" s="120">
        <f t="shared" si="84"/>
        <v>1333.3600000000006</v>
      </c>
      <c r="I206" s="120">
        <f t="shared" si="82"/>
        <v>8.89</v>
      </c>
      <c r="M206">
        <v>8</v>
      </c>
      <c r="N206" s="113">
        <v>45139</v>
      </c>
      <c r="O206">
        <v>4.33</v>
      </c>
      <c r="P206" s="120">
        <f t="shared" si="85"/>
        <v>173.3599999999999</v>
      </c>
      <c r="S206" s="120">
        <f t="shared" si="83"/>
        <v>1.1599999999999999</v>
      </c>
    </row>
    <row r="207" spans="4:21" x14ac:dyDescent="0.2">
      <c r="D207" s="113">
        <v>45170</v>
      </c>
      <c r="E207">
        <v>20.83</v>
      </c>
      <c r="F207" s="120">
        <f t="shared" si="84"/>
        <v>1312.5300000000007</v>
      </c>
      <c r="I207" s="120">
        <f t="shared" si="82"/>
        <v>8.75</v>
      </c>
      <c r="M207">
        <v>9</v>
      </c>
      <c r="N207" s="113">
        <v>45170</v>
      </c>
      <c r="O207">
        <v>4.33</v>
      </c>
      <c r="P207" s="120">
        <f t="shared" si="85"/>
        <v>169.02999999999989</v>
      </c>
      <c r="S207" s="120">
        <f t="shared" si="83"/>
        <v>1.1299999999999999</v>
      </c>
    </row>
    <row r="208" spans="4:21" x14ac:dyDescent="0.2">
      <c r="D208" s="113">
        <v>45200</v>
      </c>
      <c r="E208">
        <v>20.83</v>
      </c>
      <c r="F208" s="120">
        <f t="shared" si="84"/>
        <v>1291.7000000000007</v>
      </c>
      <c r="I208" s="120">
        <f t="shared" si="82"/>
        <v>8.61</v>
      </c>
      <c r="M208">
        <v>10</v>
      </c>
      <c r="N208" s="113">
        <v>45200</v>
      </c>
      <c r="O208">
        <v>4.33</v>
      </c>
      <c r="P208" s="120">
        <f t="shared" si="85"/>
        <v>164.69999999999987</v>
      </c>
      <c r="S208" s="120">
        <f t="shared" si="83"/>
        <v>1.1000000000000001</v>
      </c>
    </row>
    <row r="209" spans="4:21" x14ac:dyDescent="0.2">
      <c r="D209" s="113">
        <v>45231</v>
      </c>
      <c r="E209">
        <v>20.83</v>
      </c>
      <c r="F209" s="120">
        <f t="shared" si="84"/>
        <v>1270.8700000000008</v>
      </c>
      <c r="I209" s="120">
        <f t="shared" si="82"/>
        <v>8.4700000000000006</v>
      </c>
      <c r="M209">
        <v>11</v>
      </c>
      <c r="N209" s="113">
        <v>45231</v>
      </c>
      <c r="O209">
        <v>4.33</v>
      </c>
      <c r="P209" s="120">
        <f t="shared" si="85"/>
        <v>160.36999999999986</v>
      </c>
      <c r="S209" s="120">
        <f t="shared" si="83"/>
        <v>1.07</v>
      </c>
    </row>
    <row r="210" spans="4:21" x14ac:dyDescent="0.2">
      <c r="D210" s="113">
        <v>45261</v>
      </c>
      <c r="E210">
        <v>20.83</v>
      </c>
      <c r="F210" s="120">
        <f t="shared" si="84"/>
        <v>1250.0400000000009</v>
      </c>
      <c r="I210" s="120">
        <f t="shared" si="82"/>
        <v>8.33</v>
      </c>
      <c r="M210">
        <v>12</v>
      </c>
      <c r="N210" s="113">
        <v>45261</v>
      </c>
      <c r="O210">
        <v>4.33</v>
      </c>
      <c r="P210" s="120">
        <f t="shared" si="85"/>
        <v>156.03999999999985</v>
      </c>
      <c r="S210" s="120">
        <f t="shared" si="83"/>
        <v>1.04</v>
      </c>
    </row>
    <row r="211" spans="4:21" x14ac:dyDescent="0.2">
      <c r="D211" s="113">
        <v>45292</v>
      </c>
      <c r="E211">
        <v>20.83</v>
      </c>
      <c r="F211" s="120">
        <f t="shared" si="84"/>
        <v>1229.2100000000009</v>
      </c>
      <c r="I211" s="120">
        <f t="shared" si="82"/>
        <v>8.19</v>
      </c>
      <c r="M211">
        <v>13</v>
      </c>
      <c r="N211" s="113">
        <v>45292</v>
      </c>
      <c r="O211">
        <v>4.33</v>
      </c>
      <c r="P211" s="120">
        <f t="shared" si="85"/>
        <v>151.70999999999984</v>
      </c>
      <c r="S211" s="120">
        <f t="shared" si="83"/>
        <v>1.01</v>
      </c>
    </row>
    <row r="212" spans="4:21" x14ac:dyDescent="0.2">
      <c r="D212" s="113">
        <v>45323</v>
      </c>
      <c r="E212">
        <v>20.83</v>
      </c>
      <c r="F212" s="120">
        <f t="shared" si="84"/>
        <v>1208.380000000001</v>
      </c>
      <c r="I212" s="120">
        <f t="shared" si="82"/>
        <v>8.06</v>
      </c>
      <c r="M212">
        <v>14</v>
      </c>
      <c r="N212" s="113">
        <v>45323</v>
      </c>
      <c r="O212">
        <v>4.33</v>
      </c>
      <c r="P212" s="120">
        <f t="shared" si="85"/>
        <v>147.37999999999982</v>
      </c>
      <c r="S212" s="120">
        <f t="shared" si="83"/>
        <v>0.98</v>
      </c>
    </row>
    <row r="213" spans="4:21" x14ac:dyDescent="0.2">
      <c r="D213" s="113">
        <v>45352</v>
      </c>
      <c r="E213">
        <v>20.83</v>
      </c>
      <c r="F213" s="120">
        <f t="shared" si="84"/>
        <v>1187.5500000000011</v>
      </c>
      <c r="G213">
        <f>SUM(E202:E213)</f>
        <v>249.95999999999992</v>
      </c>
      <c r="I213" s="120">
        <f t="shared" si="82"/>
        <v>7.92</v>
      </c>
      <c r="J213">
        <f>SUM(I202:I213)</f>
        <v>104.17</v>
      </c>
      <c r="K213" s="116" t="s">
        <v>384</v>
      </c>
      <c r="M213">
        <v>15</v>
      </c>
      <c r="N213" s="113">
        <v>45352</v>
      </c>
      <c r="O213">
        <v>4.33</v>
      </c>
      <c r="P213" s="120">
        <f t="shared" si="85"/>
        <v>143.04999999999981</v>
      </c>
      <c r="Q213">
        <f>SUM(O202:O213)</f>
        <v>51.959999999999987</v>
      </c>
      <c r="S213" s="120">
        <f t="shared" si="83"/>
        <v>0.95</v>
      </c>
      <c r="T213">
        <f>SUM(S202:S213)</f>
        <v>13.339999999999998</v>
      </c>
      <c r="U213" s="116" t="s">
        <v>384</v>
      </c>
    </row>
    <row r="214" spans="4:21" x14ac:dyDescent="0.2">
      <c r="D214" s="113">
        <v>45383</v>
      </c>
      <c r="E214">
        <v>20.83</v>
      </c>
      <c r="F214" s="120">
        <f t="shared" si="84"/>
        <v>1166.7200000000012</v>
      </c>
      <c r="I214" s="120">
        <f t="shared" si="82"/>
        <v>7.78</v>
      </c>
      <c r="M214">
        <v>16</v>
      </c>
      <c r="N214" s="113">
        <v>45383</v>
      </c>
      <c r="O214">
        <v>4.33</v>
      </c>
      <c r="P214" s="120">
        <f t="shared" si="85"/>
        <v>138.7199999999998</v>
      </c>
      <c r="S214" s="120">
        <f t="shared" si="83"/>
        <v>0.92</v>
      </c>
    </row>
    <row r="215" spans="4:21" x14ac:dyDescent="0.2">
      <c r="D215" s="113">
        <v>45413</v>
      </c>
      <c r="E215">
        <v>20.83</v>
      </c>
      <c r="F215" s="120">
        <f t="shared" si="84"/>
        <v>1145.8900000000012</v>
      </c>
      <c r="I215" s="120">
        <f t="shared" si="82"/>
        <v>7.64</v>
      </c>
      <c r="M215">
        <v>17</v>
      </c>
      <c r="N215" s="113">
        <v>45413</v>
      </c>
      <c r="O215">
        <v>4.33</v>
      </c>
      <c r="P215" s="120">
        <f t="shared" si="85"/>
        <v>134.38999999999979</v>
      </c>
      <c r="S215" s="120">
        <f t="shared" si="83"/>
        <v>0.9</v>
      </c>
    </row>
    <row r="216" spans="4:21" x14ac:dyDescent="0.2">
      <c r="D216" s="113">
        <v>45444</v>
      </c>
      <c r="E216">
        <v>20.83</v>
      </c>
      <c r="F216" s="120">
        <f t="shared" si="84"/>
        <v>1125.0600000000013</v>
      </c>
      <c r="I216" s="120">
        <f t="shared" si="82"/>
        <v>7.5</v>
      </c>
      <c r="M216">
        <v>18</v>
      </c>
      <c r="N216" s="113">
        <v>45444</v>
      </c>
      <c r="O216">
        <v>4.33</v>
      </c>
      <c r="P216" s="120">
        <f t="shared" si="85"/>
        <v>130.05999999999977</v>
      </c>
      <c r="S216" s="120">
        <f t="shared" si="83"/>
        <v>0.87</v>
      </c>
    </row>
    <row r="217" spans="4:21" x14ac:dyDescent="0.2">
      <c r="D217" s="113">
        <v>45474</v>
      </c>
      <c r="E217">
        <v>20.83</v>
      </c>
      <c r="F217" s="120">
        <f t="shared" si="84"/>
        <v>1104.2300000000014</v>
      </c>
      <c r="I217" s="120">
        <f t="shared" si="82"/>
        <v>7.36</v>
      </c>
      <c r="M217">
        <v>19</v>
      </c>
      <c r="N217" s="113">
        <v>45474</v>
      </c>
      <c r="O217">
        <v>4.33</v>
      </c>
      <c r="P217" s="120">
        <f t="shared" si="85"/>
        <v>125.72999999999978</v>
      </c>
      <c r="S217" s="120">
        <f t="shared" si="83"/>
        <v>0.84</v>
      </c>
    </row>
    <row r="218" spans="4:21" x14ac:dyDescent="0.2">
      <c r="D218" s="113">
        <v>45505</v>
      </c>
      <c r="E218">
        <v>20.83</v>
      </c>
      <c r="F218" s="120">
        <f t="shared" si="84"/>
        <v>1083.4000000000015</v>
      </c>
      <c r="I218" s="120">
        <f t="shared" si="82"/>
        <v>7.22</v>
      </c>
      <c r="M218">
        <v>20</v>
      </c>
      <c r="N218" s="113">
        <v>45505</v>
      </c>
      <c r="O218">
        <v>4.33</v>
      </c>
      <c r="P218" s="120">
        <f t="shared" si="85"/>
        <v>121.39999999999978</v>
      </c>
      <c r="S218" s="120">
        <f t="shared" si="83"/>
        <v>0.81</v>
      </c>
    </row>
    <row r="219" spans="4:21" x14ac:dyDescent="0.2">
      <c r="D219" s="113">
        <v>45536</v>
      </c>
      <c r="E219">
        <v>20.83</v>
      </c>
      <c r="F219" s="120">
        <f t="shared" si="84"/>
        <v>1062.5700000000015</v>
      </c>
      <c r="I219" s="120">
        <f t="shared" si="82"/>
        <v>7.08</v>
      </c>
      <c r="M219">
        <v>21</v>
      </c>
      <c r="N219" s="113">
        <v>45536</v>
      </c>
      <c r="O219">
        <v>4.33</v>
      </c>
      <c r="P219" s="120">
        <f t="shared" si="85"/>
        <v>117.06999999999978</v>
      </c>
      <c r="S219" s="120">
        <f t="shared" si="83"/>
        <v>0.78</v>
      </c>
    </row>
    <row r="220" spans="4:21" x14ac:dyDescent="0.2">
      <c r="D220" s="113">
        <v>45566</v>
      </c>
      <c r="E220">
        <v>20.83</v>
      </c>
      <c r="F220" s="120">
        <f t="shared" si="84"/>
        <v>1041.7400000000016</v>
      </c>
      <c r="I220" s="120">
        <f t="shared" si="82"/>
        <v>6.94</v>
      </c>
      <c r="M220">
        <v>22</v>
      </c>
      <c r="N220" s="113">
        <v>45566</v>
      </c>
      <c r="O220">
        <v>4.33</v>
      </c>
      <c r="P220" s="120">
        <f t="shared" si="85"/>
        <v>112.73999999999978</v>
      </c>
      <c r="S220" s="120">
        <f t="shared" si="83"/>
        <v>0.75</v>
      </c>
    </row>
    <row r="221" spans="4:21" x14ac:dyDescent="0.2">
      <c r="D221" s="113">
        <v>45597</v>
      </c>
      <c r="E221">
        <v>20.83</v>
      </c>
      <c r="F221" s="120">
        <f t="shared" si="84"/>
        <v>1020.9100000000016</v>
      </c>
      <c r="I221" s="120">
        <f t="shared" si="82"/>
        <v>6.81</v>
      </c>
      <c r="M221">
        <v>23</v>
      </c>
      <c r="N221" s="113">
        <v>45597</v>
      </c>
      <c r="O221">
        <v>4.33</v>
      </c>
      <c r="P221" s="120">
        <f t="shared" si="85"/>
        <v>108.40999999999978</v>
      </c>
      <c r="S221" s="120">
        <f t="shared" si="83"/>
        <v>0.72</v>
      </c>
    </row>
    <row r="222" spans="4:21" x14ac:dyDescent="0.2">
      <c r="D222" s="113">
        <v>45627</v>
      </c>
      <c r="E222">
        <v>20.83</v>
      </c>
      <c r="F222" s="120">
        <f t="shared" si="84"/>
        <v>1000.0800000000015</v>
      </c>
      <c r="I222" s="120">
        <f t="shared" si="82"/>
        <v>6.67</v>
      </c>
      <c r="M222">
        <v>24</v>
      </c>
      <c r="N222" s="113">
        <v>45627</v>
      </c>
      <c r="O222">
        <v>4.33</v>
      </c>
      <c r="P222" s="120">
        <f t="shared" si="85"/>
        <v>104.07999999999979</v>
      </c>
      <c r="S222" s="120">
        <f t="shared" si="83"/>
        <v>0.69</v>
      </c>
    </row>
    <row r="223" spans="4:21" x14ac:dyDescent="0.2">
      <c r="D223" s="113">
        <v>45658</v>
      </c>
      <c r="E223">
        <v>20.83</v>
      </c>
      <c r="F223" s="120">
        <f t="shared" si="84"/>
        <v>979.25000000000148</v>
      </c>
      <c r="I223" s="120">
        <f t="shared" si="82"/>
        <v>6.53</v>
      </c>
      <c r="M223">
        <v>25</v>
      </c>
      <c r="N223" s="113">
        <v>45658</v>
      </c>
      <c r="O223">
        <v>4.33</v>
      </c>
      <c r="P223" s="120">
        <f t="shared" si="85"/>
        <v>99.749999999999787</v>
      </c>
      <c r="S223" s="120">
        <f t="shared" si="83"/>
        <v>0.66</v>
      </c>
    </row>
    <row r="224" spans="4:21" x14ac:dyDescent="0.2">
      <c r="D224" s="113">
        <v>45689</v>
      </c>
      <c r="E224">
        <v>20.83</v>
      </c>
      <c r="F224" s="120">
        <f t="shared" si="84"/>
        <v>958.42000000000144</v>
      </c>
      <c r="I224" s="120">
        <f t="shared" si="82"/>
        <v>6.39</v>
      </c>
      <c r="M224">
        <v>26</v>
      </c>
      <c r="N224" s="113">
        <v>45689</v>
      </c>
      <c r="O224">
        <v>4.33</v>
      </c>
      <c r="P224" s="120">
        <f t="shared" si="85"/>
        <v>95.419999999999789</v>
      </c>
      <c r="S224" s="120">
        <f t="shared" si="83"/>
        <v>0.64</v>
      </c>
    </row>
    <row r="225" spans="4:21" x14ac:dyDescent="0.2">
      <c r="D225" s="113">
        <v>45717</v>
      </c>
      <c r="E225">
        <v>20.83</v>
      </c>
      <c r="F225" s="120">
        <f t="shared" si="84"/>
        <v>937.5900000000014</v>
      </c>
      <c r="G225">
        <f>SUM(E214:E225)</f>
        <v>249.95999999999992</v>
      </c>
      <c r="I225" s="120">
        <f t="shared" si="82"/>
        <v>6.25</v>
      </c>
      <c r="J225">
        <f>SUM(I214:I225)</f>
        <v>84.17</v>
      </c>
      <c r="K225" s="116" t="s">
        <v>385</v>
      </c>
      <c r="M225">
        <v>27</v>
      </c>
      <c r="N225" s="113">
        <v>45717</v>
      </c>
      <c r="O225">
        <v>4.33</v>
      </c>
      <c r="P225" s="120">
        <f t="shared" si="85"/>
        <v>91.08999999999979</v>
      </c>
      <c r="Q225">
        <f>SUM(O214:O225)</f>
        <v>51.959999999999987</v>
      </c>
      <c r="S225" s="120">
        <f t="shared" si="83"/>
        <v>0.61</v>
      </c>
      <c r="T225">
        <f>SUM(S214:S225)</f>
        <v>9.19</v>
      </c>
      <c r="U225" s="116" t="s">
        <v>385</v>
      </c>
    </row>
    <row r="226" spans="4:21" x14ac:dyDescent="0.2">
      <c r="D226" s="113">
        <v>45748</v>
      </c>
      <c r="E226">
        <v>20.83</v>
      </c>
      <c r="F226" s="120">
        <f t="shared" si="84"/>
        <v>916.76000000000136</v>
      </c>
      <c r="I226" s="120">
        <f t="shared" si="82"/>
        <v>6.11</v>
      </c>
      <c r="M226">
        <v>28</v>
      </c>
      <c r="N226" s="113">
        <v>45748</v>
      </c>
      <c r="O226">
        <v>4.33</v>
      </c>
      <c r="P226" s="120">
        <f t="shared" si="85"/>
        <v>86.759999999999792</v>
      </c>
      <c r="S226" s="120">
        <f t="shared" si="83"/>
        <v>0.57999999999999996</v>
      </c>
    </row>
    <row r="227" spans="4:21" x14ac:dyDescent="0.2">
      <c r="D227" s="113">
        <v>45778</v>
      </c>
      <c r="E227">
        <v>20.83</v>
      </c>
      <c r="F227" s="120">
        <f t="shared" si="84"/>
        <v>895.93000000000131</v>
      </c>
      <c r="I227" s="120">
        <f t="shared" si="82"/>
        <v>5.97</v>
      </c>
      <c r="M227">
        <v>29</v>
      </c>
      <c r="N227" s="113">
        <v>45778</v>
      </c>
      <c r="O227">
        <v>4.33</v>
      </c>
      <c r="P227" s="120">
        <f t="shared" si="85"/>
        <v>82.429999999999794</v>
      </c>
      <c r="S227" s="120">
        <f t="shared" si="83"/>
        <v>0.55000000000000004</v>
      </c>
    </row>
    <row r="228" spans="4:21" x14ac:dyDescent="0.2">
      <c r="D228" s="113">
        <v>45809</v>
      </c>
      <c r="E228">
        <v>20.83</v>
      </c>
      <c r="F228" s="120">
        <f t="shared" si="84"/>
        <v>875.10000000000127</v>
      </c>
      <c r="I228" s="120">
        <f t="shared" si="82"/>
        <v>5.83</v>
      </c>
      <c r="M228">
        <v>30</v>
      </c>
      <c r="N228" s="113">
        <v>45809</v>
      </c>
      <c r="O228">
        <v>4.33</v>
      </c>
      <c r="P228" s="120">
        <f t="shared" si="85"/>
        <v>78.099999999999795</v>
      </c>
      <c r="S228" s="120">
        <f t="shared" si="83"/>
        <v>0.52</v>
      </c>
    </row>
    <row r="229" spans="4:21" x14ac:dyDescent="0.2">
      <c r="D229" s="113">
        <v>45839</v>
      </c>
      <c r="E229">
        <v>20.83</v>
      </c>
      <c r="F229" s="120">
        <f t="shared" si="84"/>
        <v>854.27000000000123</v>
      </c>
      <c r="I229" s="120">
        <f t="shared" si="82"/>
        <v>5.7</v>
      </c>
      <c r="M229">
        <v>31</v>
      </c>
      <c r="N229" s="113">
        <v>45839</v>
      </c>
      <c r="O229">
        <v>4.33</v>
      </c>
      <c r="P229" s="120">
        <f t="shared" si="85"/>
        <v>73.769999999999797</v>
      </c>
      <c r="S229" s="120">
        <f t="shared" si="83"/>
        <v>0.49</v>
      </c>
    </row>
    <row r="230" spans="4:21" x14ac:dyDescent="0.2">
      <c r="D230" s="113">
        <v>45870</v>
      </c>
      <c r="E230">
        <v>20.83</v>
      </c>
      <c r="F230" s="120">
        <f t="shared" si="84"/>
        <v>833.44000000000119</v>
      </c>
      <c r="I230" s="120">
        <f t="shared" si="82"/>
        <v>5.56</v>
      </c>
      <c r="M230">
        <v>32</v>
      </c>
      <c r="N230" s="113">
        <v>45870</v>
      </c>
      <c r="O230">
        <v>4.33</v>
      </c>
      <c r="P230" s="120">
        <f t="shared" si="85"/>
        <v>69.439999999999799</v>
      </c>
      <c r="S230" s="120">
        <f t="shared" si="83"/>
        <v>0.46</v>
      </c>
    </row>
    <row r="231" spans="4:21" x14ac:dyDescent="0.2">
      <c r="D231" s="113">
        <v>45901</v>
      </c>
      <c r="E231">
        <v>20.83</v>
      </c>
      <c r="F231" s="120">
        <f t="shared" si="84"/>
        <v>812.61000000000115</v>
      </c>
      <c r="I231" s="120">
        <f t="shared" ref="I231:I262" si="86">ROUND(F231*$I$193/12,2)</f>
        <v>5.42</v>
      </c>
      <c r="M231">
        <v>33</v>
      </c>
      <c r="N231" s="113">
        <v>45901</v>
      </c>
      <c r="O231">
        <v>4.33</v>
      </c>
      <c r="P231" s="120">
        <f t="shared" si="85"/>
        <v>65.1099999999998</v>
      </c>
      <c r="S231" s="120">
        <f t="shared" si="83"/>
        <v>0.43</v>
      </c>
    </row>
    <row r="232" spans="4:21" x14ac:dyDescent="0.2">
      <c r="D232" s="113">
        <v>45931</v>
      </c>
      <c r="E232">
        <v>20.83</v>
      </c>
      <c r="F232" s="120">
        <f t="shared" ref="F232:F263" si="87">F231-E232</f>
        <v>791.78000000000111</v>
      </c>
      <c r="I232" s="120">
        <f t="shared" si="86"/>
        <v>5.28</v>
      </c>
      <c r="M232">
        <v>34</v>
      </c>
      <c r="N232" s="113">
        <v>45931</v>
      </c>
      <c r="O232">
        <v>4.33</v>
      </c>
      <c r="P232" s="120">
        <f t="shared" si="85"/>
        <v>60.779999999999802</v>
      </c>
      <c r="S232" s="120">
        <f t="shared" si="83"/>
        <v>0.41</v>
      </c>
    </row>
    <row r="233" spans="4:21" x14ac:dyDescent="0.2">
      <c r="D233" s="113">
        <v>45962</v>
      </c>
      <c r="E233">
        <v>20.83</v>
      </c>
      <c r="F233" s="120">
        <f t="shared" si="87"/>
        <v>770.95000000000107</v>
      </c>
      <c r="I233" s="120">
        <f t="shared" si="86"/>
        <v>5.14</v>
      </c>
      <c r="M233">
        <v>35</v>
      </c>
      <c r="N233" s="113">
        <v>45962</v>
      </c>
      <c r="O233">
        <v>4.33</v>
      </c>
      <c r="P233" s="120">
        <f>P232-O233</f>
        <v>56.449999999999804</v>
      </c>
      <c r="S233" s="120">
        <f t="shared" si="83"/>
        <v>0.38</v>
      </c>
    </row>
    <row r="234" spans="4:21" x14ac:dyDescent="0.2">
      <c r="D234" s="113">
        <v>45992</v>
      </c>
      <c r="E234">
        <v>20.83</v>
      </c>
      <c r="F234" s="120">
        <f t="shared" si="87"/>
        <v>750.12000000000103</v>
      </c>
      <c r="I234" s="120">
        <f t="shared" si="86"/>
        <v>5</v>
      </c>
      <c r="M234">
        <v>36</v>
      </c>
      <c r="N234" s="113">
        <v>45992</v>
      </c>
      <c r="O234">
        <v>4.33</v>
      </c>
      <c r="P234" s="120">
        <f>P233-O234</f>
        <v>52.119999999999806</v>
      </c>
      <c r="S234" s="120">
        <f t="shared" si="83"/>
        <v>0.35</v>
      </c>
    </row>
    <row r="235" spans="4:21" x14ac:dyDescent="0.2">
      <c r="D235" s="113">
        <v>46023</v>
      </c>
      <c r="E235">
        <v>20.83</v>
      </c>
      <c r="F235" s="120">
        <f t="shared" si="87"/>
        <v>729.29000000000099</v>
      </c>
      <c r="I235" s="120">
        <f t="shared" si="86"/>
        <v>4.8600000000000003</v>
      </c>
      <c r="M235">
        <v>37</v>
      </c>
      <c r="N235" s="113">
        <v>46023</v>
      </c>
      <c r="O235">
        <v>4.33</v>
      </c>
      <c r="P235" s="120">
        <f t="shared" ref="P235:P246" si="88">P234-O235</f>
        <v>47.789999999999807</v>
      </c>
      <c r="S235" s="120">
        <f t="shared" si="83"/>
        <v>0.32</v>
      </c>
    </row>
    <row r="236" spans="4:21" x14ac:dyDescent="0.2">
      <c r="D236" s="113">
        <v>46054</v>
      </c>
      <c r="E236">
        <v>20.83</v>
      </c>
      <c r="F236" s="120">
        <f t="shared" si="87"/>
        <v>708.46000000000095</v>
      </c>
      <c r="I236" s="120">
        <f t="shared" si="86"/>
        <v>4.72</v>
      </c>
      <c r="M236">
        <v>38</v>
      </c>
      <c r="N236" s="113">
        <v>46054</v>
      </c>
      <c r="O236">
        <v>4.33</v>
      </c>
      <c r="P236" s="120">
        <f t="shared" si="88"/>
        <v>43.459999999999809</v>
      </c>
      <c r="S236" s="120">
        <f t="shared" si="83"/>
        <v>0.28999999999999998</v>
      </c>
    </row>
    <row r="237" spans="4:21" x14ac:dyDescent="0.2">
      <c r="D237" s="113">
        <v>46082</v>
      </c>
      <c r="E237">
        <v>20.83</v>
      </c>
      <c r="F237" s="120">
        <f t="shared" si="87"/>
        <v>687.6300000000009</v>
      </c>
      <c r="G237">
        <f>SUM(E226:E237)</f>
        <v>249.95999999999992</v>
      </c>
      <c r="I237" s="120">
        <f t="shared" si="86"/>
        <v>4.58</v>
      </c>
      <c r="J237">
        <f>SUM(I226:I237)</f>
        <v>64.17</v>
      </c>
      <c r="K237" s="116" t="s">
        <v>386</v>
      </c>
      <c r="M237">
        <v>39</v>
      </c>
      <c r="N237" s="113">
        <v>46082</v>
      </c>
      <c r="O237">
        <v>4.33</v>
      </c>
      <c r="P237" s="120">
        <f t="shared" si="88"/>
        <v>39.129999999999811</v>
      </c>
      <c r="Q237">
        <f>SUM(O226:O237)</f>
        <v>51.959999999999987</v>
      </c>
      <c r="S237" s="120">
        <f t="shared" si="83"/>
        <v>0.26</v>
      </c>
      <c r="T237">
        <f>SUM(S226:S237)</f>
        <v>5.04</v>
      </c>
      <c r="U237" s="116" t="s">
        <v>386</v>
      </c>
    </row>
    <row r="238" spans="4:21" x14ac:dyDescent="0.2">
      <c r="D238" s="113">
        <v>46113</v>
      </c>
      <c r="E238">
        <v>20.83</v>
      </c>
      <c r="F238" s="120">
        <f t="shared" si="87"/>
        <v>666.80000000000086</v>
      </c>
      <c r="I238" s="120">
        <f t="shared" si="86"/>
        <v>4.45</v>
      </c>
      <c r="M238">
        <v>40</v>
      </c>
      <c r="N238" s="113">
        <v>46113</v>
      </c>
      <c r="O238">
        <v>4.33</v>
      </c>
      <c r="P238" s="120">
        <f t="shared" si="88"/>
        <v>34.799999999999812</v>
      </c>
      <c r="S238" s="120">
        <f t="shared" si="83"/>
        <v>0.23</v>
      </c>
    </row>
    <row r="239" spans="4:21" x14ac:dyDescent="0.2">
      <c r="D239" s="113">
        <v>46143</v>
      </c>
      <c r="E239">
        <v>20.83</v>
      </c>
      <c r="F239" s="120">
        <f t="shared" si="87"/>
        <v>645.97000000000082</v>
      </c>
      <c r="I239" s="120">
        <f t="shared" si="86"/>
        <v>4.3099999999999996</v>
      </c>
      <c r="M239">
        <v>41</v>
      </c>
      <c r="N239" s="113">
        <v>46143</v>
      </c>
      <c r="O239">
        <v>4.33</v>
      </c>
      <c r="P239" s="120">
        <f t="shared" si="88"/>
        <v>30.469999999999814</v>
      </c>
      <c r="S239" s="120">
        <f t="shared" si="83"/>
        <v>0.2</v>
      </c>
    </row>
    <row r="240" spans="4:21" x14ac:dyDescent="0.2">
      <c r="D240" s="113">
        <v>46174</v>
      </c>
      <c r="E240">
        <v>20.83</v>
      </c>
      <c r="F240" s="120">
        <f t="shared" si="87"/>
        <v>625.14000000000078</v>
      </c>
      <c r="I240" s="120">
        <f t="shared" si="86"/>
        <v>4.17</v>
      </c>
      <c r="M240">
        <v>42</v>
      </c>
      <c r="N240" s="113">
        <v>46174</v>
      </c>
      <c r="O240">
        <v>4.33</v>
      </c>
      <c r="P240" s="120">
        <f t="shared" si="88"/>
        <v>26.139999999999816</v>
      </c>
      <c r="S240" s="120">
        <f t="shared" si="83"/>
        <v>0.17</v>
      </c>
    </row>
    <row r="241" spans="4:21" x14ac:dyDescent="0.2">
      <c r="D241" s="113">
        <v>46204</v>
      </c>
      <c r="E241">
        <v>20.83</v>
      </c>
      <c r="F241" s="120">
        <f t="shared" si="87"/>
        <v>604.31000000000074</v>
      </c>
      <c r="I241" s="120">
        <f t="shared" si="86"/>
        <v>4.03</v>
      </c>
      <c r="M241">
        <v>43</v>
      </c>
      <c r="N241" s="113">
        <v>46204</v>
      </c>
      <c r="O241">
        <v>4.33</v>
      </c>
      <c r="P241" s="120">
        <f t="shared" si="88"/>
        <v>21.809999999999818</v>
      </c>
      <c r="S241" s="120">
        <f t="shared" si="83"/>
        <v>0.15</v>
      </c>
    </row>
    <row r="242" spans="4:21" x14ac:dyDescent="0.2">
      <c r="D242" s="113">
        <v>46235</v>
      </c>
      <c r="E242">
        <v>20.83</v>
      </c>
      <c r="F242" s="120">
        <f t="shared" si="87"/>
        <v>583.4800000000007</v>
      </c>
      <c r="I242" s="120">
        <f t="shared" si="86"/>
        <v>3.89</v>
      </c>
      <c r="M242">
        <v>44</v>
      </c>
      <c r="N242" s="113">
        <v>46235</v>
      </c>
      <c r="O242">
        <v>4.33</v>
      </c>
      <c r="P242" s="120">
        <f t="shared" si="88"/>
        <v>17.479999999999819</v>
      </c>
      <c r="S242" s="120">
        <f t="shared" si="83"/>
        <v>0.12</v>
      </c>
    </row>
    <row r="243" spans="4:21" x14ac:dyDescent="0.2">
      <c r="D243" s="113">
        <v>46266</v>
      </c>
      <c r="E243">
        <v>20.83</v>
      </c>
      <c r="F243" s="120">
        <f t="shared" si="87"/>
        <v>562.65000000000066</v>
      </c>
      <c r="I243" s="120">
        <f t="shared" si="86"/>
        <v>3.75</v>
      </c>
      <c r="M243">
        <v>45</v>
      </c>
      <c r="N243" s="113">
        <v>46266</v>
      </c>
      <c r="O243">
        <v>4.33</v>
      </c>
      <c r="P243" s="120">
        <f t="shared" si="88"/>
        <v>13.149999999999819</v>
      </c>
      <c r="S243" s="120">
        <f t="shared" si="83"/>
        <v>0.09</v>
      </c>
    </row>
    <row r="244" spans="4:21" x14ac:dyDescent="0.2">
      <c r="D244" s="113">
        <v>46296</v>
      </c>
      <c r="E244">
        <v>20.83</v>
      </c>
      <c r="F244" s="120">
        <f t="shared" si="87"/>
        <v>541.82000000000062</v>
      </c>
      <c r="I244" s="120">
        <f t="shared" si="86"/>
        <v>3.61</v>
      </c>
      <c r="M244">
        <v>46</v>
      </c>
      <c r="N244" s="113">
        <v>46296</v>
      </c>
      <c r="O244">
        <v>4.33</v>
      </c>
      <c r="P244" s="120">
        <f t="shared" si="88"/>
        <v>8.8199999999998191</v>
      </c>
      <c r="S244" s="120">
        <f t="shared" si="83"/>
        <v>0.06</v>
      </c>
    </row>
    <row r="245" spans="4:21" x14ac:dyDescent="0.2">
      <c r="D245" s="113">
        <v>46327</v>
      </c>
      <c r="E245">
        <v>20.83</v>
      </c>
      <c r="F245" s="120">
        <f t="shared" si="87"/>
        <v>520.99000000000058</v>
      </c>
      <c r="I245" s="120">
        <f t="shared" si="86"/>
        <v>3.47</v>
      </c>
      <c r="M245">
        <v>47</v>
      </c>
      <c r="N245" s="113">
        <v>46327</v>
      </c>
      <c r="O245">
        <v>4.33</v>
      </c>
      <c r="P245" s="120">
        <f t="shared" si="88"/>
        <v>4.489999999999819</v>
      </c>
      <c r="S245" s="120">
        <f t="shared" si="83"/>
        <v>0.03</v>
      </c>
    </row>
    <row r="246" spans="4:21" x14ac:dyDescent="0.2">
      <c r="D246" s="113">
        <v>46357</v>
      </c>
      <c r="E246">
        <v>20.83</v>
      </c>
      <c r="F246" s="120">
        <f t="shared" si="87"/>
        <v>500.16000000000059</v>
      </c>
      <c r="I246" s="120">
        <f t="shared" si="86"/>
        <v>3.33</v>
      </c>
      <c r="M246">
        <v>48</v>
      </c>
      <c r="N246" s="113">
        <v>46357</v>
      </c>
      <c r="O246">
        <v>4.49</v>
      </c>
      <c r="P246" s="120">
        <f t="shared" si="88"/>
        <v>-1.8118839761882555E-13</v>
      </c>
      <c r="Q246">
        <f>SUM(O238:O246)</f>
        <v>39.129999999999995</v>
      </c>
      <c r="S246" s="120">
        <f t="shared" si="83"/>
        <v>0</v>
      </c>
      <c r="T246" s="120">
        <f>SUM(S238:S246)</f>
        <v>1.05</v>
      </c>
    </row>
    <row r="247" spans="4:21" x14ac:dyDescent="0.2">
      <c r="D247" s="113">
        <v>46388</v>
      </c>
      <c r="E247">
        <v>20.83</v>
      </c>
      <c r="F247" s="120">
        <f t="shared" si="87"/>
        <v>479.33000000000061</v>
      </c>
      <c r="I247" s="120">
        <f t="shared" si="86"/>
        <v>3.2</v>
      </c>
      <c r="N247" s="113"/>
      <c r="P247" s="120"/>
      <c r="S247" s="120"/>
    </row>
    <row r="248" spans="4:21" x14ac:dyDescent="0.2">
      <c r="D248" s="113">
        <v>46419</v>
      </c>
      <c r="E248">
        <v>20.83</v>
      </c>
      <c r="F248" s="120">
        <f t="shared" si="87"/>
        <v>458.50000000000063</v>
      </c>
      <c r="I248" s="120">
        <f t="shared" si="86"/>
        <v>3.06</v>
      </c>
      <c r="N248" s="113"/>
      <c r="P248" s="120"/>
      <c r="S248" s="120"/>
    </row>
    <row r="249" spans="4:21" x14ac:dyDescent="0.2">
      <c r="D249" s="113">
        <v>46447</v>
      </c>
      <c r="E249">
        <v>20.83</v>
      </c>
      <c r="F249" s="120">
        <f t="shared" si="87"/>
        <v>437.67000000000064</v>
      </c>
      <c r="G249">
        <f>SUM(E238:E249)</f>
        <v>249.95999999999992</v>
      </c>
      <c r="I249" s="120">
        <f t="shared" si="86"/>
        <v>2.92</v>
      </c>
      <c r="J249">
        <f>SUM(I238:I249)</f>
        <v>44.190000000000005</v>
      </c>
      <c r="K249" s="116" t="s">
        <v>387</v>
      </c>
      <c r="N249" s="113"/>
      <c r="P249" s="120"/>
      <c r="S249" s="120"/>
      <c r="U249" s="116" t="s">
        <v>387</v>
      </c>
    </row>
    <row r="250" spans="4:21" x14ac:dyDescent="0.2">
      <c r="D250" s="113">
        <v>46478</v>
      </c>
      <c r="E250">
        <v>20.83</v>
      </c>
      <c r="F250" s="120">
        <f t="shared" si="87"/>
        <v>416.84000000000066</v>
      </c>
      <c r="I250" s="120">
        <f t="shared" si="86"/>
        <v>2.78</v>
      </c>
      <c r="N250" s="113"/>
      <c r="P250" s="120"/>
      <c r="S250" s="120"/>
    </row>
    <row r="251" spans="4:21" x14ac:dyDescent="0.2">
      <c r="D251" s="113">
        <v>46508</v>
      </c>
      <c r="E251">
        <v>20.83</v>
      </c>
      <c r="F251" s="120">
        <f t="shared" si="87"/>
        <v>396.01000000000067</v>
      </c>
      <c r="I251" s="120">
        <f t="shared" si="86"/>
        <v>2.64</v>
      </c>
      <c r="N251" s="113"/>
      <c r="P251" s="120"/>
      <c r="S251" s="120"/>
    </row>
    <row r="252" spans="4:21" x14ac:dyDescent="0.2">
      <c r="D252" s="113">
        <v>46539</v>
      </c>
      <c r="E252">
        <v>20.83</v>
      </c>
      <c r="F252" s="120">
        <f t="shared" si="87"/>
        <v>375.18000000000069</v>
      </c>
      <c r="I252" s="120">
        <f t="shared" si="86"/>
        <v>2.5</v>
      </c>
      <c r="N252" s="113"/>
      <c r="P252" s="120"/>
      <c r="S252" s="120"/>
    </row>
    <row r="253" spans="4:21" x14ac:dyDescent="0.2">
      <c r="D253" s="113">
        <v>46569</v>
      </c>
      <c r="E253">
        <v>20.83</v>
      </c>
      <c r="F253" s="120">
        <f t="shared" si="87"/>
        <v>354.3500000000007</v>
      </c>
      <c r="I253" s="120">
        <f t="shared" si="86"/>
        <v>2.36</v>
      </c>
      <c r="N253" s="113"/>
      <c r="P253" s="120"/>
      <c r="S253" s="120"/>
    </row>
    <row r="254" spans="4:21" x14ac:dyDescent="0.2">
      <c r="D254" s="113">
        <v>46600</v>
      </c>
      <c r="E254">
        <v>20.83</v>
      </c>
      <c r="F254" s="120">
        <f t="shared" si="87"/>
        <v>333.52000000000072</v>
      </c>
      <c r="I254" s="120">
        <f t="shared" si="86"/>
        <v>2.2200000000000002</v>
      </c>
      <c r="N254" s="113"/>
      <c r="P254" s="120"/>
      <c r="S254" s="120"/>
    </row>
    <row r="255" spans="4:21" x14ac:dyDescent="0.2">
      <c r="D255" s="113">
        <v>46631</v>
      </c>
      <c r="E255">
        <v>20.83</v>
      </c>
      <c r="F255" s="120">
        <f t="shared" si="87"/>
        <v>312.69000000000074</v>
      </c>
      <c r="I255" s="120">
        <f t="shared" si="86"/>
        <v>2.08</v>
      </c>
      <c r="N255" s="113"/>
      <c r="P255" s="120"/>
      <c r="S255" s="120"/>
    </row>
    <row r="256" spans="4:21" x14ac:dyDescent="0.2">
      <c r="D256" s="113">
        <v>46661</v>
      </c>
      <c r="E256">
        <v>20.83</v>
      </c>
      <c r="F256" s="120">
        <f t="shared" si="87"/>
        <v>291.86000000000075</v>
      </c>
      <c r="I256" s="120">
        <f t="shared" si="86"/>
        <v>1.95</v>
      </c>
      <c r="N256" s="113"/>
      <c r="P256" s="120"/>
      <c r="S256" s="120"/>
    </row>
    <row r="257" spans="4:21" x14ac:dyDescent="0.2">
      <c r="D257" s="113">
        <v>46692</v>
      </c>
      <c r="E257">
        <v>20.83</v>
      </c>
      <c r="F257" s="120">
        <f t="shared" si="87"/>
        <v>271.03000000000077</v>
      </c>
      <c r="I257" s="120">
        <f t="shared" si="86"/>
        <v>1.81</v>
      </c>
      <c r="N257" s="113"/>
      <c r="P257" s="120"/>
      <c r="S257" s="120"/>
    </row>
    <row r="258" spans="4:21" x14ac:dyDescent="0.2">
      <c r="D258" s="164">
        <v>46722</v>
      </c>
      <c r="E258" s="127">
        <v>20.83</v>
      </c>
      <c r="F258" s="128">
        <f t="shared" si="87"/>
        <v>250.20000000000078</v>
      </c>
      <c r="G258" s="127"/>
      <c r="H258" s="127"/>
      <c r="I258" s="128">
        <f t="shared" si="86"/>
        <v>1.67</v>
      </c>
      <c r="J258" s="127"/>
      <c r="K258" s="127"/>
      <c r="L258" s="127"/>
      <c r="M258" s="127"/>
      <c r="N258" s="164"/>
      <c r="O258" s="127"/>
      <c r="P258" s="128"/>
      <c r="Q258" s="127"/>
      <c r="R258" s="127"/>
      <c r="S258" s="128"/>
      <c r="T258" s="127"/>
      <c r="U258" s="127"/>
    </row>
    <row r="259" spans="4:21" x14ac:dyDescent="0.2">
      <c r="D259" s="113">
        <v>46753</v>
      </c>
      <c r="E259">
        <v>20.83</v>
      </c>
      <c r="F259" s="120">
        <f t="shared" si="87"/>
        <v>229.3700000000008</v>
      </c>
      <c r="I259" s="120">
        <f t="shared" si="86"/>
        <v>1.53</v>
      </c>
      <c r="N259" s="113"/>
      <c r="P259" s="120"/>
      <c r="S259" s="120"/>
    </row>
    <row r="260" spans="4:21" x14ac:dyDescent="0.2">
      <c r="D260" s="113">
        <v>46784</v>
      </c>
      <c r="E260">
        <v>20.83</v>
      </c>
      <c r="F260" s="120">
        <f t="shared" si="87"/>
        <v>208.54000000000082</v>
      </c>
      <c r="I260" s="120">
        <f t="shared" si="86"/>
        <v>1.39</v>
      </c>
      <c r="N260" s="113"/>
      <c r="P260" s="120"/>
      <c r="S260" s="120"/>
    </row>
    <row r="261" spans="4:21" x14ac:dyDescent="0.2">
      <c r="D261" s="113">
        <v>46813</v>
      </c>
      <c r="E261">
        <v>20.83</v>
      </c>
      <c r="F261" s="120">
        <f t="shared" si="87"/>
        <v>187.71000000000083</v>
      </c>
      <c r="G261">
        <f>SUM(E250:E261)</f>
        <v>249.95999999999992</v>
      </c>
      <c r="I261" s="120">
        <f t="shared" si="86"/>
        <v>1.25</v>
      </c>
      <c r="J261">
        <f>SUM(I250:I261)</f>
        <v>24.18</v>
      </c>
      <c r="K261" s="116" t="s">
        <v>388</v>
      </c>
      <c r="N261" s="113"/>
      <c r="P261" s="120"/>
      <c r="S261" s="120"/>
      <c r="U261" s="116" t="s">
        <v>388</v>
      </c>
    </row>
    <row r="262" spans="4:21" x14ac:dyDescent="0.2">
      <c r="D262" s="113">
        <v>46844</v>
      </c>
      <c r="E262">
        <v>20.83</v>
      </c>
      <c r="F262" s="120">
        <f t="shared" si="87"/>
        <v>166.88000000000085</v>
      </c>
      <c r="I262" s="120">
        <f t="shared" si="86"/>
        <v>1.1100000000000001</v>
      </c>
      <c r="N262" s="113"/>
      <c r="P262" s="120"/>
      <c r="S262" s="120"/>
    </row>
    <row r="263" spans="4:21" x14ac:dyDescent="0.2">
      <c r="D263" s="113">
        <v>46874</v>
      </c>
      <c r="E263">
        <v>20.83</v>
      </c>
      <c r="F263" s="120">
        <f t="shared" si="87"/>
        <v>146.05000000000086</v>
      </c>
      <c r="I263" s="120">
        <f t="shared" ref="I263:I270" si="89">ROUND(F263*$I$193/12,2)</f>
        <v>0.97</v>
      </c>
      <c r="N263" s="113"/>
      <c r="P263" s="120"/>
      <c r="S263" s="120"/>
    </row>
    <row r="264" spans="4:21" x14ac:dyDescent="0.2">
      <c r="D264" s="113">
        <v>46905</v>
      </c>
      <c r="E264">
        <v>20.83</v>
      </c>
      <c r="F264" s="120">
        <f t="shared" ref="F264:F270" si="90">F263-E264</f>
        <v>125.22000000000087</v>
      </c>
      <c r="I264" s="120">
        <f t="shared" si="89"/>
        <v>0.83</v>
      </c>
      <c r="N264" s="113"/>
      <c r="P264" s="120"/>
      <c r="S264" s="120"/>
    </row>
    <row r="265" spans="4:21" x14ac:dyDescent="0.2">
      <c r="D265" s="113">
        <v>46935</v>
      </c>
      <c r="E265">
        <v>20.83</v>
      </c>
      <c r="F265" s="120">
        <f t="shared" si="90"/>
        <v>104.39000000000087</v>
      </c>
      <c r="I265" s="120">
        <f t="shared" si="89"/>
        <v>0.7</v>
      </c>
      <c r="N265" s="113"/>
      <c r="P265" s="120"/>
      <c r="S265" s="120"/>
    </row>
    <row r="266" spans="4:21" x14ac:dyDescent="0.2">
      <c r="D266" s="113">
        <v>46966</v>
      </c>
      <c r="E266">
        <v>20.83</v>
      </c>
      <c r="F266" s="120">
        <f t="shared" si="90"/>
        <v>83.560000000000869</v>
      </c>
      <c r="I266" s="120">
        <f t="shared" si="89"/>
        <v>0.56000000000000005</v>
      </c>
      <c r="N266" s="113"/>
      <c r="P266" s="120"/>
      <c r="S266" s="120"/>
    </row>
    <row r="267" spans="4:21" x14ac:dyDescent="0.2">
      <c r="D267" s="113">
        <v>46997</v>
      </c>
      <c r="E267">
        <v>20.83</v>
      </c>
      <c r="F267" s="120">
        <f t="shared" si="90"/>
        <v>62.730000000000871</v>
      </c>
      <c r="I267" s="120">
        <f t="shared" si="89"/>
        <v>0.42</v>
      </c>
      <c r="N267" s="113"/>
      <c r="P267" s="120"/>
      <c r="S267" s="120"/>
    </row>
    <row r="268" spans="4:21" x14ac:dyDescent="0.2">
      <c r="D268" s="113">
        <v>47027</v>
      </c>
      <c r="E268">
        <v>20.83</v>
      </c>
      <c r="F268" s="120">
        <f t="shared" si="90"/>
        <v>41.900000000000873</v>
      </c>
      <c r="I268" s="120">
        <f t="shared" si="89"/>
        <v>0.28000000000000003</v>
      </c>
      <c r="N268" s="113"/>
      <c r="P268" s="120"/>
      <c r="S268" s="120"/>
    </row>
    <row r="269" spans="4:21" x14ac:dyDescent="0.2">
      <c r="D269" s="113">
        <v>47058</v>
      </c>
      <c r="E269">
        <v>20.83</v>
      </c>
      <c r="F269" s="120">
        <f t="shared" si="90"/>
        <v>21.070000000000874</v>
      </c>
      <c r="I269" s="120">
        <f t="shared" si="89"/>
        <v>0.14000000000000001</v>
      </c>
      <c r="N269" s="113"/>
      <c r="P269" s="120"/>
      <c r="S269" s="120"/>
    </row>
    <row r="270" spans="4:21" x14ac:dyDescent="0.2">
      <c r="D270" s="113">
        <v>47088</v>
      </c>
      <c r="E270">
        <v>21.07</v>
      </c>
      <c r="F270" s="120">
        <f t="shared" si="90"/>
        <v>8.7396756498492323E-13</v>
      </c>
      <c r="G270">
        <f>SUM(E262:E270)</f>
        <v>187.70999999999998</v>
      </c>
      <c r="I270" s="120">
        <f t="shared" si="89"/>
        <v>0</v>
      </c>
      <c r="J270">
        <f>SUM(I259:I270)</f>
        <v>9.18</v>
      </c>
      <c r="K270" s="116" t="s">
        <v>389</v>
      </c>
      <c r="N270" s="113"/>
      <c r="P270" s="120"/>
      <c r="S270" s="120"/>
      <c r="U270" s="116" t="s">
        <v>389</v>
      </c>
    </row>
    <row r="271" spans="4:21" x14ac:dyDescent="0.2">
      <c r="E271">
        <f>SUM(E199:E270)</f>
        <v>1499.9999999999991</v>
      </c>
      <c r="G271">
        <f>SUM(G270,G261,G249,G237,G225,G213,G201)</f>
        <v>1499.9999999999998</v>
      </c>
    </row>
  </sheetData>
  <pageMargins left="0.37" right="0.34" top="0.32" bottom="0.39" header="0.31496062992125984" footer="0.31496062992125984"/>
  <pageSetup paperSize="9" scale="13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S41"/>
  <sheetViews>
    <sheetView workbookViewId="0">
      <pane xSplit="3" ySplit="4" topLeftCell="H27" activePane="bottomRight" state="frozen"/>
      <selection pane="topRight" activeCell="D1" sqref="D1"/>
      <selection pane="bottomLeft" activeCell="A5" sqref="A5"/>
      <selection pane="bottomRight" activeCell="I41" sqref="I41"/>
    </sheetView>
  </sheetViews>
  <sheetFormatPr defaultRowHeight="12.75" x14ac:dyDescent="0.2"/>
  <cols>
    <col min="3" max="3" width="44.5703125" customWidth="1"/>
    <col min="4" max="8" width="12.28515625" customWidth="1"/>
  </cols>
  <sheetData>
    <row r="4" spans="3:19" x14ac:dyDescent="0.2">
      <c r="C4" s="257" t="s">
        <v>447</v>
      </c>
      <c r="D4" s="258">
        <v>2015</v>
      </c>
      <c r="E4" s="258">
        <v>2016</v>
      </c>
      <c r="F4" s="258">
        <v>2017</v>
      </c>
      <c r="G4" s="258">
        <v>2018</v>
      </c>
      <c r="H4" s="258">
        <v>2019</v>
      </c>
      <c r="I4" s="258">
        <v>2020</v>
      </c>
      <c r="J4" s="258">
        <v>2021</v>
      </c>
      <c r="K4" s="258">
        <v>2022</v>
      </c>
      <c r="L4" s="258">
        <v>2023</v>
      </c>
      <c r="M4" s="258">
        <v>2024</v>
      </c>
      <c r="N4" s="258">
        <v>2025</v>
      </c>
      <c r="O4" s="258">
        <v>2026</v>
      </c>
      <c r="P4" s="258">
        <v>2027</v>
      </c>
      <c r="Q4" s="258">
        <v>2028</v>
      </c>
      <c r="R4" s="258">
        <v>2029</v>
      </c>
    </row>
    <row r="5" spans="3:19" x14ac:dyDescent="0.2">
      <c r="C5" s="52" t="s">
        <v>6</v>
      </c>
      <c r="D5" s="120">
        <f>'FORM - II'!P11</f>
        <v>16679.330000000002</v>
      </c>
      <c r="E5" s="120">
        <f>'FORM - II'!Q11</f>
        <v>17989.72</v>
      </c>
      <c r="F5" s="120">
        <f>'FORM - II'!R11</f>
        <v>13259.29</v>
      </c>
      <c r="G5" s="120">
        <f>'FORM - II'!S11</f>
        <v>15306.33</v>
      </c>
      <c r="H5" s="120">
        <f>'FORM - II'!T11</f>
        <v>18510.41</v>
      </c>
      <c r="I5" s="120">
        <f>'FORM - II'!U11</f>
        <v>10000.689999999999</v>
      </c>
      <c r="J5" s="120">
        <f>'FORM - II'!V11</f>
        <v>9343.26</v>
      </c>
      <c r="K5" s="120">
        <f>'FORM - II'!W11</f>
        <v>11712.8</v>
      </c>
      <c r="L5" s="120">
        <f>'FORM - II'!X11</f>
        <v>13854.5</v>
      </c>
      <c r="M5" s="120">
        <f>'FORM - II'!Y11</f>
        <v>15881.25</v>
      </c>
      <c r="N5" s="120">
        <f>M5*(1+$S$6)</f>
        <v>17933.943405898335</v>
      </c>
      <c r="O5" s="120">
        <f t="shared" ref="O5:R5" si="0">N5*(1+$S$6)</f>
        <v>20251.952842878512</v>
      </c>
      <c r="P5" s="120">
        <f t="shared" si="0"/>
        <v>22869.571107003863</v>
      </c>
      <c r="Q5" s="120">
        <f t="shared" si="0"/>
        <v>25825.523428582448</v>
      </c>
      <c r="R5" s="120">
        <f t="shared" si="0"/>
        <v>29163.54037597161</v>
      </c>
    </row>
    <row r="6" spans="3:19" x14ac:dyDescent="0.2">
      <c r="C6" s="255" t="s">
        <v>448</v>
      </c>
      <c r="D6" s="260"/>
      <c r="E6" s="260">
        <f t="shared" ref="E6:I6" si="1">(E5-D5)/D5</f>
        <v>7.8563707295197072E-2</v>
      </c>
      <c r="F6" s="260">
        <f t="shared" si="1"/>
        <v>-0.26295184138496874</v>
      </c>
      <c r="G6" s="260">
        <f t="shared" si="1"/>
        <v>0.15438534039152918</v>
      </c>
      <c r="H6" s="260">
        <f t="shared" si="1"/>
        <v>0.2093303881466034</v>
      </c>
      <c r="I6" s="260">
        <f t="shared" si="1"/>
        <v>-0.45972617570329349</v>
      </c>
      <c r="J6" s="260">
        <f>(J5-I5)/I5</f>
        <v>-6.5738464045980688E-2</v>
      </c>
      <c r="K6" s="260">
        <f t="shared" ref="K6:R6" si="2">(K5-J5)/J5</f>
        <v>0.2536095538388099</v>
      </c>
      <c r="L6" s="260">
        <f t="shared" si="2"/>
        <v>0.18285123966942157</v>
      </c>
      <c r="M6" s="260">
        <f t="shared" si="2"/>
        <v>0.14628820960698691</v>
      </c>
      <c r="N6" s="260">
        <f t="shared" si="2"/>
        <v>0.12925263476730958</v>
      </c>
      <c r="O6" s="260">
        <f t="shared" si="2"/>
        <v>0.12925263476730955</v>
      </c>
      <c r="P6" s="260">
        <f t="shared" si="2"/>
        <v>0.12925263476730947</v>
      </c>
      <c r="Q6" s="260">
        <f t="shared" si="2"/>
        <v>0.12925263476730953</v>
      </c>
      <c r="R6" s="260">
        <f t="shared" si="2"/>
        <v>0.1292526347673095</v>
      </c>
      <c r="S6" s="114">
        <f>AVERAGE(J6:M6)</f>
        <v>0.12925263476730942</v>
      </c>
    </row>
    <row r="7" spans="3:19" x14ac:dyDescent="0.2">
      <c r="C7" s="52" t="s">
        <v>7</v>
      </c>
      <c r="D7" s="52"/>
      <c r="E7" s="52"/>
      <c r="F7" s="52"/>
      <c r="G7" s="52"/>
      <c r="H7" s="52"/>
      <c r="I7" s="120">
        <f>'FORM - II'!U12</f>
        <v>287.45999999999998</v>
      </c>
      <c r="J7" s="120">
        <f>'FORM - II'!V12</f>
        <v>146.54</v>
      </c>
      <c r="K7" s="120">
        <f>'FORM - II'!W12</f>
        <v>375</v>
      </c>
      <c r="L7" s="120">
        <f>'FORM - II'!X12</f>
        <v>480</v>
      </c>
      <c r="M7" s="120">
        <f>'FORM - II'!Y12</f>
        <v>600</v>
      </c>
      <c r="N7" s="120">
        <f>'FORM - II'!Z12</f>
        <v>600</v>
      </c>
      <c r="O7" s="120">
        <f>'FORM - II'!AA12</f>
        <v>600</v>
      </c>
      <c r="P7" s="120">
        <f>'FORM - II'!AB12</f>
        <v>600</v>
      </c>
      <c r="Q7" s="120">
        <f>'FORM - II'!AC12</f>
        <v>600</v>
      </c>
      <c r="R7" s="120">
        <f>'FORM - II'!AD12</f>
        <v>600</v>
      </c>
    </row>
    <row r="8" spans="3:19" x14ac:dyDescent="0.2">
      <c r="C8" s="255" t="s">
        <v>448</v>
      </c>
      <c r="D8" s="255"/>
      <c r="E8" s="255"/>
      <c r="F8" s="255"/>
      <c r="G8" s="255"/>
      <c r="H8" s="255"/>
    </row>
    <row r="9" spans="3:19" x14ac:dyDescent="0.2">
      <c r="C9" s="51" t="s">
        <v>261</v>
      </c>
      <c r="D9" s="51"/>
      <c r="E9" s="51"/>
      <c r="F9" s="51"/>
      <c r="G9" s="51"/>
      <c r="H9" s="51"/>
      <c r="I9" s="120">
        <f>'FORM - II'!U13</f>
        <v>8.5399999999999991</v>
      </c>
      <c r="J9" s="120">
        <f>'FORM - II'!U13</f>
        <v>8.5399999999999991</v>
      </c>
      <c r="K9" s="120">
        <f>'FORM - II'!V13</f>
        <v>2.5</v>
      </c>
      <c r="L9" s="120">
        <f>'FORM - II'!W13</f>
        <v>16.5</v>
      </c>
      <c r="M9" s="120">
        <f>'FORM - II'!X13</f>
        <v>16.5</v>
      </c>
      <c r="N9" s="120">
        <f>'FORM - II'!Y13</f>
        <v>16.5</v>
      </c>
      <c r="O9" s="120">
        <f>'FORM - II'!Z13</f>
        <v>16.5</v>
      </c>
      <c r="P9" s="120">
        <f>'FORM - II'!AA13</f>
        <v>16.5</v>
      </c>
      <c r="Q9" s="120">
        <f>'FORM - II'!AB13</f>
        <v>16.5</v>
      </c>
      <c r="R9" s="120">
        <f>'FORM - II'!AC13</f>
        <v>16.5</v>
      </c>
    </row>
    <row r="10" spans="3:19" x14ac:dyDescent="0.2">
      <c r="C10" s="253" t="s">
        <v>8</v>
      </c>
      <c r="D10" s="253"/>
      <c r="E10" s="253"/>
      <c r="F10" s="253"/>
      <c r="G10" s="253"/>
      <c r="H10" s="253"/>
    </row>
    <row r="11" spans="3:19" x14ac:dyDescent="0.2">
      <c r="C11" s="255" t="s">
        <v>448</v>
      </c>
      <c r="D11" s="255"/>
      <c r="E11" s="255"/>
      <c r="F11" s="255"/>
      <c r="G11" s="255"/>
      <c r="H11" s="255"/>
      <c r="I11" s="120">
        <f>'FORM - II'!U16</f>
        <v>1905.12</v>
      </c>
      <c r="J11" s="120">
        <f>'FORM - II'!V16</f>
        <v>1765.42</v>
      </c>
      <c r="K11" s="120">
        <f>'FORM - II'!W16</f>
        <v>2032.8</v>
      </c>
      <c r="L11" s="120">
        <f>'FORM - II'!X16</f>
        <v>2404.5</v>
      </c>
      <c r="M11" s="120">
        <f>'FORM - II'!Y16</f>
        <v>2756.25</v>
      </c>
      <c r="N11" s="120">
        <f>'FORM - II'!Z16</f>
        <v>2756.25</v>
      </c>
      <c r="O11" s="120">
        <f>'FORM - II'!AA16</f>
        <v>2756.25</v>
      </c>
      <c r="P11" s="120">
        <f>'FORM - II'!AB16</f>
        <v>2756.25</v>
      </c>
      <c r="Q11" s="120">
        <f>'FORM - II'!AC16</f>
        <v>2756.25</v>
      </c>
      <c r="R11" s="120">
        <f>'FORM - II'!AD16</f>
        <v>2756.25</v>
      </c>
    </row>
    <row r="12" spans="3:19" x14ac:dyDescent="0.2">
      <c r="C12" s="52" t="s">
        <v>353</v>
      </c>
      <c r="D12" s="52"/>
      <c r="E12" s="52"/>
      <c r="F12" s="52"/>
      <c r="G12" s="52"/>
      <c r="H12" s="52"/>
    </row>
    <row r="13" spans="3:19" x14ac:dyDescent="0.2">
      <c r="C13" s="52"/>
      <c r="D13" s="52"/>
      <c r="E13" s="52"/>
      <c r="F13" s="52"/>
      <c r="G13" s="52"/>
      <c r="H13" s="52"/>
    </row>
    <row r="14" spans="3:19" x14ac:dyDescent="0.2">
      <c r="C14" s="253" t="s">
        <v>449</v>
      </c>
      <c r="D14" s="253"/>
      <c r="E14" s="253"/>
      <c r="F14" s="253"/>
      <c r="G14" s="253"/>
      <c r="H14" s="253"/>
      <c r="I14" s="120">
        <f>I5+I7+I9-I11</f>
        <v>8391.57</v>
      </c>
      <c r="J14" s="120">
        <f t="shared" ref="J14:R14" si="3">J5+J7+J9-J11</f>
        <v>7732.9200000000019</v>
      </c>
      <c r="K14" s="120">
        <f t="shared" si="3"/>
        <v>10057.5</v>
      </c>
      <c r="L14" s="120">
        <f t="shared" si="3"/>
        <v>11946.5</v>
      </c>
      <c r="M14" s="120">
        <f t="shared" si="3"/>
        <v>13741.5</v>
      </c>
      <c r="N14" s="120">
        <f t="shared" si="3"/>
        <v>15794.193405898335</v>
      </c>
      <c r="O14" s="120">
        <f t="shared" si="3"/>
        <v>18112.202842878512</v>
      </c>
      <c r="P14" s="120">
        <f t="shared" si="3"/>
        <v>20729.821107003863</v>
      </c>
      <c r="Q14" s="120">
        <f t="shared" si="3"/>
        <v>23685.773428582448</v>
      </c>
      <c r="R14" s="120">
        <f t="shared" si="3"/>
        <v>27023.79037597161</v>
      </c>
    </row>
    <row r="15" spans="3:19" x14ac:dyDescent="0.2">
      <c r="C15" s="31" t="s">
        <v>450</v>
      </c>
      <c r="D15" s="31"/>
      <c r="E15" s="31"/>
      <c r="F15" s="31"/>
      <c r="G15" s="31"/>
      <c r="H15" s="31"/>
    </row>
    <row r="16" spans="3:19" x14ac:dyDescent="0.2">
      <c r="C16" s="52" t="s">
        <v>451</v>
      </c>
      <c r="D16" s="52"/>
      <c r="E16" s="52"/>
      <c r="F16" s="52"/>
      <c r="G16" s="52"/>
      <c r="H16" s="52"/>
      <c r="I16">
        <f>'FORM - II'!U30</f>
        <v>4108.78</v>
      </c>
      <c r="J16">
        <f>'FORM - II'!V30</f>
        <v>3528.3</v>
      </c>
      <c r="K16">
        <f>'FORM - II'!W30</f>
        <v>4424.2</v>
      </c>
      <c r="L16">
        <f>'FORM - II'!X30</f>
        <v>5399.2</v>
      </c>
      <c r="M16">
        <f>'FORM - II'!Y30</f>
        <v>6039</v>
      </c>
      <c r="N16">
        <f>'FORM - II'!Z30</f>
        <v>6039</v>
      </c>
      <c r="O16">
        <f>'FORM - II'!AA30</f>
        <v>6039</v>
      </c>
      <c r="P16">
        <f>'FORM - II'!AB30</f>
        <v>6039</v>
      </c>
      <c r="Q16">
        <f>'FORM - II'!AC30</f>
        <v>6039</v>
      </c>
      <c r="R16">
        <f>'FORM - II'!AD30</f>
        <v>6039</v>
      </c>
    </row>
    <row r="17" spans="3:18" x14ac:dyDescent="0.2">
      <c r="C17" s="255" t="s">
        <v>452</v>
      </c>
      <c r="D17" s="255"/>
      <c r="E17" s="255"/>
      <c r="F17" s="255"/>
      <c r="G17" s="255"/>
      <c r="H17" s="255"/>
    </row>
    <row r="18" spans="3:18" x14ac:dyDescent="0.2">
      <c r="C18" s="52" t="s">
        <v>453</v>
      </c>
      <c r="D18" s="52"/>
      <c r="E18" s="52"/>
      <c r="F18" s="52"/>
      <c r="G18" s="52"/>
      <c r="H18" s="52"/>
      <c r="I18">
        <f>'FORM - II'!U34</f>
        <v>629.39</v>
      </c>
      <c r="J18">
        <f>'FORM - II'!V34</f>
        <v>652.26</v>
      </c>
      <c r="K18">
        <f>'FORM - II'!W34</f>
        <v>755.36</v>
      </c>
      <c r="L18">
        <f>'FORM - II'!X34</f>
        <v>895.99</v>
      </c>
      <c r="M18">
        <f>'FORM - II'!Y34</f>
        <v>1030.6099999999999</v>
      </c>
      <c r="N18">
        <f>'FORM - II'!Z34</f>
        <v>1030.6099999999999</v>
      </c>
      <c r="O18">
        <f>'FORM - II'!AA34</f>
        <v>1030.6099999999999</v>
      </c>
      <c r="P18">
        <f>'FORM - II'!AB34</f>
        <v>1030.6099999999999</v>
      </c>
      <c r="Q18">
        <f>'FORM - II'!AC34</f>
        <v>1030.6099999999999</v>
      </c>
      <c r="R18">
        <f>'FORM - II'!AD34</f>
        <v>1030.6099999999999</v>
      </c>
    </row>
    <row r="19" spans="3:18" x14ac:dyDescent="0.2">
      <c r="C19" s="255" t="s">
        <v>452</v>
      </c>
      <c r="D19" s="255"/>
      <c r="E19" s="255"/>
      <c r="F19" s="255"/>
      <c r="G19" s="255"/>
      <c r="H19" s="255"/>
    </row>
    <row r="20" spans="3:18" x14ac:dyDescent="0.2">
      <c r="C20" s="35" t="s">
        <v>454</v>
      </c>
      <c r="D20" s="35"/>
      <c r="E20" s="35"/>
      <c r="F20" s="35"/>
      <c r="G20" s="35"/>
      <c r="H20" s="35"/>
      <c r="I20">
        <f>'FORM - II'!U52-'FORM - II'!U56+'FORM - II'!U60-'FORM - II'!U64</f>
        <v>-493.94999999999993</v>
      </c>
      <c r="J20">
        <f>'FORM - II'!V52-'FORM - II'!V56+'FORM - II'!V60-'FORM - II'!V64</f>
        <v>-240.26999999999998</v>
      </c>
      <c r="K20">
        <f>'FORM - II'!W52-'FORM - II'!W56+'FORM - II'!W60-'FORM - II'!W64</f>
        <v>713.01</v>
      </c>
      <c r="L20">
        <f>'FORM - II'!X52-'FORM - II'!X56+'FORM - II'!X60-'FORM - II'!X64</f>
        <v>-150</v>
      </c>
      <c r="M20">
        <f>'FORM - II'!Y52-'FORM - II'!Y56+'FORM - II'!Y60-'FORM - II'!Y64</f>
        <v>0</v>
      </c>
      <c r="N20">
        <f>'FORM - II'!Z52-'FORM - II'!Z56+'FORM - II'!Z60-'FORM - II'!Z64</f>
        <v>0</v>
      </c>
      <c r="O20">
        <f>'FORM - II'!AA52-'FORM - II'!AA56+'FORM - II'!AA60-'FORM - II'!AA64</f>
        <v>0</v>
      </c>
      <c r="P20">
        <f>'FORM - II'!AB52-'FORM - II'!AB56+'FORM - II'!AB60-'FORM - II'!AB64</f>
        <v>0</v>
      </c>
      <c r="Q20">
        <f>'FORM - II'!AC52-'FORM - II'!AC56+'FORM - II'!AC60-'FORM - II'!AC64</f>
        <v>0</v>
      </c>
      <c r="R20">
        <f>'FORM - II'!AD52-'FORM - II'!AD56+'FORM - II'!AD60-'FORM - II'!AD64</f>
        <v>0</v>
      </c>
    </row>
    <row r="21" spans="3:18" x14ac:dyDescent="0.2">
      <c r="C21" s="52" t="s">
        <v>18</v>
      </c>
      <c r="D21" s="52"/>
      <c r="E21" s="52"/>
      <c r="F21" s="52"/>
      <c r="G21" s="52"/>
      <c r="H21" s="52"/>
      <c r="I21" s="120">
        <f>'FORM - II'!U36</f>
        <v>599.32000000000005</v>
      </c>
      <c r="J21" s="120">
        <f>'FORM - II'!V36</f>
        <v>594.88</v>
      </c>
      <c r="K21" s="120">
        <f>'FORM - II'!W36</f>
        <v>775.51</v>
      </c>
      <c r="L21" s="120">
        <f>'FORM - II'!X36</f>
        <v>943.77350000000001</v>
      </c>
      <c r="M21" s="120">
        <f>'FORM - II'!Y36</f>
        <v>1085.5785000000001</v>
      </c>
      <c r="N21" s="120">
        <f>'FORM - II'!Z36</f>
        <v>1085.5785000000001</v>
      </c>
      <c r="O21" s="120">
        <f>'FORM - II'!AA36</f>
        <v>1085.5785000000001</v>
      </c>
      <c r="P21" s="120">
        <f>'FORM - II'!AB36</f>
        <v>1085.5785000000001</v>
      </c>
      <c r="Q21" s="120">
        <f>'FORM - II'!AC36</f>
        <v>1085.5785000000001</v>
      </c>
      <c r="R21" s="120">
        <f>'FORM - II'!AD36</f>
        <v>1085.5785000000001</v>
      </c>
    </row>
    <row r="22" spans="3:18" x14ac:dyDescent="0.2">
      <c r="C22" s="255" t="s">
        <v>452</v>
      </c>
      <c r="D22" s="255"/>
      <c r="E22" s="255"/>
      <c r="F22" s="255"/>
      <c r="G22" s="255"/>
      <c r="H22" s="255"/>
    </row>
    <row r="23" spans="3:18" x14ac:dyDescent="0.2">
      <c r="C23" s="52" t="s">
        <v>455</v>
      </c>
      <c r="D23" s="52"/>
      <c r="E23" s="52"/>
      <c r="F23" s="52"/>
      <c r="G23" s="52"/>
      <c r="H23" s="52"/>
      <c r="I23" s="120">
        <f>'FORM - II'!U68</f>
        <v>911.11</v>
      </c>
      <c r="J23" s="120">
        <f>'FORM - II'!V68</f>
        <v>848.08</v>
      </c>
      <c r="K23" s="120">
        <f>'FORM - II'!W68</f>
        <v>856.08</v>
      </c>
      <c r="L23" s="120">
        <f>'FORM - II'!X68</f>
        <v>1015.45</v>
      </c>
      <c r="M23" s="120">
        <f>'FORM - II'!Y68</f>
        <v>1305.44</v>
      </c>
      <c r="N23" s="120">
        <f>'FORM - II'!Z68</f>
        <v>1305.44</v>
      </c>
      <c r="O23" s="120">
        <f>'FORM - II'!AA68</f>
        <v>1374.15</v>
      </c>
      <c r="P23" s="120">
        <f>'FORM - II'!AB68</f>
        <v>1374.15</v>
      </c>
      <c r="Q23" s="120">
        <f>'FORM - II'!AC68</f>
        <v>1374.15</v>
      </c>
      <c r="R23" s="120">
        <f>'FORM - II'!AD68</f>
        <v>1374.15</v>
      </c>
    </row>
    <row r="24" spans="3:18" x14ac:dyDescent="0.2">
      <c r="C24" s="255" t="s">
        <v>452</v>
      </c>
      <c r="D24" s="255"/>
      <c r="E24" s="255"/>
      <c r="F24" s="255"/>
      <c r="G24" s="255"/>
      <c r="H24" s="255"/>
    </row>
    <row r="25" spans="3:18" x14ac:dyDescent="0.2">
      <c r="C25" s="52" t="s">
        <v>50</v>
      </c>
      <c r="D25" s="52"/>
      <c r="E25" s="52"/>
      <c r="F25" s="52"/>
      <c r="G25" s="52"/>
      <c r="H25" s="52"/>
      <c r="I25" s="120">
        <f>'FORM - II'!U38</f>
        <v>1903.46</v>
      </c>
      <c r="J25" s="120">
        <f>'FORM - II'!V38</f>
        <v>1673.39</v>
      </c>
      <c r="K25" s="120">
        <f>'FORM - II'!W38</f>
        <v>1812.87</v>
      </c>
      <c r="L25" s="120">
        <f>'FORM - II'!X38</f>
        <v>2269.84</v>
      </c>
      <c r="M25" s="120">
        <f>'FORM - II'!Y38</f>
        <v>2610.89</v>
      </c>
      <c r="N25" s="120">
        <f>'FORM - II'!Z38</f>
        <v>2610.89</v>
      </c>
      <c r="O25" s="120">
        <f>'FORM - II'!AA38</f>
        <v>2610.89</v>
      </c>
      <c r="P25" s="120">
        <f>'FORM - II'!AB38</f>
        <v>2610.89</v>
      </c>
      <c r="Q25" s="120">
        <f>'FORM - II'!AC38</f>
        <v>2610.89</v>
      </c>
      <c r="R25" s="120">
        <f>'FORM - II'!AD38</f>
        <v>2610.89</v>
      </c>
    </row>
    <row r="26" spans="3:18" x14ac:dyDescent="0.2">
      <c r="C26" s="255" t="s">
        <v>452</v>
      </c>
      <c r="D26" s="255"/>
      <c r="E26" s="255"/>
      <c r="F26" s="255"/>
      <c r="G26" s="255"/>
      <c r="H26" s="255"/>
    </row>
    <row r="27" spans="3:18" x14ac:dyDescent="0.2">
      <c r="C27" s="52" t="s">
        <v>19</v>
      </c>
      <c r="D27" s="52"/>
      <c r="E27" s="52"/>
      <c r="F27" s="52"/>
      <c r="G27" s="52"/>
      <c r="H27" s="52"/>
      <c r="I27" s="120">
        <f>'FORM - II'!U40</f>
        <v>295.76</v>
      </c>
      <c r="J27" s="120">
        <f>'FORM - II'!V40</f>
        <v>250.92</v>
      </c>
      <c r="K27" s="120">
        <f>'FORM - II'!W40</f>
        <v>327.32</v>
      </c>
      <c r="L27" s="120">
        <f>'FORM - II'!X40</f>
        <v>418.13</v>
      </c>
      <c r="M27" s="120">
        <f>'FORM - II'!Y40</f>
        <v>480.95</v>
      </c>
      <c r="N27" s="120">
        <f>'FORM - II'!Z40</f>
        <v>480.95</v>
      </c>
      <c r="O27" s="120">
        <f>'FORM - II'!AA40</f>
        <v>480.95</v>
      </c>
      <c r="P27" s="120">
        <f>'FORM - II'!AB40</f>
        <v>480.95</v>
      </c>
      <c r="Q27" s="120">
        <f>'FORM - II'!AC40</f>
        <v>480.95</v>
      </c>
      <c r="R27" s="120">
        <f>'FORM - II'!AD40</f>
        <v>480.95</v>
      </c>
    </row>
    <row r="28" spans="3:18" x14ac:dyDescent="0.2">
      <c r="C28" s="255" t="s">
        <v>452</v>
      </c>
      <c r="D28" s="255"/>
      <c r="E28" s="255"/>
      <c r="F28" s="255"/>
      <c r="G28" s="255"/>
      <c r="H28" s="255"/>
    </row>
    <row r="29" spans="3:18" x14ac:dyDescent="0.2">
      <c r="C29" s="52" t="s">
        <v>20</v>
      </c>
      <c r="D29" s="52"/>
      <c r="E29" s="52"/>
      <c r="F29" s="52"/>
      <c r="G29" s="52"/>
      <c r="H29" s="52"/>
      <c r="I29" s="256">
        <f>'FORM - II'!U42</f>
        <v>419.95</v>
      </c>
      <c r="J29" s="256">
        <f>'FORM - II'!V42</f>
        <v>402.34</v>
      </c>
      <c r="K29" s="256">
        <f>'FORM - II'!W42</f>
        <v>390</v>
      </c>
      <c r="L29" s="256">
        <f>'FORM - II'!X42</f>
        <v>390</v>
      </c>
      <c r="M29" s="256">
        <f>'FORM - II'!Y42</f>
        <v>390</v>
      </c>
      <c r="N29" s="256">
        <f>'FORM - II'!Z42</f>
        <v>390</v>
      </c>
      <c r="O29" s="256">
        <f>'FORM - II'!AA42</f>
        <v>390</v>
      </c>
      <c r="P29" s="256">
        <f>'FORM - II'!AB42</f>
        <v>390</v>
      </c>
      <c r="Q29" s="256">
        <f>'FORM - II'!AC42</f>
        <v>390</v>
      </c>
      <c r="R29" s="256">
        <f>'FORM - II'!AD42</f>
        <v>390</v>
      </c>
    </row>
    <row r="30" spans="3:18" x14ac:dyDescent="0.2">
      <c r="C30" s="52" t="s">
        <v>456</v>
      </c>
      <c r="D30" s="52"/>
      <c r="E30" s="52"/>
      <c r="F30" s="52"/>
      <c r="G30" s="52"/>
      <c r="H30" s="52"/>
      <c r="I30" s="256">
        <f>'FORM - II'!U74</f>
        <v>455.16</v>
      </c>
      <c r="J30" s="256">
        <f>'FORM - II'!V74</f>
        <v>429.33</v>
      </c>
      <c r="K30" s="256">
        <f>'FORM - II'!W74</f>
        <v>376.09000000000009</v>
      </c>
      <c r="L30" s="256">
        <f>'FORM - II'!X74</f>
        <v>381.89</v>
      </c>
      <c r="M30" s="256">
        <f>'FORM - II'!Y74</f>
        <v>366.62000000000006</v>
      </c>
      <c r="N30" s="256">
        <f>'FORM - II'!Z74</f>
        <v>319.89000000000004</v>
      </c>
      <c r="O30" s="256">
        <f>'FORM - II'!AA74</f>
        <v>278.89000000000004</v>
      </c>
      <c r="P30" s="256">
        <f>'FORM - II'!AB74</f>
        <v>260.76000000000005</v>
      </c>
      <c r="Q30" s="256">
        <f>'FORM - II'!AC74</f>
        <v>249.04000000000005</v>
      </c>
      <c r="R30" s="256">
        <f>'FORM - II'!AD74</f>
        <v>240.44000000000003</v>
      </c>
    </row>
    <row r="31" spans="3:18" x14ac:dyDescent="0.2">
      <c r="C31" s="253" t="s">
        <v>457</v>
      </c>
      <c r="D31" s="253"/>
      <c r="E31" s="253"/>
      <c r="F31" s="253"/>
      <c r="G31" s="253"/>
      <c r="H31" s="253"/>
      <c r="I31" s="120">
        <f>SUM(I16+I18+I20+I21+I23+I25+I27+I29+I30)</f>
        <v>8828.98</v>
      </c>
      <c r="J31" s="120">
        <f t="shared" ref="J31:R31" si="4">SUM(J16+J18+J20+J21+J23+J25+J27+J29+J30)</f>
        <v>8139.2300000000005</v>
      </c>
      <c r="K31" s="120">
        <f t="shared" si="4"/>
        <v>10430.439999999999</v>
      </c>
      <c r="L31" s="120">
        <f t="shared" si="4"/>
        <v>11564.273499999998</v>
      </c>
      <c r="M31" s="120">
        <f t="shared" si="4"/>
        <v>13309.088500000002</v>
      </c>
      <c r="N31" s="120">
        <f t="shared" si="4"/>
        <v>13262.3585</v>
      </c>
      <c r="O31" s="120">
        <f t="shared" si="4"/>
        <v>13290.068499999999</v>
      </c>
      <c r="P31" s="120">
        <f t="shared" si="4"/>
        <v>13271.9385</v>
      </c>
      <c r="Q31" s="120">
        <f t="shared" si="4"/>
        <v>13260.218500000001</v>
      </c>
      <c r="R31" s="120">
        <f t="shared" si="4"/>
        <v>13251.6185</v>
      </c>
    </row>
    <row r="32" spans="3:18" x14ac:dyDescent="0.2">
      <c r="C32" s="52" t="s">
        <v>458</v>
      </c>
      <c r="D32" s="52"/>
      <c r="E32" s="52"/>
      <c r="F32" s="52"/>
      <c r="G32" s="52"/>
      <c r="H32" s="52"/>
      <c r="I32" s="256">
        <f>'FORM - II'!U88</f>
        <v>89.92</v>
      </c>
      <c r="J32" s="256">
        <f>'FORM - II'!V88</f>
        <v>36.5</v>
      </c>
      <c r="K32" s="256">
        <f>'FORM - II'!W88</f>
        <v>40</v>
      </c>
      <c r="L32" s="256">
        <f>'FORM - II'!X88</f>
        <v>40</v>
      </c>
      <c r="M32" s="256">
        <f>'FORM - II'!Y88</f>
        <v>40</v>
      </c>
      <c r="N32" s="256">
        <f>'FORM - II'!Z88</f>
        <v>40</v>
      </c>
      <c r="O32" s="256">
        <f>'FORM - II'!AA88</f>
        <v>40</v>
      </c>
      <c r="P32" s="256">
        <f>'FORM - II'!AB88</f>
        <v>40</v>
      </c>
      <c r="Q32" s="256">
        <f>'FORM - II'!AC88</f>
        <v>40</v>
      </c>
      <c r="R32" s="256">
        <f>'FORM - II'!AD88</f>
        <v>40</v>
      </c>
    </row>
    <row r="33" spans="3:18" x14ac:dyDescent="0.2">
      <c r="C33" s="52" t="s">
        <v>344</v>
      </c>
      <c r="D33" s="52"/>
      <c r="E33" s="52"/>
      <c r="F33" s="52"/>
      <c r="G33" s="52"/>
      <c r="H33" s="52"/>
    </row>
    <row r="34" spans="3:18" x14ac:dyDescent="0.2">
      <c r="C34" s="253" t="s">
        <v>459</v>
      </c>
      <c r="D34" s="253"/>
      <c r="E34" s="253"/>
      <c r="F34" s="253"/>
      <c r="G34" s="253"/>
      <c r="H34" s="253"/>
      <c r="I34" s="120">
        <f>I14-I31+I32</f>
        <v>-347.48999999999984</v>
      </c>
      <c r="J34" s="120">
        <f t="shared" ref="J34:R34" si="5">J14-J31+J32</f>
        <v>-369.80999999999858</v>
      </c>
      <c r="K34" s="120">
        <f t="shared" si="5"/>
        <v>-332.93999999999869</v>
      </c>
      <c r="L34" s="120">
        <f t="shared" si="5"/>
        <v>422.22650000000249</v>
      </c>
      <c r="M34" s="120">
        <f t="shared" si="5"/>
        <v>472.41149999999834</v>
      </c>
      <c r="N34" s="120">
        <f t="shared" si="5"/>
        <v>2571.8349058983349</v>
      </c>
      <c r="O34" s="120">
        <f t="shared" si="5"/>
        <v>4862.1343428785131</v>
      </c>
      <c r="P34" s="120">
        <f t="shared" si="5"/>
        <v>7497.8826070038631</v>
      </c>
      <c r="Q34" s="120">
        <f t="shared" si="5"/>
        <v>10465.554928582447</v>
      </c>
      <c r="R34" s="120">
        <f t="shared" si="5"/>
        <v>13812.17187597161</v>
      </c>
    </row>
    <row r="35" spans="3:18" x14ac:dyDescent="0.2">
      <c r="C35" s="253" t="s">
        <v>460</v>
      </c>
      <c r="D35" s="253"/>
      <c r="E35" s="253"/>
      <c r="F35" s="253"/>
      <c r="G35" s="253"/>
      <c r="H35" s="253"/>
      <c r="I35">
        <f>'FORM - II'!U92</f>
        <v>-82.78</v>
      </c>
      <c r="J35">
        <f>'FORM - II'!V92</f>
        <v>2.66</v>
      </c>
      <c r="K35">
        <f>'FORM - II'!W92</f>
        <v>0</v>
      </c>
      <c r="L35">
        <f>'FORM - II'!X92</f>
        <v>63.33</v>
      </c>
      <c r="M35">
        <f>'FORM - II'!Y92</f>
        <v>94.48</v>
      </c>
      <c r="N35">
        <f>'FORM - II'!Z92</f>
        <v>103.83</v>
      </c>
      <c r="O35">
        <f>'FORM - II'!AA92</f>
        <v>98.29</v>
      </c>
      <c r="P35">
        <f>'FORM - II'!AB92</f>
        <v>132.49</v>
      </c>
      <c r="Q35">
        <f>'FORM - II'!AC92</f>
        <v>135.53</v>
      </c>
      <c r="R35">
        <f>'FORM - II'!AD92</f>
        <v>137.77000000000001</v>
      </c>
    </row>
    <row r="36" spans="3:18" x14ac:dyDescent="0.2">
      <c r="C36" s="253" t="s">
        <v>461</v>
      </c>
      <c r="D36" s="253"/>
      <c r="E36" s="253"/>
      <c r="F36" s="253"/>
      <c r="G36" s="253"/>
      <c r="H36" s="253"/>
      <c r="I36" s="120">
        <f>I34-I35</f>
        <v>-264.70999999999981</v>
      </c>
      <c r="J36" s="120">
        <f t="shared" ref="J36:R36" si="6">J34-J35</f>
        <v>-372.46999999999861</v>
      </c>
      <c r="K36" s="120">
        <f t="shared" si="6"/>
        <v>-332.93999999999869</v>
      </c>
      <c r="L36" s="120">
        <f t="shared" si="6"/>
        <v>358.8965000000025</v>
      </c>
      <c r="M36" s="120">
        <f t="shared" si="6"/>
        <v>377.93149999999832</v>
      </c>
      <c r="N36" s="120">
        <f t="shared" si="6"/>
        <v>2468.004905898335</v>
      </c>
      <c r="O36" s="120">
        <f t="shared" si="6"/>
        <v>4763.8443428785131</v>
      </c>
      <c r="P36" s="120">
        <f t="shared" si="6"/>
        <v>7365.3926070038633</v>
      </c>
      <c r="Q36" s="120">
        <f t="shared" si="6"/>
        <v>10330.024928582447</v>
      </c>
      <c r="R36" s="120">
        <f t="shared" si="6"/>
        <v>13674.401875971609</v>
      </c>
    </row>
    <row r="37" spans="3:18" x14ac:dyDescent="0.2">
      <c r="C37" s="253" t="s">
        <v>462</v>
      </c>
      <c r="D37" s="253"/>
      <c r="E37" s="253"/>
      <c r="F37" s="253"/>
      <c r="G37" s="253"/>
      <c r="H37" s="253"/>
      <c r="I37">
        <f>'FORM - II'!U96</f>
        <v>40.08</v>
      </c>
      <c r="J37">
        <f>'FORM - II'!V96</f>
        <v>45.23</v>
      </c>
      <c r="K37">
        <f>'FORM - II'!W96</f>
        <v>0</v>
      </c>
      <c r="L37">
        <f>'FORM - II'!X96</f>
        <v>0</v>
      </c>
      <c r="M37">
        <f>'FORM - II'!Y96</f>
        <v>0</v>
      </c>
      <c r="N37">
        <f>'FORM - II'!Z96</f>
        <v>0</v>
      </c>
      <c r="O37">
        <f>'FORM - II'!AA96</f>
        <v>0</v>
      </c>
      <c r="P37">
        <f>'FORM - II'!AB96</f>
        <v>0</v>
      </c>
      <c r="Q37">
        <f>'FORM - II'!AC96</f>
        <v>0</v>
      </c>
      <c r="R37">
        <f>'FORM - II'!AD96</f>
        <v>0</v>
      </c>
    </row>
    <row r="38" spans="3:18" x14ac:dyDescent="0.2">
      <c r="C38" s="253" t="s">
        <v>463</v>
      </c>
      <c r="D38" s="253"/>
      <c r="E38" s="253"/>
      <c r="F38" s="253"/>
      <c r="G38" s="253"/>
      <c r="H38" s="253"/>
      <c r="I38" s="120">
        <f>I36+I37</f>
        <v>-224.62999999999982</v>
      </c>
      <c r="J38" s="120">
        <f t="shared" ref="J38:R38" si="7">J36+J37</f>
        <v>-327.23999999999859</v>
      </c>
      <c r="K38" s="120">
        <f t="shared" si="7"/>
        <v>-332.93999999999869</v>
      </c>
      <c r="L38" s="120">
        <f t="shared" si="7"/>
        <v>358.8965000000025</v>
      </c>
      <c r="M38" s="120">
        <f t="shared" si="7"/>
        <v>377.93149999999832</v>
      </c>
      <c r="N38" s="120">
        <f t="shared" si="7"/>
        <v>2468.004905898335</v>
      </c>
      <c r="O38" s="120">
        <f t="shared" si="7"/>
        <v>4763.8443428785131</v>
      </c>
      <c r="P38" s="120">
        <f t="shared" si="7"/>
        <v>7365.3926070038633</v>
      </c>
      <c r="Q38" s="120">
        <f t="shared" si="7"/>
        <v>10330.024928582447</v>
      </c>
      <c r="R38" s="120">
        <f t="shared" si="7"/>
        <v>13674.401875971609</v>
      </c>
    </row>
    <row r="41" spans="3:18" x14ac:dyDescent="0.2">
      <c r="C41" s="253" t="s">
        <v>464</v>
      </c>
      <c r="D41" s="253"/>
      <c r="E41" s="253"/>
      <c r="F41" s="253"/>
      <c r="G41" s="253"/>
      <c r="H41" s="253"/>
      <c r="I41" s="120">
        <f>I38+I35+I30+I29</f>
        <v>567.70000000000016</v>
      </c>
      <c r="J41" s="120">
        <f t="shared" ref="J41:R41" si="8">J38+J35+J30+J29</f>
        <v>507.0900000000014</v>
      </c>
      <c r="K41" s="120">
        <f t="shared" si="8"/>
        <v>433.1500000000014</v>
      </c>
      <c r="L41" s="120">
        <f t="shared" si="8"/>
        <v>1194.1165000000024</v>
      </c>
      <c r="M41" s="120">
        <f t="shared" si="8"/>
        <v>1229.0314999999985</v>
      </c>
      <c r="N41" s="120">
        <f t="shared" si="8"/>
        <v>3281.7249058983348</v>
      </c>
      <c r="O41" s="120">
        <f t="shared" si="8"/>
        <v>5531.0243428785134</v>
      </c>
      <c r="P41" s="120">
        <f t="shared" si="8"/>
        <v>8148.6426070038633</v>
      </c>
      <c r="Q41" s="120">
        <f t="shared" si="8"/>
        <v>11104.594928582448</v>
      </c>
      <c r="R41" s="120">
        <f t="shared" si="8"/>
        <v>14442.61187597161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8"/>
  <sheetViews>
    <sheetView tabSelected="1" workbookViewId="0">
      <selection activeCell="C13" sqref="C13"/>
    </sheetView>
  </sheetViews>
  <sheetFormatPr defaultRowHeight="12.75" x14ac:dyDescent="0.2"/>
  <cols>
    <col min="2" max="2" width="25.140625" customWidth="1"/>
    <col min="3" max="10" width="9.7109375" bestFit="1" customWidth="1"/>
  </cols>
  <sheetData>
    <row r="1" spans="2:24" ht="18" x14ac:dyDescent="0.25">
      <c r="B1" s="209"/>
      <c r="C1" s="209" t="s">
        <v>432</v>
      </c>
    </row>
    <row r="2" spans="2:24" ht="18" x14ac:dyDescent="0.25">
      <c r="B2" s="209"/>
      <c r="C2" s="210" t="s">
        <v>434</v>
      </c>
    </row>
    <row r="3" spans="2:24" ht="18" x14ac:dyDescent="0.25">
      <c r="B3" s="209" t="s">
        <v>433</v>
      </c>
    </row>
    <row r="4" spans="2:24" x14ac:dyDescent="0.2">
      <c r="C4" s="24">
        <v>44651</v>
      </c>
      <c r="D4" s="24">
        <v>45016</v>
      </c>
      <c r="E4" s="24">
        <v>45382</v>
      </c>
      <c r="F4" s="24">
        <v>45747</v>
      </c>
      <c r="G4" s="24">
        <v>46112</v>
      </c>
      <c r="H4" s="24">
        <v>46477</v>
      </c>
      <c r="I4" s="24">
        <v>46843</v>
      </c>
      <c r="J4" s="24">
        <v>47208</v>
      </c>
    </row>
    <row r="5" spans="2:24" x14ac:dyDescent="0.2">
      <c r="C5" s="27" t="s">
        <v>303</v>
      </c>
      <c r="D5" s="27" t="s">
        <v>303</v>
      </c>
      <c r="E5" s="27" t="s">
        <v>303</v>
      </c>
      <c r="F5" s="27" t="s">
        <v>303</v>
      </c>
      <c r="G5" s="27" t="s">
        <v>303</v>
      </c>
      <c r="H5" s="27" t="s">
        <v>303</v>
      </c>
      <c r="I5" s="27" t="s">
        <v>303</v>
      </c>
      <c r="J5" s="27" t="s">
        <v>303</v>
      </c>
    </row>
    <row r="6" spans="2:24" x14ac:dyDescent="0.2">
      <c r="B6" s="115" t="s">
        <v>421</v>
      </c>
      <c r="C6" s="102">
        <f t="shared" ref="C6:J6" si="0">ROUND(C8/C7,2)</f>
        <v>1.19</v>
      </c>
      <c r="D6" s="102">
        <f t="shared" si="0"/>
        <v>3.13</v>
      </c>
      <c r="E6" s="102">
        <f t="shared" si="0"/>
        <v>3.35</v>
      </c>
      <c r="F6" s="102">
        <f t="shared" si="0"/>
        <v>3.84</v>
      </c>
      <c r="G6" s="102">
        <f t="shared" si="0"/>
        <v>4.16</v>
      </c>
      <c r="H6" s="102">
        <f t="shared" si="0"/>
        <v>4.45</v>
      </c>
      <c r="I6" s="102">
        <f t="shared" si="0"/>
        <v>4.66</v>
      </c>
      <c r="J6" s="102">
        <f t="shared" si="0"/>
        <v>4.83</v>
      </c>
    </row>
    <row r="7" spans="2:24" x14ac:dyDescent="0.2">
      <c r="B7" s="5" t="s">
        <v>33</v>
      </c>
      <c r="C7" s="86">
        <f>'FORM - II'!W74</f>
        <v>376.09000000000009</v>
      </c>
      <c r="D7" s="86">
        <f>'FORM - II'!X74</f>
        <v>381.89</v>
      </c>
      <c r="E7" s="86">
        <f>'FORM - II'!Y74</f>
        <v>366.62000000000006</v>
      </c>
      <c r="F7" s="86">
        <f>'FORM - II'!Z74</f>
        <v>319.89000000000004</v>
      </c>
      <c r="G7" s="86">
        <f>'FORM - II'!AA74</f>
        <v>278.89000000000004</v>
      </c>
      <c r="H7" s="86">
        <f>'FORM - II'!AB74</f>
        <v>260.76000000000005</v>
      </c>
      <c r="I7" s="86">
        <f>'FORM - II'!AC74</f>
        <v>249.04000000000005</v>
      </c>
      <c r="J7" s="86">
        <f>'FORM - II'!AD74</f>
        <v>240.44000000000003</v>
      </c>
      <c r="K7" s="5"/>
      <c r="L7" s="5"/>
      <c r="M7" s="5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</row>
    <row r="8" spans="2:24" x14ac:dyDescent="0.2">
      <c r="B8" s="5" t="s">
        <v>397</v>
      </c>
      <c r="C8" s="153">
        <f>'FORM - II'!W110</f>
        <v>447.15000000000146</v>
      </c>
      <c r="D8" s="153">
        <f>'FORM - II'!X110</f>
        <v>1194.1165000000001</v>
      </c>
      <c r="E8" s="153">
        <f>'FORM - II'!Y110</f>
        <v>1229.0314999999991</v>
      </c>
      <c r="F8" s="153">
        <f>'FORM - II'!Z110</f>
        <v>1229.0314999999991</v>
      </c>
      <c r="G8" s="153">
        <f>'FORM - II'!AA110</f>
        <v>1160.3215</v>
      </c>
      <c r="H8" s="153">
        <f>'FORM - II'!AB110</f>
        <v>1160.3215</v>
      </c>
      <c r="I8" s="153">
        <f>'FORM - II'!AC110</f>
        <v>1160.3215</v>
      </c>
      <c r="J8" s="153">
        <f>'FORM - II'!AD110</f>
        <v>1160.3215</v>
      </c>
      <c r="K8" s="5"/>
      <c r="L8" s="5"/>
      <c r="M8" s="5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</row>
    <row r="9" spans="2:24" x14ac:dyDescent="0.2">
      <c r="B9" s="5" t="s">
        <v>421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3" spans="2:24" x14ac:dyDescent="0.2">
      <c r="B13" s="158" t="s">
        <v>470</v>
      </c>
      <c r="C13" s="156">
        <f>'FORM - III'!W163/'FORM - III'!W45</f>
        <v>1.2176029055059234</v>
      </c>
      <c r="D13" s="156">
        <f>'FORM - III'!X163/'FORM - III'!X45</f>
        <v>1.3152754681334684</v>
      </c>
      <c r="E13" s="156">
        <f>'FORM - III'!Y163/'FORM - III'!Y45</f>
        <v>1.3251074455569163</v>
      </c>
      <c r="F13" s="156">
        <f>'FORM - III'!Z163/'FORM - III'!Z45</f>
        <v>1.3972804509477139</v>
      </c>
      <c r="G13" s="156">
        <f>'FORM - III'!AA163/'FORM - III'!AA45</f>
        <v>1.5292349307867532</v>
      </c>
      <c r="H13" s="156">
        <f>'FORM - III'!AB163/'FORM - III'!AB45</f>
        <v>1.5963608652789267</v>
      </c>
      <c r="I13" s="156">
        <f>'FORM - III'!AC163/'FORM - III'!AC45</f>
        <v>1.6486859334081556</v>
      </c>
      <c r="J13" s="156">
        <f>'FORM - III'!AD163/'FORM - III'!AD45</f>
        <v>1.6503840472673561</v>
      </c>
      <c r="K13" s="82" t="s">
        <v>364</v>
      </c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</row>
    <row r="15" spans="2:24" x14ac:dyDescent="0.2">
      <c r="B15" s="115" t="s">
        <v>396</v>
      </c>
      <c r="C15" s="207"/>
      <c r="D15" s="207">
        <f t="shared" ref="D15:K15" si="1">ROUND(D19/D18,2)</f>
        <v>2.15</v>
      </c>
      <c r="E15" s="207">
        <f t="shared" si="1"/>
        <v>1.37</v>
      </c>
      <c r="F15" s="208">
        <f t="shared" si="1"/>
        <v>1.29</v>
      </c>
      <c r="G15" s="208">
        <f t="shared" si="1"/>
        <v>1.88</v>
      </c>
      <c r="H15" s="208">
        <f t="shared" si="1"/>
        <v>2.71</v>
      </c>
      <c r="I15" s="208">
        <f t="shared" si="1"/>
        <v>2.94</v>
      </c>
      <c r="J15" s="208">
        <f t="shared" si="1"/>
        <v>4.1900000000000004</v>
      </c>
      <c r="K15" s="28">
        <f t="shared" si="1"/>
        <v>2.0099999999999998</v>
      </c>
    </row>
    <row r="16" spans="2:24" x14ac:dyDescent="0.2">
      <c r="B16" s="5" t="s">
        <v>414</v>
      </c>
      <c r="C16" s="92"/>
      <c r="D16" s="92">
        <f>Loans!E39</f>
        <v>174.25444444444446</v>
      </c>
      <c r="E16" s="92">
        <f>Loans!F39</f>
        <v>530.07500000000005</v>
      </c>
      <c r="F16" s="92">
        <f>Loans!G39</f>
        <v>629.90000000000009</v>
      </c>
      <c r="G16" s="92">
        <f>Loans!H39</f>
        <v>339.1805555555556</v>
      </c>
      <c r="H16" s="92">
        <f>Loans!I39</f>
        <v>167.48000000000002</v>
      </c>
      <c r="I16" s="92">
        <f>Loans!J39</f>
        <v>144.96</v>
      </c>
      <c r="J16" s="92">
        <f>Loans!K39</f>
        <v>36.44</v>
      </c>
      <c r="K16" s="92">
        <f>SUM(C16:J16)</f>
        <v>2022.2900000000004</v>
      </c>
      <c r="L16" s="5"/>
      <c r="M16" s="5"/>
      <c r="N16" s="5"/>
      <c r="O16" s="5"/>
      <c r="P16" s="5"/>
      <c r="Q16" s="5"/>
      <c r="R16" s="92"/>
      <c r="S16" s="92"/>
    </row>
    <row r="17" spans="2:22" x14ac:dyDescent="0.2">
      <c r="B17" s="5" t="s">
        <v>33</v>
      </c>
      <c r="C17" s="92"/>
      <c r="D17" s="92">
        <f>'FORM - II'!X108</f>
        <v>381.89</v>
      </c>
      <c r="E17" s="92">
        <f>'FORM - II'!Y108</f>
        <v>366.62000000000006</v>
      </c>
      <c r="F17" s="92">
        <f>'FORM - II'!Z108</f>
        <v>319.89000000000004</v>
      </c>
      <c r="G17" s="92">
        <f>'FORM - II'!AA108</f>
        <v>278.89000000000004</v>
      </c>
      <c r="H17" s="92">
        <f>'FORM - II'!AB108</f>
        <v>260.76000000000005</v>
      </c>
      <c r="I17" s="92">
        <f>'FORM - II'!AC108</f>
        <v>249.04000000000005</v>
      </c>
      <c r="J17" s="92">
        <f>'FORM - II'!AD108</f>
        <v>240.44000000000003</v>
      </c>
      <c r="K17" s="92">
        <f>SUM(C17:J17)</f>
        <v>2097.5300000000002</v>
      </c>
      <c r="L17" s="5"/>
      <c r="M17" s="5"/>
      <c r="N17" s="5"/>
      <c r="O17" s="5"/>
      <c r="P17" s="5"/>
      <c r="Q17" s="5"/>
      <c r="R17" s="5"/>
      <c r="S17" s="5"/>
    </row>
    <row r="18" spans="2:22" x14ac:dyDescent="0.2">
      <c r="B18" s="5" t="s">
        <v>364</v>
      </c>
      <c r="C18" s="92"/>
      <c r="D18" s="92">
        <f t="shared" ref="D18:J18" si="2">SUM(D16:D17)</f>
        <v>556.14444444444439</v>
      </c>
      <c r="E18" s="92">
        <f t="shared" si="2"/>
        <v>896.69500000000016</v>
      </c>
      <c r="F18" s="92">
        <f t="shared" si="2"/>
        <v>949.79000000000019</v>
      </c>
      <c r="G18" s="92">
        <f t="shared" si="2"/>
        <v>618.07055555555564</v>
      </c>
      <c r="H18" s="92">
        <f t="shared" si="2"/>
        <v>428.24000000000007</v>
      </c>
      <c r="I18" s="92">
        <f t="shared" si="2"/>
        <v>394.00000000000006</v>
      </c>
      <c r="J18" s="92">
        <f t="shared" si="2"/>
        <v>276.88</v>
      </c>
      <c r="K18" s="92">
        <f t="shared" ref="K17:K19" si="3">SUM(C18:J18)</f>
        <v>4119.8200000000006</v>
      </c>
      <c r="L18" s="5"/>
      <c r="M18" s="5"/>
      <c r="N18" s="5"/>
      <c r="O18" s="5"/>
      <c r="P18" s="5"/>
      <c r="Q18" s="5"/>
      <c r="R18" s="92"/>
      <c r="S18" s="92"/>
    </row>
    <row r="19" spans="2:22" x14ac:dyDescent="0.2">
      <c r="B19" s="5" t="s">
        <v>397</v>
      </c>
      <c r="C19" s="153"/>
      <c r="D19" s="153">
        <f t="shared" ref="D19:J19" si="4">D8</f>
        <v>1194.1165000000001</v>
      </c>
      <c r="E19" s="153">
        <f t="shared" si="4"/>
        <v>1229.0314999999991</v>
      </c>
      <c r="F19" s="153">
        <f t="shared" si="4"/>
        <v>1229.0314999999991</v>
      </c>
      <c r="G19" s="153">
        <f t="shared" si="4"/>
        <v>1160.3215</v>
      </c>
      <c r="H19" s="153">
        <f t="shared" si="4"/>
        <v>1160.3215</v>
      </c>
      <c r="I19" s="153">
        <f t="shared" si="4"/>
        <v>1160.3215</v>
      </c>
      <c r="J19" s="153">
        <f t="shared" si="4"/>
        <v>1160.3215</v>
      </c>
      <c r="K19" s="92">
        <f t="shared" si="3"/>
        <v>8293.4654999999984</v>
      </c>
      <c r="L19" s="5"/>
      <c r="M19" s="5"/>
      <c r="N19" s="5"/>
      <c r="O19" s="5"/>
      <c r="P19" s="5"/>
      <c r="Q19" s="5"/>
      <c r="R19" s="5"/>
      <c r="S19" s="5"/>
    </row>
    <row r="20" spans="2:22" x14ac:dyDescent="0.2">
      <c r="B20" s="5"/>
      <c r="C20" s="5"/>
      <c r="D20" s="5"/>
      <c r="E20" s="5"/>
      <c r="F20" s="3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92"/>
      <c r="S20" s="92"/>
    </row>
    <row r="21" spans="2:22" x14ac:dyDescent="0.2">
      <c r="B21" s="28" t="s">
        <v>415</v>
      </c>
      <c r="C21" s="28"/>
      <c r="D21" s="102">
        <f>K19/K18</f>
        <v>2.0130650125490912</v>
      </c>
      <c r="E21" s="5"/>
      <c r="F21" s="3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92"/>
      <c r="S21" s="5"/>
    </row>
    <row r="22" spans="2:22" x14ac:dyDescent="0.2">
      <c r="B22" s="5" t="s">
        <v>468</v>
      </c>
      <c r="D22">
        <f>MAX(D15:J15)</f>
        <v>4.1900000000000004</v>
      </c>
    </row>
    <row r="23" spans="2:22" x14ac:dyDescent="0.2">
      <c r="B23" s="5" t="s">
        <v>469</v>
      </c>
      <c r="D23">
        <f>MIN(D15:J15)</f>
        <v>1.29</v>
      </c>
    </row>
    <row r="25" spans="2:22" x14ac:dyDescent="0.2">
      <c r="B25" s="28" t="s">
        <v>416</v>
      </c>
      <c r="D25" s="115">
        <f>ROUND(D26/D27,2)</f>
        <v>1.51</v>
      </c>
      <c r="E25" s="115">
        <f t="shared" ref="E25:I25" si="5">ROUND(E26/E27,2)</f>
        <v>1.07</v>
      </c>
      <c r="F25" s="115">
        <f t="shared" si="5"/>
        <v>0.56000000000000005</v>
      </c>
      <c r="G25" s="115">
        <f t="shared" si="5"/>
        <v>0.3</v>
      </c>
      <c r="H25" s="115">
        <f t="shared" si="5"/>
        <v>0.16</v>
      </c>
      <c r="I25" s="115">
        <f t="shared" si="5"/>
        <v>0.03</v>
      </c>
      <c r="J25" s="115">
        <v>0</v>
      </c>
    </row>
    <row r="26" spans="2:22" x14ac:dyDescent="0.2">
      <c r="B26" s="5" t="s">
        <v>417</v>
      </c>
      <c r="D26" s="120">
        <f>Loans!E40</f>
        <v>1808.1255555555558</v>
      </c>
      <c r="E26" s="120">
        <f>Loans!F40</f>
        <v>1317.9605555555554</v>
      </c>
      <c r="F26" s="120">
        <f>Loans!G40</f>
        <v>688.06055555555565</v>
      </c>
      <c r="G26" s="120">
        <f>Loans!H40</f>
        <v>348.87999999999994</v>
      </c>
      <c r="H26" s="120">
        <f>Loans!I40</f>
        <v>181.39999999999989</v>
      </c>
      <c r="I26" s="120">
        <f>Loans!J40</f>
        <v>36.439999999999898</v>
      </c>
      <c r="J26" s="120">
        <f>Loans!K40</f>
        <v>-1.0302869668521453E-13</v>
      </c>
      <c r="K26" s="120"/>
    </row>
    <row r="27" spans="2:22" x14ac:dyDescent="0.2">
      <c r="B27" s="116" t="s">
        <v>397</v>
      </c>
      <c r="D27" s="206">
        <f t="shared" ref="D27:J27" si="6">D8</f>
        <v>1194.1165000000001</v>
      </c>
      <c r="E27" s="206">
        <f t="shared" si="6"/>
        <v>1229.0314999999991</v>
      </c>
      <c r="F27" s="206">
        <f t="shared" si="6"/>
        <v>1229.0314999999991</v>
      </c>
      <c r="G27" s="206">
        <f t="shared" si="6"/>
        <v>1160.3215</v>
      </c>
      <c r="H27" s="206">
        <f t="shared" si="6"/>
        <v>1160.3215</v>
      </c>
      <c r="I27" s="206">
        <f t="shared" si="6"/>
        <v>1160.3215</v>
      </c>
      <c r="J27" s="206">
        <f t="shared" si="6"/>
        <v>1160.3215</v>
      </c>
      <c r="K27" s="206"/>
    </row>
    <row r="28" spans="2:22" x14ac:dyDescent="0.2">
      <c r="D28" s="206"/>
    </row>
    <row r="30" spans="2:22" hidden="1" x14ac:dyDescent="0.2">
      <c r="B30" s="28" t="s">
        <v>420</v>
      </c>
      <c r="D30" s="116" t="s">
        <v>431</v>
      </c>
    </row>
    <row r="31" spans="2:22" hidden="1" x14ac:dyDescent="0.2">
      <c r="B31" s="5" t="s">
        <v>418</v>
      </c>
      <c r="C31" s="5"/>
      <c r="D31" s="5">
        <f>'FORM - III'!X178</f>
        <v>3962.1100000000015</v>
      </c>
      <c r="E31" s="5">
        <f>'FORM - III'!Y178</f>
        <v>3572.1100000000015</v>
      </c>
      <c r="F31" s="5">
        <f>'FORM - III'!Z178</f>
        <v>3182.1100000000015</v>
      </c>
      <c r="G31" s="5">
        <f>'FORM - III'!AA178</f>
        <v>2792.1100000000015</v>
      </c>
      <c r="H31" s="5">
        <f>'FORM - III'!AB178</f>
        <v>2552.1100000000015</v>
      </c>
      <c r="I31" s="5">
        <f>'FORM - III'!AC178</f>
        <v>2787.1100000000015</v>
      </c>
      <c r="J31" s="5">
        <f>'FORM - III'!AD178</f>
        <v>3197.1100000000015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78"/>
      <c r="V31" s="78"/>
    </row>
    <row r="32" spans="2:22" hidden="1" x14ac:dyDescent="0.2">
      <c r="B32" s="5" t="s">
        <v>419</v>
      </c>
      <c r="C32" s="5"/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2:22" x14ac:dyDescent="0.2">
      <c r="C33" s="5"/>
      <c r="D33" s="5"/>
      <c r="E33" s="5"/>
      <c r="F33" s="5"/>
      <c r="G33" s="5"/>
      <c r="H33" s="5"/>
      <c r="I33" s="3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5" spans="2:22" x14ac:dyDescent="0.2">
      <c r="B35" s="150" t="s">
        <v>471</v>
      </c>
      <c r="C35" s="150">
        <v>2022</v>
      </c>
      <c r="D35" s="150">
        <v>2023</v>
      </c>
      <c r="E35" s="150">
        <v>2024</v>
      </c>
      <c r="F35" s="150">
        <v>2025</v>
      </c>
      <c r="G35" s="150">
        <v>2026</v>
      </c>
      <c r="H35" s="150">
        <v>2027</v>
      </c>
      <c r="I35" s="150">
        <v>2028</v>
      </c>
      <c r="J35" s="150">
        <v>2029</v>
      </c>
    </row>
    <row r="36" spans="2:22" x14ac:dyDescent="0.2">
      <c r="B36" t="str">
        <f>B6</f>
        <v>Interest Coverage Ratio</v>
      </c>
      <c r="C36">
        <f t="shared" ref="C36:J36" si="7">C6</f>
        <v>1.19</v>
      </c>
      <c r="D36">
        <f t="shared" si="7"/>
        <v>3.13</v>
      </c>
      <c r="E36">
        <f t="shared" si="7"/>
        <v>3.35</v>
      </c>
      <c r="F36">
        <f t="shared" si="7"/>
        <v>3.84</v>
      </c>
      <c r="G36">
        <f t="shared" si="7"/>
        <v>4.16</v>
      </c>
      <c r="H36">
        <f t="shared" si="7"/>
        <v>4.45</v>
      </c>
      <c r="I36">
        <f t="shared" si="7"/>
        <v>4.66</v>
      </c>
      <c r="J36">
        <f t="shared" si="7"/>
        <v>4.83</v>
      </c>
    </row>
    <row r="37" spans="2:22" x14ac:dyDescent="0.2">
      <c r="B37" s="256" t="str">
        <f>B13</f>
        <v>CURRENT RATIO</v>
      </c>
      <c r="C37" s="256">
        <f t="shared" ref="C37:J37" si="8">C13</f>
        <v>1.2176029055059234</v>
      </c>
      <c r="D37" s="256">
        <f t="shared" si="8"/>
        <v>1.3152754681334684</v>
      </c>
      <c r="E37" s="256">
        <f t="shared" si="8"/>
        <v>1.3251074455569163</v>
      </c>
      <c r="F37" s="256">
        <f t="shared" si="8"/>
        <v>1.3972804509477139</v>
      </c>
      <c r="G37" s="256">
        <f t="shared" si="8"/>
        <v>1.5292349307867532</v>
      </c>
      <c r="H37" s="256">
        <f t="shared" si="8"/>
        <v>1.5963608652789267</v>
      </c>
      <c r="I37" s="256">
        <f t="shared" si="8"/>
        <v>1.6486859334081556</v>
      </c>
      <c r="J37" s="256">
        <f t="shared" si="8"/>
        <v>1.6503840472673561</v>
      </c>
    </row>
    <row r="38" spans="2:22" x14ac:dyDescent="0.2">
      <c r="B38" t="str">
        <f>B15</f>
        <v>DSCR</v>
      </c>
      <c r="D38">
        <f t="shared" ref="D38:J38" si="9">D15</f>
        <v>2.15</v>
      </c>
      <c r="E38">
        <f t="shared" si="9"/>
        <v>1.37</v>
      </c>
      <c r="F38">
        <f t="shared" si="9"/>
        <v>1.29</v>
      </c>
      <c r="G38">
        <f t="shared" si="9"/>
        <v>1.88</v>
      </c>
      <c r="H38">
        <f t="shared" si="9"/>
        <v>2.71</v>
      </c>
      <c r="I38">
        <f t="shared" si="9"/>
        <v>2.94</v>
      </c>
      <c r="J38">
        <f t="shared" si="9"/>
        <v>4.1900000000000004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11"/>
  <sheetViews>
    <sheetView workbookViewId="0">
      <selection activeCell="G14" sqref="G14"/>
    </sheetView>
  </sheetViews>
  <sheetFormatPr defaultRowHeight="12.75" x14ac:dyDescent="0.2"/>
  <cols>
    <col min="4" max="4" width="27.140625" bestFit="1" customWidth="1"/>
    <col min="5" max="5" width="7.5703125" bestFit="1" customWidth="1"/>
  </cols>
  <sheetData>
    <row r="4" spans="3:15" x14ac:dyDescent="0.2">
      <c r="D4" s="51"/>
      <c r="E4" s="5">
        <v>2019</v>
      </c>
      <c r="F4" s="5">
        <v>2020</v>
      </c>
      <c r="G4" s="5">
        <v>2021</v>
      </c>
      <c r="H4" s="5">
        <v>2022</v>
      </c>
      <c r="I4" s="5">
        <v>2023</v>
      </c>
      <c r="J4" s="5">
        <v>2024</v>
      </c>
      <c r="K4" s="5">
        <v>2025</v>
      </c>
      <c r="L4" s="5">
        <v>2026</v>
      </c>
      <c r="M4" s="5">
        <v>2027</v>
      </c>
      <c r="N4" s="5">
        <v>2028</v>
      </c>
      <c r="O4" s="5">
        <v>2029</v>
      </c>
    </row>
    <row r="5" spans="3:15" x14ac:dyDescent="0.2">
      <c r="D5" s="52" t="s">
        <v>339</v>
      </c>
      <c r="E5" s="2">
        <v>9212.1200000000008</v>
      </c>
      <c r="F5" s="2">
        <f>E11</f>
        <v>8783.4600000000009</v>
      </c>
      <c r="G5" s="2">
        <f>9092.65+23.79+49.94</f>
        <v>9166.380000000001</v>
      </c>
      <c r="H5" s="2">
        <f>G11</f>
        <v>8819.7800000000007</v>
      </c>
      <c r="I5" s="2">
        <f>H11</f>
        <v>8413.3744130944597</v>
      </c>
      <c r="J5" s="2">
        <f t="shared" ref="J5:O5" si="0">I11</f>
        <v>8075.6955405817998</v>
      </c>
      <c r="K5" s="2">
        <f t="shared" si="0"/>
        <v>7703.5765324159947</v>
      </c>
      <c r="L5" s="2">
        <f t="shared" si="0"/>
        <v>7348.6043514853736</v>
      </c>
      <c r="M5" s="2">
        <f t="shared" si="0"/>
        <v>7009.9888911902162</v>
      </c>
      <c r="N5" s="2">
        <f t="shared" si="0"/>
        <v>7556.9764521582365</v>
      </c>
      <c r="O5" s="2">
        <f t="shared" si="0"/>
        <v>7808.7594387780027</v>
      </c>
    </row>
    <row r="6" spans="3:15" x14ac:dyDescent="0.2">
      <c r="D6" s="52" t="s">
        <v>132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3:15" x14ac:dyDescent="0.2">
      <c r="C7" s="114">
        <f>AVERAGE(E8:G8)</f>
        <v>4.6078880301497351E-2</v>
      </c>
      <c r="D7" s="52" t="s">
        <v>465</v>
      </c>
      <c r="E7" s="86">
        <f>'FORM - II'!T42</f>
        <v>428.66</v>
      </c>
      <c r="F7" s="86">
        <f>'FORM - II'!U42</f>
        <v>419.95</v>
      </c>
      <c r="G7" s="86">
        <f>'FORM - II'!V42</f>
        <v>402.34</v>
      </c>
      <c r="H7" s="5">
        <f>H5*$C$7</f>
        <v>406.40558690554036</v>
      </c>
      <c r="I7" s="5">
        <f t="shared" ref="I7:O7" si="1">I5*$C$7</f>
        <v>387.67887251266012</v>
      </c>
      <c r="J7" s="5">
        <f t="shared" si="1"/>
        <v>372.1190081658047</v>
      </c>
      <c r="K7" s="5">
        <f t="shared" si="1"/>
        <v>354.97218093062065</v>
      </c>
      <c r="L7" s="5">
        <f t="shared" si="1"/>
        <v>338.61546029515711</v>
      </c>
      <c r="M7" s="5">
        <f t="shared" si="1"/>
        <v>323.01243903198014</v>
      </c>
      <c r="N7" s="5">
        <f t="shared" si="1"/>
        <v>348.21701338023348</v>
      </c>
      <c r="O7" s="5">
        <f t="shared" si="1"/>
        <v>359.81889148263923</v>
      </c>
    </row>
    <row r="8" spans="3:15" x14ac:dyDescent="0.2">
      <c r="D8" s="52" t="s">
        <v>466</v>
      </c>
      <c r="E8" s="259">
        <f>E7/E5</f>
        <v>4.6532177175286467E-2</v>
      </c>
      <c r="F8" s="259">
        <f>F7/F5</f>
        <v>4.7811454711469054E-2</v>
      </c>
      <c r="G8" s="259">
        <f>G7/G5</f>
        <v>4.3893009017736545E-2</v>
      </c>
      <c r="H8" s="259">
        <f t="shared" ref="H8:O8" si="2">H7/H5</f>
        <v>4.6078880301497351E-2</v>
      </c>
      <c r="I8" s="259">
        <f t="shared" si="2"/>
        <v>4.6078880301497351E-2</v>
      </c>
      <c r="J8" s="259">
        <f t="shared" si="2"/>
        <v>4.6078880301497351E-2</v>
      </c>
      <c r="K8" s="259">
        <f t="shared" si="2"/>
        <v>4.6078880301497351E-2</v>
      </c>
      <c r="L8" s="259">
        <f t="shared" si="2"/>
        <v>4.6078880301497351E-2</v>
      </c>
      <c r="M8" s="259">
        <f t="shared" si="2"/>
        <v>4.6078880301497357E-2</v>
      </c>
      <c r="N8" s="259">
        <f t="shared" si="2"/>
        <v>4.6078880301497351E-2</v>
      </c>
      <c r="O8" s="259">
        <f t="shared" si="2"/>
        <v>4.6078880301497351E-2</v>
      </c>
    </row>
    <row r="9" spans="3:15" x14ac:dyDescent="0.2">
      <c r="D9" s="52" t="s">
        <v>467</v>
      </c>
      <c r="E9" s="1">
        <v>0</v>
      </c>
      <c r="F9" s="1">
        <v>0</v>
      </c>
      <c r="G9" s="1">
        <f>55.54+0.2</f>
        <v>55.74</v>
      </c>
      <c r="H9" s="1">
        <v>0</v>
      </c>
      <c r="I9" s="1">
        <v>50</v>
      </c>
      <c r="J9" s="1">
        <v>0</v>
      </c>
      <c r="K9" s="1"/>
      <c r="L9" s="1">
        <v>0</v>
      </c>
      <c r="M9" s="1">
        <v>870</v>
      </c>
      <c r="N9" s="1">
        <v>600</v>
      </c>
      <c r="O9" s="1">
        <v>850</v>
      </c>
    </row>
    <row r="10" spans="3:15" x14ac:dyDescent="0.2">
      <c r="D10" s="52" t="s">
        <v>443</v>
      </c>
      <c r="E10" s="1"/>
      <c r="F10" s="1"/>
      <c r="G10" s="1">
        <v>34.75</v>
      </c>
      <c r="H10" s="1"/>
      <c r="I10" s="1"/>
      <c r="J10" s="1"/>
      <c r="K10" s="1"/>
      <c r="L10" s="1"/>
      <c r="M10" s="1"/>
      <c r="N10" s="1"/>
      <c r="O10" s="1"/>
    </row>
    <row r="11" spans="3:15" x14ac:dyDescent="0.2">
      <c r="D11" s="51" t="s">
        <v>364</v>
      </c>
      <c r="E11" s="92">
        <f>E5-E7+E9</f>
        <v>8783.4600000000009</v>
      </c>
      <c r="F11" s="92">
        <f t="shared" ref="F11:O11" si="3">F5-F7+F9</f>
        <v>8363.51</v>
      </c>
      <c r="G11" s="92">
        <f t="shared" si="3"/>
        <v>8819.7800000000007</v>
      </c>
      <c r="H11" s="92">
        <f t="shared" si="3"/>
        <v>8413.3744130944597</v>
      </c>
      <c r="I11" s="92">
        <f>I5-I7+I9</f>
        <v>8075.6955405817998</v>
      </c>
      <c r="J11" s="92">
        <f t="shared" si="3"/>
        <v>7703.5765324159947</v>
      </c>
      <c r="K11" s="92">
        <f t="shared" si="3"/>
        <v>7348.6043514853736</v>
      </c>
      <c r="L11" s="92">
        <f t="shared" si="3"/>
        <v>7009.9888911902162</v>
      </c>
      <c r="M11" s="92">
        <f t="shared" si="3"/>
        <v>7556.9764521582365</v>
      </c>
      <c r="N11" s="92">
        <f t="shared" si="3"/>
        <v>7808.7594387780027</v>
      </c>
      <c r="O11" s="92">
        <f t="shared" si="3"/>
        <v>8298.9405472953622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C3:AN253"/>
  <sheetViews>
    <sheetView topLeftCell="D7" zoomScaleNormal="100" workbookViewId="0">
      <pane ySplit="2" topLeftCell="A185" activePane="bottomLeft" state="frozen"/>
      <selection activeCell="B7" sqref="B7"/>
      <selection pane="bottomLeft" activeCell="W81" sqref="W81:AE81"/>
    </sheetView>
  </sheetViews>
  <sheetFormatPr defaultRowHeight="12.75" x14ac:dyDescent="0.2"/>
  <cols>
    <col min="1" max="2" width="2.5703125" style="5" customWidth="1"/>
    <col min="3" max="3" width="3.5703125" style="5" customWidth="1"/>
    <col min="4" max="4" width="35.7109375" style="5" customWidth="1"/>
    <col min="5" max="7" width="13.140625" style="5" hidden="1" customWidth="1"/>
    <col min="8" max="11" width="9.5703125" style="5" hidden="1" customWidth="1"/>
    <col min="12" max="12" width="9.28515625" style="5" hidden="1" customWidth="1"/>
    <col min="13" max="14" width="9.7109375" style="5" hidden="1" customWidth="1"/>
    <col min="15" max="15" width="10.28515625" style="5" hidden="1" customWidth="1"/>
    <col min="16" max="16" width="10" style="5" hidden="1" customWidth="1"/>
    <col min="17" max="17" width="0.140625" style="5" hidden="1" customWidth="1"/>
    <col min="18" max="18" width="9.85546875" style="5" hidden="1" customWidth="1"/>
    <col min="19" max="19" width="9.42578125" style="5" hidden="1" customWidth="1"/>
    <col min="20" max="20" width="9.42578125" style="5" customWidth="1"/>
    <col min="21" max="21" width="9.85546875" style="5" customWidth="1"/>
    <col min="22" max="22" width="10.28515625" style="5" customWidth="1"/>
    <col min="23" max="23" width="10.42578125" style="5" customWidth="1"/>
    <col min="24" max="30" width="13.28515625" style="5" customWidth="1"/>
    <col min="31" max="36" width="9.140625" style="5"/>
    <col min="37" max="37" width="10.7109375" style="5" customWidth="1"/>
    <col min="38" max="38" width="10.28515625" style="5" customWidth="1"/>
    <col min="39" max="39" width="10.5703125" style="5" customWidth="1"/>
    <col min="40" max="40" width="10.140625" style="5" customWidth="1"/>
    <col min="41" max="16384" width="9.140625" style="5"/>
  </cols>
  <sheetData>
    <row r="3" spans="3:30" ht="15.75" x14ac:dyDescent="0.25">
      <c r="D3" s="282" t="s">
        <v>302</v>
      </c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</row>
    <row r="4" spans="3:30" x14ac:dyDescent="0.2">
      <c r="C4" s="51"/>
      <c r="D4" s="280"/>
      <c r="E4" s="280"/>
      <c r="F4" s="280"/>
      <c r="G4" s="280"/>
    </row>
    <row r="5" spans="3:30" x14ac:dyDescent="0.2">
      <c r="C5" s="51"/>
      <c r="D5" s="29" t="s">
        <v>317</v>
      </c>
      <c r="E5" s="16"/>
      <c r="F5" s="16"/>
      <c r="G5" s="16"/>
    </row>
    <row r="6" spans="3:30" x14ac:dyDescent="0.2">
      <c r="C6" s="51"/>
      <c r="D6" s="29" t="s">
        <v>318</v>
      </c>
      <c r="E6" s="16"/>
      <c r="F6" s="16"/>
      <c r="G6" s="16"/>
      <c r="U6" s="279" t="s">
        <v>328</v>
      </c>
      <c r="V6" s="279"/>
      <c r="W6" s="279"/>
    </row>
    <row r="7" spans="3:30" x14ac:dyDescent="0.2">
      <c r="C7" s="49"/>
      <c r="D7" s="49"/>
      <c r="E7" s="20" t="s">
        <v>1</v>
      </c>
      <c r="F7" s="21" t="s">
        <v>2</v>
      </c>
      <c r="G7" s="22"/>
      <c r="H7" s="23"/>
      <c r="I7" s="23">
        <v>39538</v>
      </c>
      <c r="J7" s="24">
        <v>39903</v>
      </c>
      <c r="K7" s="24">
        <v>40268</v>
      </c>
      <c r="L7" s="24">
        <v>40633</v>
      </c>
      <c r="M7" s="24">
        <v>40999</v>
      </c>
      <c r="N7" s="24">
        <v>41364</v>
      </c>
      <c r="O7" s="24">
        <v>41729</v>
      </c>
      <c r="P7" s="24">
        <v>42094</v>
      </c>
      <c r="Q7" s="24">
        <v>42460</v>
      </c>
      <c r="R7" s="24">
        <v>42825</v>
      </c>
      <c r="S7" s="24">
        <v>43190</v>
      </c>
      <c r="T7" s="24">
        <v>43555</v>
      </c>
      <c r="U7" s="24">
        <v>43921</v>
      </c>
      <c r="V7" s="24">
        <v>44286</v>
      </c>
      <c r="W7" s="24">
        <v>44651</v>
      </c>
      <c r="X7" s="24">
        <v>45016</v>
      </c>
      <c r="Y7" s="24">
        <v>45382</v>
      </c>
      <c r="Z7" s="24">
        <v>45747</v>
      </c>
      <c r="AA7" s="24">
        <v>46112</v>
      </c>
      <c r="AB7" s="24">
        <v>46477</v>
      </c>
      <c r="AC7" s="24">
        <v>46843</v>
      </c>
      <c r="AD7" s="24">
        <v>47208</v>
      </c>
    </row>
    <row r="8" spans="3:30" x14ac:dyDescent="0.2">
      <c r="C8" s="50"/>
      <c r="D8" s="50"/>
      <c r="E8" s="25" t="s">
        <v>3</v>
      </c>
      <c r="F8" s="26" t="s">
        <v>3</v>
      </c>
      <c r="G8" s="26"/>
      <c r="H8" s="27"/>
      <c r="I8" s="27" t="s">
        <v>3</v>
      </c>
      <c r="J8" s="27" t="s">
        <v>3</v>
      </c>
      <c r="K8" s="27" t="s">
        <v>3</v>
      </c>
      <c r="L8" s="27" t="s">
        <v>3</v>
      </c>
      <c r="M8" s="27" t="s">
        <v>3</v>
      </c>
      <c r="N8" s="27"/>
      <c r="O8" s="27"/>
      <c r="P8" s="27" t="s">
        <v>3</v>
      </c>
      <c r="Q8" s="27" t="s">
        <v>3</v>
      </c>
      <c r="R8" s="27" t="s">
        <v>3</v>
      </c>
      <c r="S8" s="27" t="s">
        <v>3</v>
      </c>
      <c r="T8" s="27" t="s">
        <v>3</v>
      </c>
      <c r="U8" s="27" t="s">
        <v>3</v>
      </c>
      <c r="V8" s="27" t="s">
        <v>442</v>
      </c>
      <c r="W8" s="27" t="s">
        <v>303</v>
      </c>
      <c r="X8" s="27" t="s">
        <v>303</v>
      </c>
      <c r="Y8" s="27" t="s">
        <v>303</v>
      </c>
      <c r="Z8" s="27" t="s">
        <v>303</v>
      </c>
      <c r="AA8" s="27" t="s">
        <v>303</v>
      </c>
      <c r="AB8" s="27" t="s">
        <v>303</v>
      </c>
      <c r="AC8" s="27" t="s">
        <v>303</v>
      </c>
      <c r="AD8" s="27" t="s">
        <v>303</v>
      </c>
    </row>
    <row r="9" spans="3:30" x14ac:dyDescent="0.2">
      <c r="C9" s="51"/>
      <c r="D9" s="75" t="s">
        <v>183</v>
      </c>
      <c r="K9" s="3"/>
    </row>
    <row r="10" spans="3:30" x14ac:dyDescent="0.2">
      <c r="C10" s="10" t="s">
        <v>4</v>
      </c>
      <c r="D10" s="52" t="s">
        <v>51</v>
      </c>
      <c r="G10" s="51"/>
      <c r="K10" s="3"/>
    </row>
    <row r="11" spans="3:30" x14ac:dyDescent="0.2">
      <c r="C11" s="10"/>
      <c r="D11" s="52" t="s">
        <v>52</v>
      </c>
      <c r="G11" s="51"/>
      <c r="K11" s="3"/>
    </row>
    <row r="12" spans="3:30" x14ac:dyDescent="0.2">
      <c r="C12" s="10"/>
      <c r="D12" s="52" t="s">
        <v>53</v>
      </c>
      <c r="G12" s="51"/>
      <c r="K12" s="3"/>
    </row>
    <row r="13" spans="3:30" x14ac:dyDescent="0.2">
      <c r="C13" s="10"/>
      <c r="D13" s="52" t="s">
        <v>54</v>
      </c>
      <c r="G13" s="51"/>
      <c r="K13" s="3"/>
    </row>
    <row r="14" spans="3:30" x14ac:dyDescent="0.2">
      <c r="C14" s="10"/>
      <c r="D14" s="51"/>
      <c r="G14" s="51"/>
      <c r="K14" s="3"/>
    </row>
    <row r="15" spans="3:30" x14ac:dyDescent="0.2">
      <c r="C15" s="10"/>
      <c r="D15" s="52" t="s">
        <v>55</v>
      </c>
      <c r="E15" s="51">
        <v>429.51</v>
      </c>
      <c r="F15" s="51">
        <v>408.44</v>
      </c>
      <c r="G15" s="10">
        <v>0</v>
      </c>
      <c r="H15" s="1">
        <v>668.38</v>
      </c>
      <c r="I15" s="1">
        <v>693.65</v>
      </c>
      <c r="J15" s="4">
        <v>936.1</v>
      </c>
      <c r="K15" s="2">
        <v>931.42</v>
      </c>
      <c r="L15" s="4">
        <v>1588.17</v>
      </c>
      <c r="M15" s="4">
        <v>1885.19</v>
      </c>
      <c r="N15" s="4">
        <v>2235.29</v>
      </c>
      <c r="O15" s="4">
        <v>2493.31</v>
      </c>
      <c r="P15" s="4">
        <v>2602.0300000000002</v>
      </c>
      <c r="Q15" s="4">
        <v>2639.26</v>
      </c>
      <c r="R15" s="4">
        <v>2653.82</v>
      </c>
      <c r="S15" s="4">
        <v>2607.44</v>
      </c>
      <c r="T15" s="4">
        <v>2702.42</v>
      </c>
      <c r="U15" s="4">
        <v>2801.97</v>
      </c>
      <c r="V15" s="4">
        <v>2674.77</v>
      </c>
      <c r="W15" s="4">
        <v>2000</v>
      </c>
      <c r="X15" s="4">
        <v>2000</v>
      </c>
      <c r="Y15" s="4">
        <v>2000</v>
      </c>
      <c r="Z15" s="4">
        <v>2000</v>
      </c>
      <c r="AA15" s="4">
        <v>2000</v>
      </c>
      <c r="AB15" s="4">
        <v>2000</v>
      </c>
      <c r="AC15" s="4">
        <v>2000</v>
      </c>
      <c r="AD15" s="4">
        <v>2000</v>
      </c>
    </row>
    <row r="16" spans="3:30" x14ac:dyDescent="0.2">
      <c r="C16" s="10"/>
      <c r="D16" s="52" t="s">
        <v>56</v>
      </c>
      <c r="E16" s="51">
        <v>73.319999999999993</v>
      </c>
      <c r="F16" s="56">
        <v>61.6</v>
      </c>
      <c r="G16" s="66">
        <v>395.86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</row>
    <row r="17" spans="3:30" x14ac:dyDescent="0.2">
      <c r="C17" s="10"/>
      <c r="D17" s="51"/>
      <c r="E17" s="51"/>
      <c r="G17" s="9"/>
      <c r="H17" s="9"/>
      <c r="J17" s="9"/>
      <c r="K17" s="3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</row>
    <row r="18" spans="3:30" x14ac:dyDescent="0.2">
      <c r="C18" s="10"/>
      <c r="D18" s="52" t="s">
        <v>57</v>
      </c>
      <c r="E18" s="51"/>
      <c r="G18" s="9"/>
      <c r="H18" s="9"/>
      <c r="K18" s="3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</row>
    <row r="19" spans="3:30" x14ac:dyDescent="0.2">
      <c r="C19" s="10"/>
      <c r="D19" s="51"/>
      <c r="E19" s="51"/>
      <c r="G19" s="9"/>
      <c r="H19" s="9"/>
      <c r="K19" s="3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</row>
    <row r="20" spans="3:30" x14ac:dyDescent="0.2">
      <c r="C20" s="10"/>
      <c r="D20" s="29" t="s">
        <v>58</v>
      </c>
      <c r="E20" s="31">
        <f t="shared" ref="E20:L20" si="0">E15+E16</f>
        <v>502.83</v>
      </c>
      <c r="F20" s="31">
        <f t="shared" si="0"/>
        <v>470.04</v>
      </c>
      <c r="G20" s="16">
        <f t="shared" si="0"/>
        <v>395.86</v>
      </c>
      <c r="H20" s="82">
        <f t="shared" si="0"/>
        <v>668.38</v>
      </c>
      <c r="I20" s="82">
        <f t="shared" si="0"/>
        <v>693.65</v>
      </c>
      <c r="J20" s="80">
        <f t="shared" si="0"/>
        <v>936.1</v>
      </c>
      <c r="K20" s="80">
        <f t="shared" si="0"/>
        <v>931.42</v>
      </c>
      <c r="L20" s="80">
        <f t="shared" si="0"/>
        <v>1588.17</v>
      </c>
      <c r="M20" s="80">
        <f>M15+M16</f>
        <v>1885.19</v>
      </c>
      <c r="N20" s="80">
        <f>N15+N16</f>
        <v>2235.29</v>
      </c>
      <c r="O20" s="80">
        <f t="shared" ref="O20:W20" si="1">O15+O16</f>
        <v>2493.31</v>
      </c>
      <c r="P20" s="80">
        <f t="shared" si="1"/>
        <v>2602.0300000000002</v>
      </c>
      <c r="Q20" s="80">
        <f t="shared" si="1"/>
        <v>2639.26</v>
      </c>
      <c r="R20" s="80">
        <f t="shared" si="1"/>
        <v>2653.82</v>
      </c>
      <c r="S20" s="80">
        <f t="shared" si="1"/>
        <v>2607.44</v>
      </c>
      <c r="T20" s="80">
        <f t="shared" si="1"/>
        <v>2702.42</v>
      </c>
      <c r="U20" s="80">
        <f t="shared" si="1"/>
        <v>2801.97</v>
      </c>
      <c r="V20" s="80">
        <f t="shared" si="1"/>
        <v>2674.77</v>
      </c>
      <c r="W20" s="80">
        <f t="shared" si="1"/>
        <v>2000</v>
      </c>
      <c r="X20" s="80">
        <f t="shared" ref="X20:AD20" si="2">X15+X16</f>
        <v>2000</v>
      </c>
      <c r="Y20" s="80">
        <f t="shared" si="2"/>
        <v>2000</v>
      </c>
      <c r="Z20" s="80">
        <f t="shared" si="2"/>
        <v>2000</v>
      </c>
      <c r="AA20" s="80">
        <f t="shared" si="2"/>
        <v>2000</v>
      </c>
      <c r="AB20" s="80">
        <f t="shared" si="2"/>
        <v>2000</v>
      </c>
      <c r="AC20" s="80">
        <f t="shared" si="2"/>
        <v>2000</v>
      </c>
      <c r="AD20" s="80">
        <f t="shared" si="2"/>
        <v>2000</v>
      </c>
    </row>
    <row r="21" spans="3:30" x14ac:dyDescent="0.2">
      <c r="C21" s="10"/>
      <c r="D21" s="51"/>
      <c r="E21" s="63"/>
      <c r="F21" s="63"/>
      <c r="G21" s="10"/>
      <c r="H21" s="9"/>
      <c r="K21" s="3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</row>
    <row r="22" spans="3:30" x14ac:dyDescent="0.2">
      <c r="C22" s="10" t="s">
        <v>9</v>
      </c>
      <c r="D22" s="52" t="s">
        <v>59</v>
      </c>
      <c r="E22" s="51">
        <v>0</v>
      </c>
      <c r="F22" s="51">
        <v>0</v>
      </c>
      <c r="G22" s="10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f>251.18+68.64</f>
        <v>319.82</v>
      </c>
      <c r="N22" s="1">
        <v>148.69</v>
      </c>
      <c r="O22" s="1">
        <v>42.84</v>
      </c>
      <c r="P22" s="1">
        <v>0</v>
      </c>
      <c r="Q22" s="1">
        <v>0</v>
      </c>
      <c r="R22" s="1">
        <v>190.91</v>
      </c>
      <c r="S22" s="4">
        <v>0</v>
      </c>
      <c r="T22" s="4">
        <v>8.1999999999999993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</row>
    <row r="23" spans="3:30" x14ac:dyDescent="0.2">
      <c r="C23" s="10"/>
      <c r="D23" s="51"/>
      <c r="E23" s="51"/>
      <c r="F23" s="51"/>
      <c r="G23" s="10"/>
      <c r="H23" s="9"/>
      <c r="I23" s="9"/>
      <c r="J23" s="9"/>
      <c r="K23" s="3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</row>
    <row r="24" spans="3:30" x14ac:dyDescent="0.2">
      <c r="C24" s="10" t="s">
        <v>10</v>
      </c>
      <c r="D24" s="52" t="s">
        <v>326</v>
      </c>
      <c r="E24" s="51">
        <v>431.06</v>
      </c>
      <c r="F24" s="51">
        <v>532.73</v>
      </c>
      <c r="G24" s="10">
        <f>'[1]Form-III'!$G$20</f>
        <v>872.88</v>
      </c>
      <c r="H24" s="1">
        <v>699.91</v>
      </c>
      <c r="I24" s="59">
        <v>1008.59</v>
      </c>
      <c r="J24" s="4">
        <v>694.21</v>
      </c>
      <c r="K24" s="2">
        <v>828.47</v>
      </c>
      <c r="L24" s="2">
        <v>1137.6300000000001</v>
      </c>
      <c r="M24" s="2">
        <v>1412.54</v>
      </c>
      <c r="N24" s="2">
        <v>811.09</v>
      </c>
      <c r="O24" s="2">
        <f>945.09-O25</f>
        <v>865.5</v>
      </c>
      <c r="P24" s="2">
        <v>699.12</v>
      </c>
      <c r="Q24" s="2">
        <v>1164.7</v>
      </c>
      <c r="R24" s="2">
        <f>1682.8-R25</f>
        <v>1307.8499999999999</v>
      </c>
      <c r="S24" s="4">
        <f>1994.31-S25</f>
        <v>1692.37</v>
      </c>
      <c r="T24" s="4">
        <v>1201.6500000000001</v>
      </c>
      <c r="U24" s="4">
        <f>1576.31-U25</f>
        <v>1151.31</v>
      </c>
      <c r="V24" s="4">
        <v>899.49</v>
      </c>
      <c r="W24" s="4">
        <f>'FORM - IV'!V58</f>
        <v>625</v>
      </c>
      <c r="X24" s="4">
        <f>'FORM - IV'!W58</f>
        <v>625</v>
      </c>
      <c r="Y24" s="4">
        <f>'FORM - IV'!X58</f>
        <v>625</v>
      </c>
      <c r="Z24" s="4">
        <f>'FORM - IV'!Y58</f>
        <v>625</v>
      </c>
      <c r="AA24" s="4">
        <f>'FORM - IV'!Z58</f>
        <v>400</v>
      </c>
      <c r="AB24" s="4">
        <f>'FORM - IV'!AA58</f>
        <v>300</v>
      </c>
      <c r="AC24" s="4">
        <f>'FORM - IV'!AB58</f>
        <v>300</v>
      </c>
      <c r="AD24" s="4">
        <f>'FORM - IV'!AC58</f>
        <v>300</v>
      </c>
    </row>
    <row r="25" spans="3:30" x14ac:dyDescent="0.2">
      <c r="C25" s="10"/>
      <c r="D25" s="51" t="s">
        <v>327</v>
      </c>
      <c r="E25" s="51"/>
      <c r="F25" s="51"/>
      <c r="G25" s="10"/>
      <c r="H25" s="9"/>
      <c r="I25" s="9"/>
      <c r="J25" s="3"/>
      <c r="K25" s="3"/>
      <c r="L25" s="3"/>
      <c r="M25" s="3"/>
      <c r="N25" s="3"/>
      <c r="O25" s="3">
        <v>79.59</v>
      </c>
      <c r="P25" s="3">
        <v>190.49</v>
      </c>
      <c r="Q25" s="3">
        <v>255.16</v>
      </c>
      <c r="R25" s="3">
        <v>374.95</v>
      </c>
      <c r="S25" s="77">
        <v>301.94</v>
      </c>
      <c r="T25" s="77">
        <v>402.88</v>
      </c>
      <c r="U25" s="77">
        <v>425</v>
      </c>
      <c r="V25" s="77">
        <v>460</v>
      </c>
      <c r="W25" s="77">
        <f>'FORM - IV'!V59</f>
        <v>460</v>
      </c>
      <c r="X25" s="77">
        <f>'FORM - IV'!W59</f>
        <v>460</v>
      </c>
      <c r="Y25" s="77">
        <f>'FORM - IV'!X59</f>
        <v>460</v>
      </c>
      <c r="Z25" s="77">
        <f>'FORM - IV'!Y59</f>
        <v>460</v>
      </c>
      <c r="AA25" s="77">
        <f>'FORM - IV'!Z59</f>
        <v>460</v>
      </c>
      <c r="AB25" s="77">
        <f>'FORM - IV'!AA59</f>
        <v>460</v>
      </c>
      <c r="AC25" s="77">
        <f>'FORM - IV'!AB59</f>
        <v>460</v>
      </c>
      <c r="AD25" s="77">
        <f>'FORM - IV'!AC59</f>
        <v>460</v>
      </c>
    </row>
    <row r="26" spans="3:30" x14ac:dyDescent="0.2">
      <c r="C26" s="10" t="s">
        <v>12</v>
      </c>
      <c r="D26" s="52" t="s">
        <v>60</v>
      </c>
      <c r="E26" s="51">
        <v>12.77</v>
      </c>
      <c r="F26" s="51">
        <v>9.31</v>
      </c>
      <c r="G26" s="10">
        <v>0</v>
      </c>
      <c r="H26" s="1">
        <v>11</v>
      </c>
      <c r="I26" s="1">
        <v>7.43</v>
      </c>
      <c r="J26" s="1">
        <v>6.89</v>
      </c>
      <c r="K26" s="2">
        <v>11.44</v>
      </c>
      <c r="L26" s="2">
        <v>14.82</v>
      </c>
      <c r="M26" s="2">
        <v>81.09</v>
      </c>
      <c r="N26" s="2">
        <v>96.39</v>
      </c>
      <c r="O26" s="2">
        <v>135.30000000000001</v>
      </c>
      <c r="P26" s="2">
        <v>80.52</v>
      </c>
      <c r="Q26" s="2">
        <v>111.66</v>
      </c>
      <c r="R26" s="2">
        <v>147.1</v>
      </c>
      <c r="S26" s="4">
        <v>119.54</v>
      </c>
      <c r="T26" s="4">
        <v>159.62</v>
      </c>
      <c r="U26" s="4">
        <v>247.59</v>
      </c>
      <c r="V26" s="4">
        <v>128.97999999999999</v>
      </c>
      <c r="W26" s="4">
        <f>'FORM - IV'!V62</f>
        <v>100</v>
      </c>
      <c r="X26" s="4">
        <f>'FORM - IV'!W62</f>
        <v>100</v>
      </c>
      <c r="Y26" s="4">
        <f>'FORM - IV'!X62</f>
        <v>100</v>
      </c>
      <c r="Z26" s="4">
        <f>'FORM - IV'!Y62</f>
        <v>100</v>
      </c>
      <c r="AA26" s="4">
        <f>'FORM - IV'!Z62</f>
        <v>100</v>
      </c>
      <c r="AB26" s="4">
        <f>'FORM - IV'!AA62</f>
        <v>100</v>
      </c>
      <c r="AC26" s="4">
        <f>'FORM - IV'!AB62</f>
        <v>100</v>
      </c>
      <c r="AD26" s="4">
        <f>'FORM - IV'!AC62</f>
        <v>100</v>
      </c>
    </row>
    <row r="27" spans="3:30" x14ac:dyDescent="0.2">
      <c r="C27" s="10"/>
      <c r="D27" s="51"/>
      <c r="E27" s="51"/>
      <c r="F27" s="51"/>
      <c r="G27" s="10"/>
      <c r="H27" s="9"/>
      <c r="I27" s="9"/>
      <c r="J27" s="9"/>
      <c r="K27" s="3"/>
      <c r="L27" s="3"/>
      <c r="M27" s="3"/>
      <c r="N27" s="3"/>
      <c r="O27" s="3"/>
      <c r="P27" s="3"/>
      <c r="Q27" s="3"/>
      <c r="R27" s="3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</row>
    <row r="28" spans="3:30" x14ac:dyDescent="0.2">
      <c r="C28" s="10" t="s">
        <v>13</v>
      </c>
      <c r="D28" s="52" t="s">
        <v>61</v>
      </c>
      <c r="E28" s="51">
        <v>0</v>
      </c>
      <c r="F28" s="51">
        <v>0</v>
      </c>
      <c r="G28" s="10">
        <v>0</v>
      </c>
      <c r="H28" s="1">
        <v>0</v>
      </c>
      <c r="I28" s="1">
        <v>0</v>
      </c>
      <c r="J28" s="1">
        <v>0</v>
      </c>
      <c r="K28" s="2">
        <f>32.38-6.51</f>
        <v>25.870000000000005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</row>
    <row r="29" spans="3:30" x14ac:dyDescent="0.2">
      <c r="C29" s="10"/>
      <c r="D29" s="51"/>
      <c r="E29" s="51"/>
      <c r="F29" s="51"/>
      <c r="G29" s="10"/>
      <c r="H29" s="9"/>
      <c r="I29" s="9"/>
      <c r="J29" s="9"/>
      <c r="K29" s="3"/>
      <c r="L29" s="3"/>
      <c r="M29" s="3"/>
      <c r="N29" s="3"/>
      <c r="O29" s="3"/>
      <c r="P29" s="3"/>
      <c r="Q29" s="3"/>
      <c r="R29" s="3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</row>
    <row r="30" spans="3:30" x14ac:dyDescent="0.2">
      <c r="C30" s="10" t="s">
        <v>27</v>
      </c>
      <c r="D30" s="52" t="s">
        <v>62</v>
      </c>
      <c r="E30" s="51">
        <v>0</v>
      </c>
      <c r="F30" s="51">
        <v>0</v>
      </c>
      <c r="G30" s="10">
        <v>0</v>
      </c>
      <c r="H30" s="1">
        <v>0</v>
      </c>
      <c r="I30" s="1">
        <v>0</v>
      </c>
      <c r="J30" s="1">
        <v>0</v>
      </c>
      <c r="K30" s="1">
        <v>44</v>
      </c>
      <c r="L30" s="2">
        <v>76.959999999999994</v>
      </c>
      <c r="M30" s="2">
        <v>6.91</v>
      </c>
      <c r="N30" s="2">
        <v>6.87</v>
      </c>
      <c r="O30" s="2">
        <v>6.86</v>
      </c>
      <c r="P30" s="2">
        <v>6.82</v>
      </c>
      <c r="Q30" s="2">
        <v>6.82</v>
      </c>
      <c r="R30" s="2">
        <v>6.81</v>
      </c>
      <c r="S30" s="4">
        <v>6.79</v>
      </c>
      <c r="T30" s="4">
        <v>6.8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</row>
    <row r="31" spans="3:30" x14ac:dyDescent="0.2">
      <c r="C31" s="10"/>
      <c r="D31" s="51"/>
      <c r="E31" s="51"/>
      <c r="F31" s="51"/>
      <c r="G31" s="10"/>
      <c r="H31" s="9"/>
      <c r="I31" s="9"/>
      <c r="J31" s="9"/>
      <c r="K31" s="3"/>
      <c r="L31" s="3"/>
      <c r="M31" s="3"/>
      <c r="N31" s="3"/>
      <c r="O31" s="3"/>
      <c r="P31" s="3"/>
      <c r="Q31" s="3"/>
      <c r="R31" s="3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</row>
    <row r="32" spans="3:30" x14ac:dyDescent="0.2">
      <c r="C32" s="10" t="s">
        <v>29</v>
      </c>
      <c r="D32" s="52" t="s">
        <v>63</v>
      </c>
      <c r="E32" s="51">
        <v>74.540000000000006</v>
      </c>
      <c r="F32" s="51">
        <v>82.65</v>
      </c>
      <c r="G32" s="10">
        <v>7.73</v>
      </c>
      <c r="H32" s="1">
        <v>73.319999999999993</v>
      </c>
      <c r="I32" s="1">
        <v>78.540000000000006</v>
      </c>
      <c r="J32" s="1">
        <v>67.77</v>
      </c>
      <c r="K32" s="2">
        <v>55.99</v>
      </c>
      <c r="L32" s="2">
        <v>68.3</v>
      </c>
      <c r="M32" s="2">
        <f>83.28</f>
        <v>83.28</v>
      </c>
      <c r="N32" s="2">
        <f>121.75+9.48</f>
        <v>131.22999999999999</v>
      </c>
      <c r="O32" s="2">
        <v>182.36</v>
      </c>
      <c r="P32" s="2">
        <v>59.78</v>
      </c>
      <c r="Q32" s="2">
        <v>93.44</v>
      </c>
      <c r="R32" s="2">
        <v>446.36</v>
      </c>
      <c r="S32" s="4">
        <v>432.68</v>
      </c>
      <c r="T32" s="4">
        <v>654.95000000000005</v>
      </c>
      <c r="U32" s="4">
        <v>265.77</v>
      </c>
      <c r="V32" s="4">
        <v>122</v>
      </c>
      <c r="W32" s="4">
        <f>'FORM - IV'!V64</f>
        <v>75</v>
      </c>
      <c r="X32" s="4">
        <f>'FORM - IV'!W64</f>
        <v>75</v>
      </c>
      <c r="Y32" s="4">
        <f>'FORM - IV'!X64</f>
        <v>75</v>
      </c>
      <c r="Z32" s="4">
        <f>'FORM - IV'!Y64</f>
        <v>75</v>
      </c>
      <c r="AA32" s="4">
        <f>'FORM - IV'!Z64</f>
        <v>75</v>
      </c>
      <c r="AB32" s="4">
        <f>'FORM - IV'!AA64</f>
        <v>75</v>
      </c>
      <c r="AC32" s="4">
        <f>'FORM - IV'!AB64</f>
        <v>75</v>
      </c>
      <c r="AD32" s="4">
        <f>'FORM - IV'!AC64</f>
        <v>75</v>
      </c>
    </row>
    <row r="33" spans="3:31" x14ac:dyDescent="0.2">
      <c r="C33" s="10"/>
      <c r="D33" s="52" t="s">
        <v>64</v>
      </c>
      <c r="E33" s="51"/>
      <c r="F33" s="51"/>
      <c r="G33" s="10"/>
      <c r="H33" s="9"/>
      <c r="I33" s="9"/>
      <c r="J33" s="9"/>
      <c r="K33" s="3"/>
      <c r="L33" s="3"/>
      <c r="M33" s="3"/>
      <c r="N33" s="3"/>
      <c r="O33" s="3"/>
      <c r="P33" s="3"/>
      <c r="Q33" s="3"/>
      <c r="R33" s="3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</row>
    <row r="34" spans="3:31" x14ac:dyDescent="0.2">
      <c r="C34" s="10"/>
      <c r="D34" s="51"/>
      <c r="E34" s="51"/>
      <c r="F34" s="51"/>
      <c r="G34" s="10"/>
      <c r="H34" s="9"/>
      <c r="I34" s="9"/>
      <c r="J34" s="9"/>
      <c r="K34" s="3"/>
      <c r="L34" s="3"/>
      <c r="M34" s="3"/>
      <c r="N34" s="3"/>
      <c r="O34" s="3"/>
      <c r="P34" s="3"/>
      <c r="Q34" s="3"/>
      <c r="R34" s="3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</row>
    <row r="35" spans="3:31" x14ac:dyDescent="0.2">
      <c r="C35" s="10" t="s">
        <v>31</v>
      </c>
      <c r="D35" s="52" t="s">
        <v>65</v>
      </c>
      <c r="E35" s="51"/>
      <c r="F35" s="51"/>
      <c r="G35" s="10"/>
      <c r="H35" s="1"/>
      <c r="I35" s="1"/>
      <c r="J35" s="1"/>
      <c r="K35" s="2"/>
      <c r="L35" s="2"/>
      <c r="M35" s="2"/>
      <c r="N35" s="2"/>
      <c r="O35" s="2"/>
      <c r="P35" s="2"/>
      <c r="Q35" s="2"/>
      <c r="R35" s="2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3:31" x14ac:dyDescent="0.2">
      <c r="C36" s="10"/>
      <c r="D36" s="52" t="s">
        <v>66</v>
      </c>
      <c r="E36" s="51">
        <v>0</v>
      </c>
      <c r="F36" s="51">
        <v>0</v>
      </c>
      <c r="G36" s="10">
        <v>0</v>
      </c>
      <c r="H36" s="1">
        <v>0</v>
      </c>
      <c r="I36" s="1">
        <v>0</v>
      </c>
      <c r="J36" s="1">
        <v>0</v>
      </c>
      <c r="K36" s="1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594.34</v>
      </c>
      <c r="R36" s="2">
        <f>193.25+586.4-R22</f>
        <v>588.74</v>
      </c>
      <c r="S36" s="4">
        <f>13.41+594.24-0.01</f>
        <v>607.64</v>
      </c>
      <c r="T36" s="4">
        <v>44.96</v>
      </c>
      <c r="U36" s="4">
        <v>11.41</v>
      </c>
      <c r="V36" s="287">
        <v>64.34</v>
      </c>
      <c r="W36" s="4">
        <f>ROUND((Loans!E39+28.98),2)</f>
        <v>203.23</v>
      </c>
      <c r="X36" s="4">
        <f>ROUND(Loans!F39,2)</f>
        <v>530.08000000000004</v>
      </c>
      <c r="Y36" s="4">
        <f>ROUND(Loans!G39,2)</f>
        <v>629.9</v>
      </c>
      <c r="Z36" s="4">
        <f>ROUND(Loans!H39,2)</f>
        <v>339.18</v>
      </c>
      <c r="AA36" s="4">
        <f>ROUND(Loans!I39,2)</f>
        <v>167.48</v>
      </c>
      <c r="AB36" s="4">
        <f>ROUND(Loans!J39,2)</f>
        <v>144.96</v>
      </c>
      <c r="AC36" s="4">
        <f>ROUND(Loans!K39,2)</f>
        <v>36.44</v>
      </c>
      <c r="AD36" s="4">
        <v>0</v>
      </c>
      <c r="AE36" s="92">
        <f>SUM(W36:AD36)</f>
        <v>2051.27</v>
      </c>
    </row>
    <row r="37" spans="3:31" x14ac:dyDescent="0.2">
      <c r="C37" s="10"/>
      <c r="D37" s="52" t="s">
        <v>67</v>
      </c>
      <c r="E37" s="51"/>
      <c r="F37" s="51"/>
      <c r="G37" s="10"/>
      <c r="H37" s="9"/>
      <c r="I37" s="9"/>
      <c r="J37" s="9"/>
      <c r="K37" s="3"/>
      <c r="L37" s="3"/>
      <c r="M37" s="3"/>
      <c r="N37" s="3"/>
      <c r="O37" s="3"/>
      <c r="P37" s="3"/>
      <c r="Q37" s="3"/>
      <c r="R37" s="3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</row>
    <row r="38" spans="3:31" x14ac:dyDescent="0.2">
      <c r="C38" s="10"/>
      <c r="D38" s="51"/>
      <c r="E38" s="51"/>
      <c r="F38" s="51"/>
      <c r="G38" s="10"/>
      <c r="H38" s="9"/>
      <c r="I38" s="9"/>
      <c r="J38" s="9"/>
      <c r="K38" s="3"/>
      <c r="L38" s="3"/>
      <c r="M38" s="3"/>
      <c r="N38" s="3"/>
      <c r="O38" s="3"/>
      <c r="P38" s="3"/>
      <c r="Q38" s="3"/>
      <c r="R38" s="3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</row>
    <row r="39" spans="3:31" x14ac:dyDescent="0.2">
      <c r="C39" s="10" t="s">
        <v>32</v>
      </c>
      <c r="D39" s="52" t="s">
        <v>68</v>
      </c>
      <c r="E39" s="51">
        <v>312.44</v>
      </c>
      <c r="F39" s="51">
        <v>340.09</v>
      </c>
      <c r="G39" s="10">
        <v>472.76</v>
      </c>
      <c r="H39" s="1">
        <f>SUM(255.16)</f>
        <v>255.16</v>
      </c>
      <c r="I39" s="1">
        <f>SUM(425.87-92.12)</f>
        <v>333.75</v>
      </c>
      <c r="J39" s="1">
        <v>419.08</v>
      </c>
      <c r="K39" s="2">
        <v>455.75</v>
      </c>
      <c r="L39" s="2">
        <f>621.87-L68</f>
        <v>557.70000000000005</v>
      </c>
      <c r="M39" s="2">
        <f>472.86-M30</f>
        <v>465.95</v>
      </c>
      <c r="N39" s="2">
        <f>483.92+88.94</f>
        <v>572.86</v>
      </c>
      <c r="O39" s="2">
        <v>465.01</v>
      </c>
      <c r="P39" s="2">
        <f>1605.56-113.3</f>
        <v>1492.26</v>
      </c>
      <c r="Q39" s="2">
        <v>1650.69</v>
      </c>
      <c r="R39" s="2">
        <f>1774.54+32.57</f>
        <v>1807.11</v>
      </c>
      <c r="S39" s="4">
        <v>2480.09</v>
      </c>
      <c r="T39" s="4">
        <v>913.35</v>
      </c>
      <c r="U39" s="4">
        <f>1607.46-535.58</f>
        <v>1071.8800000000001</v>
      </c>
      <c r="V39" s="254">
        <v>1278.27</v>
      </c>
      <c r="W39" s="4">
        <v>375</v>
      </c>
      <c r="X39" s="4">
        <v>275</v>
      </c>
      <c r="Y39" s="4">
        <v>275</v>
      </c>
      <c r="Z39" s="4">
        <v>325</v>
      </c>
      <c r="AA39" s="4">
        <v>450</v>
      </c>
      <c r="AB39" s="4">
        <v>450</v>
      </c>
      <c r="AC39" s="4">
        <v>450</v>
      </c>
      <c r="AD39" s="4">
        <v>450</v>
      </c>
    </row>
    <row r="40" spans="3:31" x14ac:dyDescent="0.2">
      <c r="C40" s="10"/>
      <c r="D40" s="52" t="s">
        <v>69</v>
      </c>
      <c r="E40" s="51"/>
      <c r="F40" s="51"/>
      <c r="G40" s="10"/>
      <c r="H40" s="9"/>
      <c r="I40" s="9"/>
      <c r="J40" s="9"/>
      <c r="K40" s="3"/>
      <c r="L40" s="3"/>
      <c r="M40" s="3"/>
      <c r="N40" s="3"/>
      <c r="O40" s="3"/>
      <c r="P40" s="3"/>
      <c r="Q40" s="3"/>
      <c r="R40" s="3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</row>
    <row r="41" spans="3:31" x14ac:dyDescent="0.2">
      <c r="C41" s="10"/>
      <c r="D41" s="52" t="s">
        <v>260</v>
      </c>
      <c r="E41" s="51"/>
      <c r="F41" s="51"/>
      <c r="G41" s="10"/>
      <c r="H41" s="9"/>
      <c r="I41" s="9"/>
      <c r="J41" s="9"/>
      <c r="K41" s="3"/>
      <c r="L41" s="3"/>
      <c r="M41" s="3"/>
      <c r="N41" s="3"/>
      <c r="O41" s="3"/>
      <c r="P41" s="3"/>
      <c r="Q41" s="3"/>
      <c r="R41" s="3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</row>
    <row r="42" spans="3:31" x14ac:dyDescent="0.2">
      <c r="C42" s="10"/>
      <c r="D42" s="51"/>
      <c r="E42" s="52"/>
      <c r="F42" s="63"/>
      <c r="G42" s="10"/>
      <c r="H42" s="9"/>
      <c r="J42" s="9"/>
      <c r="K42" s="3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</row>
    <row r="43" spans="3:31" x14ac:dyDescent="0.2">
      <c r="C43" s="10"/>
      <c r="D43" s="29" t="s">
        <v>71</v>
      </c>
      <c r="E43" s="51">
        <f>E22+E24+E26+E28+E30+E32+E35+E39</f>
        <v>830.81</v>
      </c>
      <c r="F43" s="51">
        <f>F22+F24+F26+F28+F30+F32+F35+F39</f>
        <v>964.78</v>
      </c>
      <c r="G43" s="32">
        <f>G22+G24+G26+G28+G30+G32+G35+G39+G36</f>
        <v>1353.37</v>
      </c>
      <c r="H43" s="38">
        <f t="shared" ref="H43:M43" si="3">SUM(H22:H39)</f>
        <v>1039.3900000000001</v>
      </c>
      <c r="I43" s="38">
        <f t="shared" si="3"/>
        <v>1428.31</v>
      </c>
      <c r="J43" s="39">
        <f t="shared" si="3"/>
        <v>1187.95</v>
      </c>
      <c r="K43" s="39">
        <f t="shared" si="3"/>
        <v>1421.52</v>
      </c>
      <c r="L43" s="39">
        <f t="shared" si="3"/>
        <v>1855.41</v>
      </c>
      <c r="M43" s="39">
        <f t="shared" si="3"/>
        <v>2369.5899999999997</v>
      </c>
      <c r="N43" s="39">
        <f>SUM(N22:N39)</f>
        <v>1767.13</v>
      </c>
      <c r="O43" s="39">
        <f t="shared" ref="O43:U43" si="4">SUM(O22:O39)</f>
        <v>1777.4599999999998</v>
      </c>
      <c r="P43" s="39">
        <f t="shared" si="4"/>
        <v>2528.9899999999998</v>
      </c>
      <c r="Q43" s="39">
        <f t="shared" si="4"/>
        <v>3876.8100000000004</v>
      </c>
      <c r="R43" s="39">
        <f t="shared" si="4"/>
        <v>4869.83</v>
      </c>
      <c r="S43" s="80">
        <f t="shared" si="4"/>
        <v>5641.0499999999993</v>
      </c>
      <c r="T43" s="80">
        <f t="shared" si="4"/>
        <v>3392.41</v>
      </c>
      <c r="U43" s="80">
        <f t="shared" si="4"/>
        <v>3172.96</v>
      </c>
      <c r="V43" s="80">
        <f>SUM(V22:V39)</f>
        <v>2953.08</v>
      </c>
      <c r="W43" s="80">
        <f>SUM(W22:W39)</f>
        <v>1838.23</v>
      </c>
      <c r="X43" s="80">
        <f>SUM(X22:X39)</f>
        <v>2065.08</v>
      </c>
      <c r="Y43" s="80">
        <f t="shared" ref="Y43:AD43" si="5">SUM(Y22:Y39)</f>
        <v>2164.9</v>
      </c>
      <c r="Z43" s="80">
        <f t="shared" si="5"/>
        <v>1924.18</v>
      </c>
      <c r="AA43" s="80">
        <f t="shared" si="5"/>
        <v>1652.48</v>
      </c>
      <c r="AB43" s="80">
        <f t="shared" si="5"/>
        <v>1529.96</v>
      </c>
      <c r="AC43" s="80">
        <f t="shared" si="5"/>
        <v>1421.44</v>
      </c>
      <c r="AD43" s="80">
        <f t="shared" si="5"/>
        <v>1385</v>
      </c>
      <c r="AE43" s="92"/>
    </row>
    <row r="44" spans="3:31" x14ac:dyDescent="0.2">
      <c r="C44" s="10"/>
      <c r="D44" s="51"/>
      <c r="E44" s="52"/>
      <c r="F44" s="63"/>
      <c r="G44" s="10"/>
      <c r="H44" s="9"/>
      <c r="K44" s="3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</row>
    <row r="45" spans="3:31" ht="13.5" thickBot="1" x14ac:dyDescent="0.25">
      <c r="C45" s="16" t="s">
        <v>34</v>
      </c>
      <c r="D45" s="29" t="s">
        <v>72</v>
      </c>
      <c r="E45" s="83">
        <f>E20+E43</f>
        <v>1333.6399999999999</v>
      </c>
      <c r="F45" s="83">
        <f>F20+F43</f>
        <v>1434.82</v>
      </c>
      <c r="G45" s="46">
        <f>G20+G43</f>
        <v>1749.23</v>
      </c>
      <c r="H45" s="84">
        <f t="shared" ref="H45:M45" si="6">H43+H20</f>
        <v>1707.77</v>
      </c>
      <c r="I45" s="84">
        <f t="shared" si="6"/>
        <v>2121.96</v>
      </c>
      <c r="J45" s="84">
        <f t="shared" si="6"/>
        <v>2124.0500000000002</v>
      </c>
      <c r="K45" s="84">
        <f t="shared" si="6"/>
        <v>2352.94</v>
      </c>
      <c r="L45" s="84">
        <f t="shared" si="6"/>
        <v>3443.58</v>
      </c>
      <c r="M45" s="84">
        <f t="shared" si="6"/>
        <v>4254.78</v>
      </c>
      <c r="N45" s="84">
        <f>N43+N20</f>
        <v>4002.42</v>
      </c>
      <c r="O45" s="84">
        <f t="shared" ref="O45:U45" si="7">O43+O20</f>
        <v>4270.7699999999995</v>
      </c>
      <c r="P45" s="84">
        <f t="shared" si="7"/>
        <v>5131.0200000000004</v>
      </c>
      <c r="Q45" s="84">
        <f t="shared" si="7"/>
        <v>6516.0700000000006</v>
      </c>
      <c r="R45" s="84">
        <f t="shared" si="7"/>
        <v>7523.65</v>
      </c>
      <c r="S45" s="263">
        <f t="shared" si="7"/>
        <v>8248.49</v>
      </c>
      <c r="T45" s="263">
        <f t="shared" si="7"/>
        <v>6094.83</v>
      </c>
      <c r="U45" s="263">
        <f t="shared" si="7"/>
        <v>5974.93</v>
      </c>
      <c r="V45" s="263">
        <f>V43+V20</f>
        <v>5627.85</v>
      </c>
      <c r="W45" s="263">
        <f>W43+W20</f>
        <v>3838.23</v>
      </c>
      <c r="X45" s="263">
        <f>X43+X20</f>
        <v>4065.08</v>
      </c>
      <c r="Y45" s="263">
        <f t="shared" ref="Y45:AD45" si="8">Y43+Y20</f>
        <v>4164.8999999999996</v>
      </c>
      <c r="Z45" s="263">
        <f t="shared" si="8"/>
        <v>3924.1800000000003</v>
      </c>
      <c r="AA45" s="263">
        <f t="shared" si="8"/>
        <v>3652.48</v>
      </c>
      <c r="AB45" s="263">
        <f t="shared" si="8"/>
        <v>3529.96</v>
      </c>
      <c r="AC45" s="263">
        <f t="shared" si="8"/>
        <v>3421.44</v>
      </c>
      <c r="AD45" s="263">
        <f t="shared" si="8"/>
        <v>3385</v>
      </c>
    </row>
    <row r="46" spans="3:31" ht="13.5" thickTop="1" x14ac:dyDescent="0.2">
      <c r="C46" s="10"/>
      <c r="D46" s="29" t="s">
        <v>73</v>
      </c>
      <c r="E46" s="52"/>
      <c r="F46" s="63"/>
      <c r="G46" s="63"/>
      <c r="K46" s="8"/>
      <c r="L46" s="35"/>
      <c r="M46" s="35"/>
      <c r="N46" s="35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</row>
    <row r="47" spans="3:31" x14ac:dyDescent="0.2">
      <c r="C47" s="10"/>
      <c r="D47" s="205"/>
      <c r="E47" s="52"/>
      <c r="F47" s="63"/>
      <c r="G47" s="63"/>
      <c r="K47" s="8"/>
      <c r="L47" s="35"/>
      <c r="M47" s="35"/>
      <c r="N47" s="35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</row>
    <row r="48" spans="3:31" x14ac:dyDescent="0.2">
      <c r="C48" s="10"/>
      <c r="D48" s="205"/>
      <c r="E48" s="52"/>
      <c r="F48" s="63"/>
      <c r="G48" s="63"/>
      <c r="K48" s="8"/>
      <c r="L48" s="35"/>
      <c r="M48" s="35"/>
      <c r="N48" s="35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</row>
    <row r="49" spans="3:30" x14ac:dyDescent="0.2">
      <c r="C49" s="10"/>
      <c r="D49" s="205"/>
      <c r="E49" s="52"/>
      <c r="F49" s="63"/>
      <c r="G49" s="63"/>
      <c r="K49" s="8"/>
      <c r="L49" s="35"/>
      <c r="M49" s="35"/>
      <c r="N49" s="35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</row>
    <row r="50" spans="3:30" x14ac:dyDescent="0.2">
      <c r="C50" s="10"/>
      <c r="D50" s="205"/>
      <c r="E50" s="52"/>
      <c r="F50" s="63"/>
      <c r="G50" s="63"/>
      <c r="K50" s="8"/>
      <c r="L50" s="35"/>
      <c r="M50" s="35"/>
      <c r="N50" s="35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</row>
    <row r="51" spans="3:30" x14ac:dyDescent="0.2">
      <c r="C51" s="10"/>
      <c r="D51" s="205"/>
      <c r="E51" s="52"/>
      <c r="F51" s="63"/>
      <c r="G51" s="63"/>
      <c r="K51" s="8"/>
      <c r="L51" s="35"/>
      <c r="M51" s="35"/>
      <c r="N51" s="35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</row>
    <row r="52" spans="3:30" x14ac:dyDescent="0.2">
      <c r="C52" s="10"/>
      <c r="D52" s="29"/>
      <c r="E52" s="52"/>
      <c r="F52" s="63"/>
      <c r="G52" s="63"/>
      <c r="K52" s="3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</row>
    <row r="53" spans="3:30" ht="15.75" x14ac:dyDescent="0.25">
      <c r="C53" s="10"/>
      <c r="D53" s="85"/>
      <c r="E53" s="51"/>
      <c r="K53" s="3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</row>
    <row r="54" spans="3:30" ht="15.75" x14ac:dyDescent="0.25">
      <c r="C54" s="10"/>
      <c r="D54" s="85"/>
      <c r="E54" s="51"/>
      <c r="K54" s="3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</row>
    <row r="55" spans="3:30" ht="15.75" x14ac:dyDescent="0.25">
      <c r="C55" s="10"/>
      <c r="D55" s="12" t="s">
        <v>302</v>
      </c>
      <c r="E55" s="51"/>
      <c r="G55" s="86"/>
      <c r="K55" s="3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3:30" x14ac:dyDescent="0.2">
      <c r="C56" s="10"/>
      <c r="D56" s="30"/>
      <c r="E56" s="51"/>
      <c r="G56" s="86"/>
      <c r="K56" s="3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</row>
    <row r="57" spans="3:30" x14ac:dyDescent="0.2">
      <c r="C57" s="10"/>
      <c r="D57" s="29" t="s">
        <v>74</v>
      </c>
      <c r="E57" s="51"/>
      <c r="G57" s="86"/>
      <c r="K57" s="3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</row>
    <row r="58" spans="3:30" x14ac:dyDescent="0.2">
      <c r="C58" s="10"/>
      <c r="D58" s="51"/>
      <c r="E58" s="51"/>
      <c r="K58" s="3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</row>
    <row r="59" spans="3:30" x14ac:dyDescent="0.2">
      <c r="C59" s="10" t="s">
        <v>35</v>
      </c>
      <c r="D59" s="52" t="s">
        <v>75</v>
      </c>
      <c r="E59" s="51">
        <v>0</v>
      </c>
      <c r="F59" s="51">
        <v>0</v>
      </c>
      <c r="G59" s="10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</row>
    <row r="60" spans="3:30" x14ac:dyDescent="0.2">
      <c r="C60" s="10"/>
      <c r="D60" s="52" t="s">
        <v>76</v>
      </c>
      <c r="E60" s="51"/>
      <c r="F60" s="51"/>
      <c r="G60" s="10"/>
      <c r="H60" s="9"/>
      <c r="I60" s="9"/>
      <c r="J60" s="9"/>
      <c r="K60" s="3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</row>
    <row r="61" spans="3:30" x14ac:dyDescent="0.2">
      <c r="C61" s="10"/>
      <c r="D61" s="51"/>
      <c r="E61" s="51"/>
      <c r="F61" s="51"/>
      <c r="G61" s="10"/>
      <c r="H61" s="9"/>
      <c r="I61" s="9"/>
      <c r="J61" s="9"/>
      <c r="K61" s="3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</row>
    <row r="62" spans="3:30" x14ac:dyDescent="0.2">
      <c r="C62" s="10" t="s">
        <v>41</v>
      </c>
      <c r="D62" s="52" t="s">
        <v>77</v>
      </c>
      <c r="E62" s="51">
        <v>0</v>
      </c>
      <c r="F62" s="51">
        <v>0</v>
      </c>
      <c r="G62" s="10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</row>
    <row r="63" spans="3:30" x14ac:dyDescent="0.2">
      <c r="C63" s="10"/>
      <c r="D63" s="52" t="s">
        <v>78</v>
      </c>
      <c r="E63" s="51"/>
      <c r="F63" s="51"/>
      <c r="G63" s="10"/>
      <c r="H63" s="9"/>
      <c r="I63" s="9"/>
      <c r="J63" s="9"/>
      <c r="K63" s="3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</row>
    <row r="64" spans="3:30" x14ac:dyDescent="0.2">
      <c r="C64" s="10"/>
      <c r="D64" s="51"/>
      <c r="E64" s="51"/>
      <c r="F64" s="51"/>
      <c r="G64" s="10"/>
      <c r="H64" s="9"/>
      <c r="I64" s="9"/>
      <c r="J64" s="9"/>
      <c r="K64" s="3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</row>
    <row r="65" spans="3:33" x14ac:dyDescent="0.2">
      <c r="C65" s="10" t="s">
        <v>42</v>
      </c>
      <c r="D65" s="52" t="s">
        <v>79</v>
      </c>
      <c r="E65" s="51">
        <v>32.5</v>
      </c>
      <c r="F65" s="51">
        <v>17.5</v>
      </c>
      <c r="G65" s="10">
        <v>7.5</v>
      </c>
      <c r="H65" s="1">
        <v>178.35</v>
      </c>
      <c r="I65" s="1">
        <v>165.07</v>
      </c>
      <c r="J65" s="1">
        <v>143.82</v>
      </c>
      <c r="K65" s="2">
        <v>107.98</v>
      </c>
      <c r="L65" s="1">
        <f>2.18+89.39</f>
        <v>91.570000000000007</v>
      </c>
      <c r="M65" s="4">
        <f>112.53+1676.39</f>
        <v>1788.92</v>
      </c>
      <c r="N65" s="4">
        <f>279.44+2675.88</f>
        <v>2955.32</v>
      </c>
      <c r="O65" s="4">
        <v>3384.2</v>
      </c>
      <c r="P65" s="4">
        <v>2951.12</v>
      </c>
      <c r="Q65" s="4">
        <f>2143.77-Q36</f>
        <v>1549.4299999999998</v>
      </c>
      <c r="R65" s="4">
        <v>1033.9100000000001</v>
      </c>
      <c r="S65" s="4">
        <f>403.87-S78</f>
        <v>306.87</v>
      </c>
      <c r="T65" s="4">
        <v>25.2</v>
      </c>
      <c r="U65" s="4">
        <v>19.23</v>
      </c>
      <c r="V65" s="4">
        <v>709.17</v>
      </c>
      <c r="W65" s="4">
        <f>Loans!D40-W67-W36</f>
        <v>893.86999999999989</v>
      </c>
      <c r="X65" s="4">
        <f>ROUND((Loans!E40-X67-X36),2)</f>
        <v>661.77</v>
      </c>
      <c r="Y65" s="4">
        <f>ROUND((Loans!F40-Y67-Y36),2)</f>
        <v>216.74</v>
      </c>
      <c r="Z65" s="4">
        <f>ROUND((Loans!G40-Z67-Z36),2)</f>
        <v>22.52</v>
      </c>
      <c r="AA65" s="4">
        <f>ROUND((Loans!H40-AA67-AA36),2)</f>
        <v>0</v>
      </c>
      <c r="AB65" s="4">
        <f>ROUND((Loans!I40-AB67-AB36),2)</f>
        <v>0</v>
      </c>
      <c r="AC65" s="4">
        <f>ROUND((Loans!J40-AC67-AC36),2)</f>
        <v>0</v>
      </c>
      <c r="AD65" s="4">
        <f>ROUND((Loans!K40-AD67-AD36),2)</f>
        <v>0</v>
      </c>
    </row>
    <row r="66" spans="3:33" x14ac:dyDescent="0.2">
      <c r="C66" s="10"/>
      <c r="D66" s="52" t="s">
        <v>80</v>
      </c>
      <c r="E66" s="51"/>
      <c r="F66" s="51"/>
      <c r="G66" s="10"/>
      <c r="H66" s="9"/>
      <c r="I66" s="9"/>
      <c r="J66" s="9"/>
      <c r="K66" s="3"/>
      <c r="M66" s="9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3:33" x14ac:dyDescent="0.2">
      <c r="C67" s="10"/>
      <c r="D67" s="52" t="s">
        <v>428</v>
      </c>
      <c r="E67" s="51"/>
      <c r="F67" s="51"/>
      <c r="G67" s="10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77"/>
      <c r="T67" s="77"/>
      <c r="U67" s="77"/>
      <c r="V67" s="4"/>
      <c r="W67" s="4">
        <f>Loans!D25-Loans!E24</f>
        <v>725</v>
      </c>
      <c r="X67" s="4">
        <f>Loans!E25-Loans!F24</f>
        <v>616.28</v>
      </c>
      <c r="Y67" s="4">
        <f>Loans!F25-Loans!G24</f>
        <v>471.31999999999994</v>
      </c>
      <c r="Z67" s="4">
        <f>Loans!G25-Loans!H24</f>
        <v>326.3599999999999</v>
      </c>
      <c r="AA67" s="4">
        <f>Loans!H25-Loans!I24</f>
        <v>181.39999999999989</v>
      </c>
      <c r="AB67" s="4">
        <f>Loans!I25-Loans!J24</f>
        <v>36.439999999999884</v>
      </c>
      <c r="AC67" s="4">
        <f>Loans!J25-Loans!K24</f>
        <v>-1.1368683772161603E-13</v>
      </c>
      <c r="AD67" s="4"/>
    </row>
    <row r="68" spans="3:33" x14ac:dyDescent="0.2">
      <c r="C68" s="10" t="s">
        <v>43</v>
      </c>
      <c r="D68" s="52" t="s">
        <v>349</v>
      </c>
      <c r="E68" s="51">
        <v>0</v>
      </c>
      <c r="F68" s="51">
        <v>0</v>
      </c>
      <c r="G68" s="10">
        <v>0</v>
      </c>
      <c r="H68" s="1">
        <v>0</v>
      </c>
      <c r="I68" s="1">
        <v>0</v>
      </c>
      <c r="J68" s="1">
        <v>18.579999999999998</v>
      </c>
      <c r="K68" s="1">
        <v>0</v>
      </c>
      <c r="L68" s="1">
        <v>64.17</v>
      </c>
      <c r="M68" s="1">
        <f>3.27+22.97</f>
        <v>26.24</v>
      </c>
      <c r="N68" s="1">
        <f>18.99+34.54</f>
        <v>53.53</v>
      </c>
      <c r="O68" s="1">
        <v>56.08</v>
      </c>
      <c r="P68" s="1">
        <v>48.31</v>
      </c>
      <c r="Q68" s="1">
        <v>0</v>
      </c>
      <c r="R68" s="1">
        <v>0</v>
      </c>
      <c r="S68" s="4">
        <v>0</v>
      </c>
      <c r="T68" s="4">
        <v>1450</v>
      </c>
      <c r="U68" s="4">
        <f>914.42+535.58</f>
        <v>1450</v>
      </c>
      <c r="V68" s="254">
        <v>1308.27</v>
      </c>
      <c r="W68" s="4">
        <v>1075</v>
      </c>
      <c r="X68" s="4">
        <v>1050</v>
      </c>
      <c r="Y68" s="4">
        <v>850</v>
      </c>
      <c r="Z68" s="4">
        <v>500</v>
      </c>
      <c r="AA68" s="4">
        <v>200</v>
      </c>
      <c r="AB68" s="4">
        <v>0</v>
      </c>
      <c r="AC68" s="4">
        <v>0</v>
      </c>
      <c r="AD68" s="4">
        <v>0</v>
      </c>
    </row>
    <row r="69" spans="3:33" x14ac:dyDescent="0.2">
      <c r="C69" s="10"/>
      <c r="D69" s="52" t="s">
        <v>350</v>
      </c>
      <c r="E69" s="51"/>
      <c r="F69" s="51"/>
      <c r="G69" s="10"/>
      <c r="H69" s="9"/>
      <c r="I69" s="9"/>
      <c r="J69" s="9"/>
      <c r="K69" s="3"/>
      <c r="M69" s="9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</row>
    <row r="70" spans="3:33" x14ac:dyDescent="0.2">
      <c r="C70" s="10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</row>
    <row r="71" spans="3:33" x14ac:dyDescent="0.2">
      <c r="C71" s="87">
        <v>15</v>
      </c>
      <c r="D71" s="52" t="s">
        <v>264</v>
      </c>
      <c r="E71" s="51">
        <v>22.35</v>
      </c>
      <c r="F71" s="51">
        <v>21.97</v>
      </c>
      <c r="G71" s="10">
        <f>'[1]Form-III'!$G$44</f>
        <v>22.94</v>
      </c>
      <c r="H71" s="1">
        <v>23.11</v>
      </c>
      <c r="I71" s="1">
        <f>SUM(22.92+92.12)</f>
        <v>115.04</v>
      </c>
      <c r="J71" s="1">
        <f>23.02+87.02+3</f>
        <v>113.03999999999999</v>
      </c>
      <c r="K71" s="1">
        <f>SUM(80.17+22.9)</f>
        <v>103.07</v>
      </c>
      <c r="L71" s="1">
        <v>93.63</v>
      </c>
      <c r="M71" s="1">
        <v>89.3</v>
      </c>
      <c r="N71" s="1">
        <v>124.91</v>
      </c>
      <c r="O71" s="1">
        <v>140.22999999999999</v>
      </c>
      <c r="P71" s="1">
        <f>293.9+113.3</f>
        <v>407.2</v>
      </c>
      <c r="Q71" s="1">
        <v>317.23</v>
      </c>
      <c r="R71" s="1">
        <v>263.27999999999997</v>
      </c>
      <c r="S71" s="4">
        <v>290.11</v>
      </c>
      <c r="T71" s="4">
        <v>339.69</v>
      </c>
      <c r="U71" s="4">
        <v>253.36</v>
      </c>
      <c r="V71" s="4">
        <v>213.72</v>
      </c>
      <c r="W71" s="4">
        <v>200</v>
      </c>
      <c r="X71" s="4">
        <v>200</v>
      </c>
      <c r="Y71" s="4">
        <v>200</v>
      </c>
      <c r="Z71" s="4">
        <v>285</v>
      </c>
      <c r="AA71" s="4">
        <v>285</v>
      </c>
      <c r="AB71" s="4">
        <v>285</v>
      </c>
      <c r="AC71" s="4">
        <v>285</v>
      </c>
      <c r="AD71" s="4">
        <v>285</v>
      </c>
    </row>
    <row r="72" spans="3:33" x14ac:dyDescent="0.2">
      <c r="C72" s="10"/>
      <c r="D72" s="52" t="s">
        <v>265</v>
      </c>
      <c r="E72" s="51"/>
      <c r="F72" s="51"/>
      <c r="G72" s="10"/>
      <c r="H72" s="9"/>
      <c r="I72" s="9"/>
      <c r="J72" s="9"/>
      <c r="K72" s="3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</row>
    <row r="73" spans="3:33" x14ac:dyDescent="0.2">
      <c r="C73" s="10" t="s">
        <v>44</v>
      </c>
      <c r="D73" s="52" t="s">
        <v>422</v>
      </c>
      <c r="E73" s="51">
        <v>22.35</v>
      </c>
      <c r="F73" s="51">
        <v>21.97</v>
      </c>
      <c r="G73" s="10">
        <v>0</v>
      </c>
      <c r="H73" s="1">
        <v>60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4">
        <v>77.650000000000006</v>
      </c>
      <c r="T73" s="4">
        <v>51.15</v>
      </c>
      <c r="U73" s="4">
        <v>63.48</v>
      </c>
      <c r="V73" s="4">
        <v>52.93</v>
      </c>
      <c r="W73" s="4">
        <f>V73</f>
        <v>52.93</v>
      </c>
      <c r="X73" s="4">
        <f>W73</f>
        <v>52.93</v>
      </c>
      <c r="Y73" s="4">
        <f t="shared" ref="Y73:AD73" si="9">X73</f>
        <v>52.93</v>
      </c>
      <c r="Z73" s="4">
        <f t="shared" si="9"/>
        <v>52.93</v>
      </c>
      <c r="AA73" s="4">
        <f t="shared" si="9"/>
        <v>52.93</v>
      </c>
      <c r="AB73" s="4">
        <f t="shared" si="9"/>
        <v>52.93</v>
      </c>
      <c r="AC73" s="4">
        <f t="shared" si="9"/>
        <v>52.93</v>
      </c>
      <c r="AD73" s="4">
        <f t="shared" si="9"/>
        <v>52.93</v>
      </c>
    </row>
    <row r="74" spans="3:33" x14ac:dyDescent="0.2">
      <c r="C74" s="10"/>
      <c r="D74" s="52" t="s">
        <v>81</v>
      </c>
      <c r="E74" s="51"/>
      <c r="F74" s="51"/>
      <c r="G74" s="10"/>
      <c r="H74" s="9"/>
      <c r="I74" s="9"/>
      <c r="J74" s="9"/>
      <c r="K74" s="9"/>
      <c r="L74" s="9"/>
      <c r="M74" s="9"/>
      <c r="N74" s="9"/>
      <c r="O74" s="9"/>
      <c r="P74" s="9"/>
      <c r="Q74" s="9"/>
      <c r="R74" s="3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</row>
    <row r="75" spans="3:33" x14ac:dyDescent="0.2">
      <c r="C75" s="10"/>
      <c r="D75" s="52" t="s">
        <v>348</v>
      </c>
      <c r="E75" s="51"/>
      <c r="F75" s="51"/>
      <c r="G75" s="10"/>
      <c r="H75" s="9"/>
      <c r="I75" s="9"/>
      <c r="J75" s="9"/>
      <c r="K75" s="9"/>
      <c r="L75" s="9"/>
      <c r="M75" s="9"/>
      <c r="N75" s="9"/>
      <c r="O75" s="9"/>
      <c r="P75" s="9"/>
      <c r="Q75" s="9"/>
      <c r="R75" s="3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</row>
    <row r="76" spans="3:33" x14ac:dyDescent="0.2">
      <c r="C76" s="10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</row>
    <row r="77" spans="3:33" x14ac:dyDescent="0.2">
      <c r="C77" s="10"/>
      <c r="D77" s="52" t="s">
        <v>378</v>
      </c>
      <c r="E77" s="51"/>
      <c r="F77" s="51"/>
      <c r="G77" s="10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77"/>
      <c r="T77" s="77">
        <v>300</v>
      </c>
      <c r="U77" s="77">
        <v>300</v>
      </c>
      <c r="V77" s="266">
        <v>300</v>
      </c>
      <c r="W77" s="77">
        <v>300</v>
      </c>
      <c r="X77" s="77">
        <v>300</v>
      </c>
      <c r="Y77" s="77">
        <v>300</v>
      </c>
      <c r="Z77" s="77">
        <v>200</v>
      </c>
      <c r="AA77" s="77">
        <v>200</v>
      </c>
      <c r="AB77" s="77">
        <v>100</v>
      </c>
      <c r="AC77" s="77">
        <v>100</v>
      </c>
      <c r="AD77" s="77">
        <v>100</v>
      </c>
    </row>
    <row r="78" spans="3:33" x14ac:dyDescent="0.2">
      <c r="C78" s="10" t="s">
        <v>45</v>
      </c>
      <c r="D78" s="52" t="s">
        <v>82</v>
      </c>
      <c r="E78" s="53">
        <v>1.03</v>
      </c>
      <c r="F78" s="51">
        <v>0</v>
      </c>
      <c r="G78" s="10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77">
        <v>97</v>
      </c>
      <c r="T78" s="77">
        <v>97</v>
      </c>
      <c r="U78" s="77">
        <v>10.5</v>
      </c>
      <c r="V78" s="77">
        <v>10.5</v>
      </c>
      <c r="W78" s="77">
        <v>25</v>
      </c>
      <c r="X78" s="77">
        <v>25</v>
      </c>
      <c r="Y78" s="77">
        <v>25</v>
      </c>
      <c r="Z78" s="77">
        <v>25</v>
      </c>
      <c r="AA78" s="77">
        <v>25</v>
      </c>
      <c r="AB78" s="77">
        <v>25</v>
      </c>
      <c r="AC78" s="77">
        <v>25</v>
      </c>
      <c r="AD78" s="77">
        <v>25</v>
      </c>
    </row>
    <row r="79" spans="3:33" x14ac:dyDescent="0.2">
      <c r="C79" s="10"/>
      <c r="D79" s="52"/>
      <c r="E79" s="51"/>
      <c r="F79" s="51"/>
      <c r="G79" s="10"/>
      <c r="H79" s="9"/>
      <c r="J79" s="9"/>
      <c r="K79" s="3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3:33" x14ac:dyDescent="0.2">
      <c r="C80" s="16" t="s">
        <v>47</v>
      </c>
      <c r="D80" s="29" t="s">
        <v>83</v>
      </c>
      <c r="E80" s="88">
        <f>SUM(E53:E79)</f>
        <v>78.23</v>
      </c>
      <c r="F80" s="88">
        <f>SUM(F53:F79)</f>
        <v>61.44</v>
      </c>
      <c r="G80" s="89">
        <f>SUM(G53:G79)</f>
        <v>30.44</v>
      </c>
      <c r="H80" s="89">
        <f t="shared" ref="H80:AD80" si="10">SUM(H59:H78)</f>
        <v>261.45999999999998</v>
      </c>
      <c r="I80" s="89">
        <f t="shared" si="10"/>
        <v>280.11</v>
      </c>
      <c r="J80" s="89">
        <f t="shared" si="10"/>
        <v>275.43999999999994</v>
      </c>
      <c r="K80" s="89">
        <f t="shared" si="10"/>
        <v>211.05</v>
      </c>
      <c r="L80" s="89">
        <f t="shared" si="10"/>
        <v>249.37</v>
      </c>
      <c r="M80" s="81">
        <f t="shared" si="10"/>
        <v>1904.46</v>
      </c>
      <c r="N80" s="81">
        <f t="shared" si="10"/>
        <v>3133.76</v>
      </c>
      <c r="O80" s="81">
        <f t="shared" si="10"/>
        <v>3580.5099999999998</v>
      </c>
      <c r="P80" s="81">
        <f t="shared" si="10"/>
        <v>3406.6299999999997</v>
      </c>
      <c r="Q80" s="81">
        <f t="shared" si="10"/>
        <v>1866.6599999999999</v>
      </c>
      <c r="R80" s="81">
        <f t="shared" si="10"/>
        <v>1297.19</v>
      </c>
      <c r="S80" s="81">
        <f t="shared" si="10"/>
        <v>771.63</v>
      </c>
      <c r="T80" s="81">
        <f t="shared" si="10"/>
        <v>2263.04</v>
      </c>
      <c r="U80" s="81">
        <f t="shared" si="10"/>
        <v>2096.5700000000002</v>
      </c>
      <c r="V80" s="81">
        <f t="shared" si="10"/>
        <v>2594.5899999999997</v>
      </c>
      <c r="W80" s="81">
        <f t="shared" si="10"/>
        <v>3271.7999999999997</v>
      </c>
      <c r="X80" s="81">
        <f t="shared" si="10"/>
        <v>2905.98</v>
      </c>
      <c r="Y80" s="81">
        <f t="shared" si="10"/>
        <v>2115.9899999999998</v>
      </c>
      <c r="Z80" s="81">
        <f t="shared" si="10"/>
        <v>1411.81</v>
      </c>
      <c r="AA80" s="81">
        <f t="shared" si="10"/>
        <v>944.32999999999981</v>
      </c>
      <c r="AB80" s="81">
        <f t="shared" si="10"/>
        <v>499.36999999999989</v>
      </c>
      <c r="AC80" s="81">
        <f t="shared" si="10"/>
        <v>462.92999999999989</v>
      </c>
      <c r="AD80" s="81">
        <f t="shared" si="10"/>
        <v>462.93</v>
      </c>
      <c r="AE80" s="78"/>
      <c r="AF80" s="78"/>
      <c r="AG80" s="78"/>
    </row>
    <row r="81" spans="3:31" x14ac:dyDescent="0.2">
      <c r="C81" s="10"/>
      <c r="D81" s="31" t="s">
        <v>268</v>
      </c>
      <c r="E81" s="52"/>
      <c r="F81" s="63"/>
      <c r="G81" s="63"/>
      <c r="H81" s="9"/>
      <c r="J81" s="35"/>
      <c r="K81" s="3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</row>
    <row r="82" spans="3:31" x14ac:dyDescent="0.2">
      <c r="C82" s="10"/>
      <c r="D82" s="31"/>
      <c r="E82" s="52"/>
      <c r="F82" s="63"/>
      <c r="G82" s="63"/>
      <c r="H82" s="9"/>
      <c r="J82" s="35"/>
      <c r="K82" s="3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</row>
    <row r="83" spans="3:31" x14ac:dyDescent="0.2">
      <c r="C83" s="16" t="s">
        <v>84</v>
      </c>
      <c r="D83" s="29" t="s">
        <v>289</v>
      </c>
      <c r="E83" s="42">
        <f>E80+E45</f>
        <v>1411.87</v>
      </c>
      <c r="F83" s="42">
        <f>F45+F80</f>
        <v>1496.26</v>
      </c>
      <c r="G83" s="43">
        <f>G45+G80</f>
        <v>1779.67</v>
      </c>
      <c r="H83" s="44">
        <f t="shared" ref="H83:AD83" si="11">H80+H45</f>
        <v>1969.23</v>
      </c>
      <c r="I83" s="44">
        <f t="shared" si="11"/>
        <v>2402.0700000000002</v>
      </c>
      <c r="J83" s="44">
        <f t="shared" si="11"/>
        <v>2399.4900000000002</v>
      </c>
      <c r="K83" s="44">
        <f t="shared" si="11"/>
        <v>2563.9900000000002</v>
      </c>
      <c r="L83" s="44">
        <f t="shared" si="11"/>
        <v>3692.95</v>
      </c>
      <c r="M83" s="44">
        <f t="shared" si="11"/>
        <v>6159.24</v>
      </c>
      <c r="N83" s="44">
        <f t="shared" si="11"/>
        <v>7136.18</v>
      </c>
      <c r="O83" s="44">
        <f t="shared" si="11"/>
        <v>7851.2799999999988</v>
      </c>
      <c r="P83" s="44">
        <f t="shared" si="11"/>
        <v>8537.65</v>
      </c>
      <c r="Q83" s="44">
        <f t="shared" si="11"/>
        <v>8382.73</v>
      </c>
      <c r="R83" s="44">
        <f t="shared" si="11"/>
        <v>8820.84</v>
      </c>
      <c r="S83" s="81">
        <f t="shared" si="11"/>
        <v>9020.119999999999</v>
      </c>
      <c r="T83" s="81">
        <f t="shared" si="11"/>
        <v>8357.869999999999</v>
      </c>
      <c r="U83" s="81">
        <f t="shared" si="11"/>
        <v>8071.5</v>
      </c>
      <c r="V83" s="81">
        <f t="shared" si="11"/>
        <v>8222.44</v>
      </c>
      <c r="W83" s="81">
        <f t="shared" si="11"/>
        <v>7110.03</v>
      </c>
      <c r="X83" s="81">
        <f t="shared" si="11"/>
        <v>6971.0599999999995</v>
      </c>
      <c r="Y83" s="81">
        <f t="shared" si="11"/>
        <v>6280.8899999999994</v>
      </c>
      <c r="Z83" s="81">
        <f t="shared" si="11"/>
        <v>5335.99</v>
      </c>
      <c r="AA83" s="81">
        <f t="shared" si="11"/>
        <v>4596.8099999999995</v>
      </c>
      <c r="AB83" s="81">
        <f t="shared" si="11"/>
        <v>4029.33</v>
      </c>
      <c r="AC83" s="81">
        <f t="shared" si="11"/>
        <v>3884.37</v>
      </c>
      <c r="AD83" s="81">
        <f t="shared" si="11"/>
        <v>3847.93</v>
      </c>
    </row>
    <row r="84" spans="3:31" x14ac:dyDescent="0.2">
      <c r="C84" s="10"/>
      <c r="D84" s="29" t="s">
        <v>288</v>
      </c>
      <c r="E84" s="52"/>
      <c r="F84" s="52"/>
      <c r="G84" s="52"/>
      <c r="K84" s="3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  <row r="85" spans="3:31" x14ac:dyDescent="0.2">
      <c r="C85" s="10"/>
      <c r="D85" s="51"/>
      <c r="E85" s="51"/>
      <c r="F85" s="51"/>
      <c r="G85" s="51"/>
      <c r="K85" s="3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</row>
    <row r="86" spans="3:31" x14ac:dyDescent="0.2">
      <c r="C86" s="10"/>
      <c r="D86" s="75" t="s">
        <v>85</v>
      </c>
      <c r="E86" s="51"/>
      <c r="F86" s="51"/>
      <c r="G86" s="51"/>
      <c r="K86" s="3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</row>
    <row r="87" spans="3:31" x14ac:dyDescent="0.2">
      <c r="C87" s="10"/>
      <c r="D87" s="51"/>
      <c r="E87" s="51"/>
      <c r="F87" s="51"/>
      <c r="G87" s="51"/>
      <c r="K87" s="3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</row>
    <row r="88" spans="3:31" x14ac:dyDescent="0.2">
      <c r="C88" s="10" t="s">
        <v>86</v>
      </c>
      <c r="D88" s="52" t="s">
        <v>87</v>
      </c>
      <c r="E88" s="51">
        <v>167.57</v>
      </c>
      <c r="F88" s="51">
        <v>167.57</v>
      </c>
      <c r="G88" s="10">
        <v>167.57</v>
      </c>
      <c r="H88" s="1">
        <v>167.57</v>
      </c>
      <c r="I88" s="1">
        <v>167.57</v>
      </c>
      <c r="J88" s="1">
        <v>170</v>
      </c>
      <c r="K88" s="2">
        <v>400</v>
      </c>
      <c r="L88" s="2">
        <v>400</v>
      </c>
      <c r="M88" s="2">
        <f>170+430</f>
        <v>600</v>
      </c>
      <c r="N88" s="2">
        <f>295.73+430</f>
        <v>725.73</v>
      </c>
      <c r="O88" s="2">
        <f>295.73+430</f>
        <v>725.73</v>
      </c>
      <c r="P88" s="2">
        <f t="shared" ref="P88:AD88" si="12">295.73+430</f>
        <v>725.73</v>
      </c>
      <c r="Q88" s="2">
        <f t="shared" si="12"/>
        <v>725.73</v>
      </c>
      <c r="R88" s="2">
        <f t="shared" si="12"/>
        <v>725.73</v>
      </c>
      <c r="S88" s="4">
        <f>295.73+430</f>
        <v>725.73</v>
      </c>
      <c r="T88" s="4">
        <f>295.73+430</f>
        <v>725.73</v>
      </c>
      <c r="U88" s="4">
        <f>295.73+430</f>
        <v>725.73</v>
      </c>
      <c r="V88" s="4">
        <f>295.73+430</f>
        <v>725.73</v>
      </c>
      <c r="W88" s="4">
        <f t="shared" si="12"/>
        <v>725.73</v>
      </c>
      <c r="X88" s="4">
        <f t="shared" si="12"/>
        <v>725.73</v>
      </c>
      <c r="Y88" s="4">
        <f t="shared" si="12"/>
        <v>725.73</v>
      </c>
      <c r="Z88" s="4">
        <f t="shared" si="12"/>
        <v>725.73</v>
      </c>
      <c r="AA88" s="4">
        <f t="shared" si="12"/>
        <v>725.73</v>
      </c>
      <c r="AB88" s="4">
        <f t="shared" si="12"/>
        <v>725.73</v>
      </c>
      <c r="AC88" s="4">
        <f t="shared" si="12"/>
        <v>725.73</v>
      </c>
      <c r="AD88" s="4">
        <f t="shared" si="12"/>
        <v>725.73</v>
      </c>
    </row>
    <row r="89" spans="3:31" x14ac:dyDescent="0.2">
      <c r="C89" s="10"/>
      <c r="D89" s="51"/>
      <c r="E89" s="51"/>
      <c r="F89" s="51"/>
      <c r="G89" s="10"/>
      <c r="H89" s="9"/>
      <c r="I89" s="9">
        <v>147.69</v>
      </c>
      <c r="J89" s="9">
        <v>165.69</v>
      </c>
      <c r="K89" s="3">
        <v>280</v>
      </c>
      <c r="L89" s="3">
        <v>488.31</v>
      </c>
      <c r="M89" s="3"/>
      <c r="N89" s="3"/>
      <c r="O89" s="3"/>
      <c r="P89" s="3"/>
      <c r="Q89" s="3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</row>
    <row r="90" spans="3:31" x14ac:dyDescent="0.2">
      <c r="C90" s="10" t="s">
        <v>88</v>
      </c>
      <c r="D90" s="52" t="s">
        <v>89</v>
      </c>
      <c r="E90" s="51">
        <v>397.65</v>
      </c>
      <c r="F90" s="51">
        <v>569.20000000000005</v>
      </c>
      <c r="G90" s="10">
        <f>'[1]Form-III'!$G$51</f>
        <v>624.45000000000005</v>
      </c>
      <c r="H90" s="1">
        <f>SUM(815.52)</f>
        <v>815.52</v>
      </c>
      <c r="I90" s="1">
        <f>SUM(945.8)</f>
        <v>945.8</v>
      </c>
      <c r="J90" s="2">
        <v>1150.8800000000001</v>
      </c>
      <c r="K90" s="2">
        <v>40.5</v>
      </c>
      <c r="L90" s="2">
        <v>40.5</v>
      </c>
      <c r="M90" s="2">
        <v>86.5</v>
      </c>
      <c r="N90" s="2">
        <v>86.5</v>
      </c>
      <c r="O90" s="2">
        <v>86.5</v>
      </c>
      <c r="P90" s="2">
        <v>86.5</v>
      </c>
      <c r="Q90" s="2">
        <v>86.5</v>
      </c>
      <c r="R90" s="2">
        <v>86.5</v>
      </c>
      <c r="S90" s="4">
        <v>86.5</v>
      </c>
      <c r="T90" s="4">
        <v>86.5</v>
      </c>
      <c r="U90" s="4">
        <v>86.5</v>
      </c>
      <c r="V90" s="4">
        <v>86.5</v>
      </c>
      <c r="W90" s="4">
        <f>V90</f>
        <v>86.5</v>
      </c>
      <c r="X90" s="4">
        <f>W90</f>
        <v>86.5</v>
      </c>
      <c r="Y90" s="4">
        <f t="shared" ref="Y90:AD90" si="13">X90</f>
        <v>86.5</v>
      </c>
      <c r="Z90" s="4">
        <f t="shared" si="13"/>
        <v>86.5</v>
      </c>
      <c r="AA90" s="4">
        <f t="shared" si="13"/>
        <v>86.5</v>
      </c>
      <c r="AB90" s="4">
        <f t="shared" si="13"/>
        <v>86.5</v>
      </c>
      <c r="AC90" s="4">
        <f t="shared" si="13"/>
        <v>86.5</v>
      </c>
      <c r="AD90" s="4">
        <f t="shared" si="13"/>
        <v>86.5</v>
      </c>
    </row>
    <row r="91" spans="3:31" x14ac:dyDescent="0.2">
      <c r="C91" s="10"/>
      <c r="D91" s="51"/>
      <c r="E91" s="51"/>
      <c r="F91" s="51"/>
      <c r="G91" s="10"/>
      <c r="H91" s="9"/>
      <c r="I91" s="9"/>
      <c r="J91" s="9"/>
      <c r="K91" s="3"/>
      <c r="L91" s="3"/>
      <c r="M91" s="3"/>
      <c r="O91" s="3"/>
      <c r="P91" s="3"/>
      <c r="Q91" s="3"/>
      <c r="R91" s="3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</row>
    <row r="92" spans="3:31" x14ac:dyDescent="0.2">
      <c r="C92" s="10" t="s">
        <v>90</v>
      </c>
      <c r="D92" s="52" t="s">
        <v>91</v>
      </c>
      <c r="E92" s="51">
        <v>75.45</v>
      </c>
      <c r="F92" s="51">
        <v>75.45</v>
      </c>
      <c r="G92" s="10">
        <v>75.45</v>
      </c>
      <c r="H92" s="1">
        <v>75.45</v>
      </c>
      <c r="I92" s="1">
        <v>75.45</v>
      </c>
      <c r="J92" s="1">
        <v>75.45</v>
      </c>
      <c r="K92" s="2">
        <v>75.45</v>
      </c>
      <c r="L92" s="2">
        <v>75.45</v>
      </c>
      <c r="M92" s="2">
        <v>75.45</v>
      </c>
      <c r="N92" s="2">
        <v>75.45</v>
      </c>
      <c r="O92" s="2">
        <v>75.45</v>
      </c>
      <c r="P92" s="2">
        <v>75.45</v>
      </c>
      <c r="Q92" s="2">
        <v>75.45</v>
      </c>
      <c r="R92" s="2">
        <v>75.45</v>
      </c>
      <c r="S92" s="4">
        <v>75.45</v>
      </c>
      <c r="T92" s="4">
        <v>75.45</v>
      </c>
      <c r="U92" s="4">
        <v>75.45</v>
      </c>
      <c r="V92" s="4">
        <v>75.45</v>
      </c>
      <c r="W92" s="4">
        <v>75.45</v>
      </c>
      <c r="X92" s="4">
        <v>75.45</v>
      </c>
      <c r="Y92" s="4">
        <v>75.45</v>
      </c>
      <c r="Z92" s="4">
        <v>75.45</v>
      </c>
      <c r="AA92" s="4">
        <v>75.45</v>
      </c>
      <c r="AB92" s="4">
        <v>75.45</v>
      </c>
      <c r="AC92" s="4">
        <v>75.45</v>
      </c>
      <c r="AD92" s="4">
        <v>75.45</v>
      </c>
    </row>
    <row r="93" spans="3:31" x14ac:dyDescent="0.2">
      <c r="C93" s="10"/>
      <c r="D93" s="51"/>
      <c r="E93" s="51"/>
      <c r="F93" s="51"/>
      <c r="G93" s="10"/>
      <c r="H93" s="9"/>
      <c r="I93" s="9"/>
      <c r="J93" s="9"/>
      <c r="K93" s="3"/>
      <c r="L93" s="3"/>
      <c r="M93" s="3"/>
      <c r="N93" s="3"/>
      <c r="O93" s="3"/>
      <c r="P93" s="3"/>
      <c r="Q93" s="3"/>
      <c r="R93" s="3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</row>
    <row r="94" spans="3:31" x14ac:dyDescent="0.2">
      <c r="C94" s="10" t="s">
        <v>92</v>
      </c>
      <c r="D94" s="52" t="s">
        <v>93</v>
      </c>
      <c r="E94" s="51">
        <v>3.76</v>
      </c>
      <c r="F94" s="51">
        <v>3.76</v>
      </c>
      <c r="G94" s="10">
        <v>4.9800000000000004</v>
      </c>
      <c r="H94" s="1">
        <v>4.9800000000000004</v>
      </c>
      <c r="I94" s="1">
        <v>4.9800000000000004</v>
      </c>
      <c r="J94" s="1">
        <v>23.26</v>
      </c>
      <c r="K94" s="2">
        <v>1716.86</v>
      </c>
      <c r="L94" s="2">
        <f>SUM(K94+'FORM - II'!L100)-76.96</f>
        <v>2092.9399999999982</v>
      </c>
      <c r="M94" s="2">
        <f>2278.09+1126.4-M98</f>
        <v>1276.0000000000005</v>
      </c>
      <c r="N94" s="2">
        <f>2820.66+1126.4-N98</f>
        <v>1267.04</v>
      </c>
      <c r="O94" s="2">
        <v>1250.6099999999999</v>
      </c>
      <c r="P94" s="2">
        <v>1250.6099999999999</v>
      </c>
      <c r="Q94" s="2">
        <v>3447.13</v>
      </c>
      <c r="R94" s="2">
        <v>2824.4</v>
      </c>
      <c r="S94" s="4">
        <v>2443.83</v>
      </c>
      <c r="T94" s="4">
        <f>S94+'FORM - II'!T100</f>
        <v>2374.7600000000016</v>
      </c>
      <c r="U94" s="4">
        <f>T94+'FORM - II'!U100</f>
        <v>2150.1299999999997</v>
      </c>
      <c r="V94" s="287">
        <f>1175.9+72.15+2.56+899.52+'FORM - II'!V100</f>
        <v>1816.8500000000006</v>
      </c>
      <c r="W94" s="4">
        <f>V94+'FORM - II'!W100</f>
        <v>1497.9100000000019</v>
      </c>
      <c r="X94" s="4">
        <f>W94+'FORM - II'!X100</f>
        <v>1856.806500000002</v>
      </c>
      <c r="Y94" s="4">
        <f>X94+'FORM - II'!Y100</f>
        <v>2234.7380000000012</v>
      </c>
      <c r="Z94" s="4">
        <f>Y94+'FORM - II'!Z100</f>
        <v>2650.0495000000001</v>
      </c>
      <c r="AA94" s="4">
        <f>Z94+'FORM - II'!AA100</f>
        <v>3043.1909999999998</v>
      </c>
      <c r="AB94" s="4">
        <f>ROUND(AA94+'FORM - II'!AB100,2)</f>
        <v>3420.26</v>
      </c>
      <c r="AC94" s="4">
        <f>AB94+'FORM - II'!AC100</f>
        <v>3806.0115000000001</v>
      </c>
      <c r="AD94" s="4">
        <f>AC94+'FORM - II'!AD100</f>
        <v>4198.1229999999996</v>
      </c>
    </row>
    <row r="95" spans="3:31" x14ac:dyDescent="0.2">
      <c r="C95" s="10"/>
      <c r="D95" s="52"/>
      <c r="E95" s="51"/>
      <c r="F95" s="51"/>
      <c r="G95" s="10"/>
      <c r="H95" s="9"/>
      <c r="I95" s="9"/>
      <c r="J95" s="9"/>
      <c r="K95" s="3"/>
      <c r="L95" s="3"/>
      <c r="M95" s="3"/>
      <c r="N95" s="3"/>
      <c r="O95" s="3"/>
      <c r="P95" s="3"/>
      <c r="Q95" s="3"/>
      <c r="R95" s="3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</row>
    <row r="96" spans="3:31" x14ac:dyDescent="0.2">
      <c r="C96" s="87"/>
      <c r="D96" s="52" t="s">
        <v>94</v>
      </c>
      <c r="E96" s="51">
        <v>17.2</v>
      </c>
      <c r="F96" s="51">
        <v>26.35</v>
      </c>
      <c r="G96" s="10">
        <f>'[1]Form-III'!$G$57</f>
        <v>41.21</v>
      </c>
      <c r="H96" s="3">
        <v>52.26</v>
      </c>
      <c r="I96" s="3">
        <v>52.57</v>
      </c>
      <c r="J96" s="3">
        <v>59.88</v>
      </c>
      <c r="K96" s="3">
        <v>94.18</v>
      </c>
      <c r="L96" s="3">
        <v>97.45</v>
      </c>
      <c r="M96" s="3">
        <v>128.68</v>
      </c>
      <c r="N96" s="3">
        <v>191.02</v>
      </c>
      <c r="O96" s="3">
        <v>210.87</v>
      </c>
      <c r="P96" s="3">
        <v>44.35</v>
      </c>
      <c r="Q96" s="3">
        <v>0</v>
      </c>
      <c r="R96" s="3">
        <v>0</v>
      </c>
      <c r="S96" s="77">
        <v>0</v>
      </c>
      <c r="T96" s="77">
        <v>0</v>
      </c>
      <c r="U96" s="77">
        <v>0</v>
      </c>
      <c r="V96" s="77">
        <v>0</v>
      </c>
      <c r="W96" s="77">
        <v>0</v>
      </c>
      <c r="X96" s="77">
        <v>0</v>
      </c>
      <c r="Y96" s="77">
        <v>0</v>
      </c>
      <c r="Z96" s="77">
        <v>0</v>
      </c>
      <c r="AA96" s="77">
        <v>0</v>
      </c>
      <c r="AB96" s="77">
        <v>0</v>
      </c>
      <c r="AC96" s="77">
        <v>0</v>
      </c>
      <c r="AD96" s="77">
        <v>0</v>
      </c>
    </row>
    <row r="97" spans="3:30" x14ac:dyDescent="0.2">
      <c r="C97" s="10"/>
      <c r="D97" s="51"/>
      <c r="E97" s="51"/>
      <c r="F97" s="51"/>
      <c r="G97" s="10"/>
      <c r="H97" s="9"/>
      <c r="I97" s="9"/>
      <c r="J97" s="9"/>
      <c r="K97" s="3"/>
      <c r="L97" s="3"/>
      <c r="M97" s="3"/>
      <c r="N97" s="3"/>
      <c r="O97" s="3"/>
      <c r="P97" s="3"/>
      <c r="Q97" s="3"/>
      <c r="R97" s="3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</row>
    <row r="98" spans="3:30" x14ac:dyDescent="0.2">
      <c r="C98" s="87">
        <v>23</v>
      </c>
      <c r="D98" s="52" t="s">
        <v>319</v>
      </c>
      <c r="E98" s="51">
        <v>0</v>
      </c>
      <c r="F98" s="51">
        <v>0</v>
      </c>
      <c r="G98" s="10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4">
        <v>2128.4899999999998</v>
      </c>
      <c r="N98" s="4">
        <v>2680.02</v>
      </c>
      <c r="O98" s="4">
        <v>2661.59</v>
      </c>
      <c r="P98" s="4">
        <v>2239.16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</row>
    <row r="99" spans="3:30" x14ac:dyDescent="0.2">
      <c r="C99" s="10"/>
      <c r="D99" s="52"/>
      <c r="E99" s="51"/>
      <c r="F99" s="51"/>
      <c r="G99" s="10"/>
      <c r="H99" s="9"/>
      <c r="I99" s="9"/>
      <c r="J99" s="9"/>
      <c r="K99" s="3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</row>
    <row r="100" spans="3:30" x14ac:dyDescent="0.2">
      <c r="C100" s="90">
        <v>24</v>
      </c>
      <c r="D100" s="29" t="s">
        <v>85</v>
      </c>
      <c r="E100" s="91" t="e">
        <f>E88+E90+E92+E94+E98+#REF!+E96</f>
        <v>#REF!</v>
      </c>
      <c r="F100" s="91" t="e">
        <f>F88+F90+F92+F94+F98+#REF!+F96</f>
        <v>#REF!</v>
      </c>
      <c r="G100" s="82">
        <f t="shared" ref="G100:L100" si="14">SUM(G88:G99)</f>
        <v>913.66000000000008</v>
      </c>
      <c r="H100" s="82">
        <f t="shared" si="14"/>
        <v>1115.78</v>
      </c>
      <c r="I100" s="38">
        <f t="shared" si="14"/>
        <v>1394.06</v>
      </c>
      <c r="J100" s="39">
        <f t="shared" si="14"/>
        <v>1645.1600000000003</v>
      </c>
      <c r="K100" s="39">
        <f t="shared" si="14"/>
        <v>2606.9899999999998</v>
      </c>
      <c r="L100" s="39">
        <f t="shared" si="14"/>
        <v>3194.6499999999978</v>
      </c>
      <c r="M100" s="39">
        <f>SUM(M88:M99)</f>
        <v>4295.1200000000008</v>
      </c>
      <c r="N100" s="39">
        <f>SUM(N88:N99)</f>
        <v>5025.76</v>
      </c>
      <c r="O100" s="39">
        <f t="shared" ref="O100:U100" si="15">SUM(O88:O99)</f>
        <v>5010.75</v>
      </c>
      <c r="P100" s="39">
        <f t="shared" si="15"/>
        <v>4421.7999999999993</v>
      </c>
      <c r="Q100" s="39">
        <f t="shared" si="15"/>
        <v>4334.8100000000004</v>
      </c>
      <c r="R100" s="39">
        <f t="shared" si="15"/>
        <v>3712.08</v>
      </c>
      <c r="S100" s="80">
        <f t="shared" si="15"/>
        <v>3331.51</v>
      </c>
      <c r="T100" s="80">
        <f t="shared" si="15"/>
        <v>3262.4400000000014</v>
      </c>
      <c r="U100" s="80">
        <f t="shared" si="15"/>
        <v>3037.8099999999995</v>
      </c>
      <c r="V100" s="80">
        <f>SUM(V88:V99)</f>
        <v>2704.5300000000007</v>
      </c>
      <c r="W100" s="80">
        <f>SUM(W88:W99)</f>
        <v>2385.590000000002</v>
      </c>
      <c r="X100" s="80">
        <f>SUM(X88:X99)</f>
        <v>2744.4865000000018</v>
      </c>
      <c r="Y100" s="80">
        <f t="shared" ref="Y100:AD100" si="16">SUM(Y88:Y99)</f>
        <v>3122.4180000000015</v>
      </c>
      <c r="Z100" s="80">
        <f t="shared" si="16"/>
        <v>3537.7295000000004</v>
      </c>
      <c r="AA100" s="80">
        <f t="shared" si="16"/>
        <v>3930.8710000000001</v>
      </c>
      <c r="AB100" s="80">
        <f t="shared" si="16"/>
        <v>4307.9400000000005</v>
      </c>
      <c r="AC100" s="80">
        <f t="shared" si="16"/>
        <v>4693.6914999999999</v>
      </c>
      <c r="AD100" s="80">
        <f t="shared" si="16"/>
        <v>5085.8029999999999</v>
      </c>
    </row>
    <row r="101" spans="3:30" x14ac:dyDescent="0.2">
      <c r="C101" s="10"/>
      <c r="D101" s="51"/>
      <c r="E101" s="52"/>
      <c r="F101" s="52"/>
      <c r="G101" s="52"/>
      <c r="H101" s="9"/>
      <c r="J101" s="92"/>
      <c r="K101" s="3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</row>
    <row r="102" spans="3:30" ht="13.5" thickBot="1" x14ac:dyDescent="0.25">
      <c r="C102" s="16" t="s">
        <v>95</v>
      </c>
      <c r="D102" s="29" t="s">
        <v>269</v>
      </c>
      <c r="E102" s="93" t="e">
        <f>E83+E100</f>
        <v>#REF!</v>
      </c>
      <c r="F102" s="93" t="e">
        <f>F83+F100</f>
        <v>#REF!</v>
      </c>
      <c r="G102" s="94">
        <f>G83+G100</f>
        <v>2693.33</v>
      </c>
      <c r="H102" s="46">
        <f t="shared" ref="H102:U102" si="17">H100+H83</f>
        <v>3085.01</v>
      </c>
      <c r="I102" s="47">
        <f t="shared" si="17"/>
        <v>3796.13</v>
      </c>
      <c r="J102" s="47">
        <f t="shared" si="17"/>
        <v>4044.6500000000005</v>
      </c>
      <c r="K102" s="47">
        <f t="shared" si="17"/>
        <v>5170.9799999999996</v>
      </c>
      <c r="L102" s="47">
        <f t="shared" si="17"/>
        <v>6887.5999999999976</v>
      </c>
      <c r="M102" s="47">
        <f t="shared" si="17"/>
        <v>10454.36</v>
      </c>
      <c r="N102" s="47">
        <f t="shared" si="17"/>
        <v>12161.94</v>
      </c>
      <c r="O102" s="47">
        <f t="shared" si="17"/>
        <v>12862.029999999999</v>
      </c>
      <c r="P102" s="47">
        <f t="shared" si="17"/>
        <v>12959.449999999999</v>
      </c>
      <c r="Q102" s="47">
        <f t="shared" si="17"/>
        <v>12717.54</v>
      </c>
      <c r="R102" s="47">
        <f t="shared" si="17"/>
        <v>12532.92</v>
      </c>
      <c r="S102" s="11">
        <f t="shared" si="17"/>
        <v>12351.63</v>
      </c>
      <c r="T102" s="11">
        <f t="shared" si="17"/>
        <v>11620.310000000001</v>
      </c>
      <c r="U102" s="11">
        <f t="shared" si="17"/>
        <v>11109.31</v>
      </c>
      <c r="V102" s="11">
        <f>V100+V83</f>
        <v>10926.970000000001</v>
      </c>
      <c r="W102" s="11">
        <f>W100+W83</f>
        <v>9495.6200000000026</v>
      </c>
      <c r="X102" s="11">
        <f>X100+X83</f>
        <v>9715.5465000000004</v>
      </c>
      <c r="Y102" s="11">
        <f t="shared" ref="Y102:AD102" si="18">Y100+Y83</f>
        <v>9403.3080000000009</v>
      </c>
      <c r="Z102" s="11">
        <f t="shared" si="18"/>
        <v>8873.7194999999992</v>
      </c>
      <c r="AA102" s="11">
        <f t="shared" si="18"/>
        <v>8527.6810000000005</v>
      </c>
      <c r="AB102" s="11">
        <f t="shared" si="18"/>
        <v>8337.27</v>
      </c>
      <c r="AC102" s="11">
        <f t="shared" si="18"/>
        <v>8578.0614999999998</v>
      </c>
      <c r="AD102" s="11">
        <f t="shared" si="18"/>
        <v>8933.7330000000002</v>
      </c>
    </row>
    <row r="103" spans="3:30" ht="13.5" thickTop="1" x14ac:dyDescent="0.2">
      <c r="C103" s="16"/>
      <c r="D103" s="30"/>
      <c r="E103" s="95"/>
      <c r="F103" s="95"/>
      <c r="G103" s="96"/>
      <c r="H103" s="38"/>
      <c r="I103" s="40"/>
      <c r="J103" s="40"/>
      <c r="K103" s="39"/>
      <c r="L103" s="40"/>
      <c r="M103" s="40"/>
      <c r="N103" s="40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</row>
    <row r="104" spans="3:30" x14ac:dyDescent="0.2">
      <c r="C104" s="204"/>
      <c r="D104" s="30"/>
      <c r="E104" s="95"/>
      <c r="F104" s="95"/>
      <c r="G104" s="96"/>
      <c r="H104" s="38"/>
      <c r="I104" s="40"/>
      <c r="J104" s="40"/>
      <c r="K104" s="39"/>
      <c r="L104" s="40"/>
      <c r="M104" s="40"/>
      <c r="N104" s="40"/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8"/>
      <c r="AD104" s="78"/>
    </row>
    <row r="105" spans="3:30" x14ac:dyDescent="0.2">
      <c r="C105" s="204"/>
      <c r="D105" s="30"/>
      <c r="E105" s="95"/>
      <c r="F105" s="95"/>
      <c r="G105" s="96"/>
      <c r="H105" s="38"/>
      <c r="I105" s="40"/>
      <c r="J105" s="40"/>
      <c r="K105" s="39"/>
      <c r="L105" s="40"/>
      <c r="M105" s="40"/>
      <c r="N105" s="40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</row>
    <row r="106" spans="3:30" x14ac:dyDescent="0.2">
      <c r="C106" s="204"/>
      <c r="D106" s="30"/>
      <c r="E106" s="95"/>
      <c r="F106" s="95"/>
      <c r="G106" s="96"/>
      <c r="H106" s="38"/>
      <c r="I106" s="40"/>
      <c r="J106" s="40"/>
      <c r="K106" s="39"/>
      <c r="L106" s="40"/>
      <c r="M106" s="40"/>
      <c r="N106" s="40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</row>
    <row r="107" spans="3:30" x14ac:dyDescent="0.2">
      <c r="C107" s="204"/>
      <c r="D107" s="30"/>
      <c r="E107" s="95"/>
      <c r="F107" s="95"/>
      <c r="G107" s="96"/>
      <c r="H107" s="38"/>
      <c r="I107" s="40"/>
      <c r="J107" s="40"/>
      <c r="K107" s="39"/>
      <c r="L107" s="40"/>
      <c r="M107" s="40"/>
      <c r="N107" s="40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</row>
    <row r="108" spans="3:30" x14ac:dyDescent="0.2">
      <c r="C108" s="204"/>
      <c r="D108" s="30"/>
      <c r="E108" s="95"/>
      <c r="F108" s="95"/>
      <c r="G108" s="96"/>
      <c r="H108" s="38"/>
      <c r="I108" s="40"/>
      <c r="J108" s="40"/>
      <c r="K108" s="39"/>
      <c r="L108" s="40"/>
      <c r="M108" s="40"/>
      <c r="N108" s="40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</row>
    <row r="109" spans="3:30" x14ac:dyDescent="0.2">
      <c r="C109" s="16"/>
      <c r="D109" s="30"/>
      <c r="E109" s="95"/>
      <c r="F109" s="95"/>
      <c r="G109" s="96"/>
      <c r="H109" s="38"/>
      <c r="I109" s="40"/>
      <c r="J109" s="40"/>
      <c r="K109" s="39"/>
      <c r="L109" s="40"/>
      <c r="M109" s="40"/>
      <c r="N109" s="40"/>
      <c r="S109" s="78"/>
      <c r="T109" s="78"/>
      <c r="U109" s="78"/>
      <c r="V109" s="78"/>
      <c r="W109" s="78"/>
      <c r="X109" s="78"/>
      <c r="Y109" s="78"/>
      <c r="Z109" s="78"/>
      <c r="AA109" s="78"/>
      <c r="AB109" s="78"/>
      <c r="AC109" s="78"/>
      <c r="AD109" s="78"/>
    </row>
    <row r="110" spans="3:30" x14ac:dyDescent="0.2">
      <c r="C110" s="16"/>
      <c r="D110" s="30"/>
      <c r="E110" s="95"/>
      <c r="F110" s="95"/>
      <c r="G110" s="96"/>
      <c r="H110" s="38"/>
      <c r="I110" s="40"/>
      <c r="J110" s="40"/>
      <c r="K110" s="39"/>
      <c r="L110" s="40"/>
      <c r="M110" s="40"/>
      <c r="N110" s="40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</row>
    <row r="111" spans="3:30" x14ac:dyDescent="0.2">
      <c r="C111" s="16"/>
      <c r="D111" s="30"/>
      <c r="E111" s="95"/>
      <c r="F111" s="95"/>
      <c r="G111" s="96"/>
      <c r="H111" s="38"/>
      <c r="I111" s="40"/>
      <c r="J111" s="40"/>
      <c r="K111" s="39"/>
      <c r="L111" s="40"/>
      <c r="M111" s="40"/>
      <c r="N111" s="40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78"/>
    </row>
    <row r="112" spans="3:30" ht="15.75" x14ac:dyDescent="0.25">
      <c r="C112" s="16"/>
      <c r="D112" s="12" t="s">
        <v>302</v>
      </c>
      <c r="E112" s="16"/>
      <c r="F112" s="16"/>
      <c r="G112" s="16"/>
      <c r="H112" s="38"/>
      <c r="I112" s="40"/>
      <c r="J112" s="40"/>
      <c r="K112" s="39"/>
      <c r="L112" s="40"/>
      <c r="M112" s="40"/>
      <c r="N112" s="40"/>
      <c r="S112" s="78"/>
      <c r="T112" s="78"/>
      <c r="U112" s="78"/>
      <c r="V112" s="78"/>
      <c r="W112" s="78"/>
      <c r="X112" s="78"/>
      <c r="Y112" s="78"/>
      <c r="Z112" s="78"/>
      <c r="AA112" s="78"/>
      <c r="AB112" s="78"/>
      <c r="AC112" s="78"/>
      <c r="AD112" s="78"/>
    </row>
    <row r="113" spans="3:30" x14ac:dyDescent="0.2">
      <c r="C113" s="16"/>
      <c r="D113" s="29" t="s">
        <v>317</v>
      </c>
      <c r="E113" s="16"/>
      <c r="F113" s="16"/>
      <c r="G113" s="16"/>
      <c r="H113" s="38"/>
      <c r="I113" s="40"/>
      <c r="J113" s="40"/>
      <c r="K113" s="39"/>
      <c r="L113" s="40"/>
      <c r="M113" s="40"/>
      <c r="N113" s="40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</row>
    <row r="114" spans="3:30" x14ac:dyDescent="0.2">
      <c r="C114" s="10"/>
      <c r="D114" s="29" t="s">
        <v>318</v>
      </c>
      <c r="E114" s="16"/>
      <c r="F114" s="16"/>
      <c r="G114" s="16"/>
      <c r="K114" s="3"/>
      <c r="S114" s="281" t="s">
        <v>310</v>
      </c>
      <c r="T114" s="281"/>
      <c r="U114" s="281"/>
      <c r="V114" s="78"/>
      <c r="W114" s="78"/>
      <c r="X114" s="78"/>
      <c r="Y114" s="78"/>
      <c r="Z114" s="78"/>
      <c r="AA114" s="78"/>
      <c r="AB114" s="78"/>
      <c r="AC114" s="78"/>
      <c r="AD114" s="78"/>
    </row>
    <row r="115" spans="3:30" x14ac:dyDescent="0.2">
      <c r="C115" s="49"/>
      <c r="D115" s="49"/>
      <c r="E115" s="20" t="s">
        <v>1</v>
      </c>
      <c r="F115" s="21" t="s">
        <v>2</v>
      </c>
      <c r="G115" s="22">
        <v>38442</v>
      </c>
      <c r="H115" s="23">
        <v>39172</v>
      </c>
      <c r="I115" s="23">
        <v>39538</v>
      </c>
      <c r="J115" s="24">
        <v>39903</v>
      </c>
      <c r="K115" s="24">
        <v>40268</v>
      </c>
      <c r="L115" s="24">
        <v>40633</v>
      </c>
      <c r="M115" s="24">
        <v>40999</v>
      </c>
      <c r="N115" s="24">
        <v>41364</v>
      </c>
      <c r="O115" s="24">
        <v>41729</v>
      </c>
      <c r="P115" s="24">
        <v>42094</v>
      </c>
      <c r="Q115" s="24">
        <v>42460</v>
      </c>
      <c r="R115" s="24">
        <v>42825</v>
      </c>
      <c r="S115" s="264">
        <v>43190</v>
      </c>
      <c r="T115" s="24">
        <v>43555</v>
      </c>
      <c r="U115" s="24">
        <v>43921</v>
      </c>
      <c r="V115" s="24">
        <v>44286</v>
      </c>
      <c r="W115" s="24">
        <v>44651</v>
      </c>
      <c r="X115" s="24">
        <v>45016</v>
      </c>
      <c r="Y115" s="24">
        <v>45382</v>
      </c>
      <c r="Z115" s="24">
        <v>45747</v>
      </c>
      <c r="AA115" s="24">
        <v>46112</v>
      </c>
      <c r="AB115" s="24">
        <v>46477</v>
      </c>
      <c r="AC115" s="24">
        <v>46843</v>
      </c>
      <c r="AD115" s="24">
        <v>47208</v>
      </c>
    </row>
    <row r="116" spans="3:30" x14ac:dyDescent="0.2">
      <c r="C116" s="50"/>
      <c r="D116" s="50"/>
      <c r="E116" s="25" t="s">
        <v>3</v>
      </c>
      <c r="F116" s="26" t="s">
        <v>3</v>
      </c>
      <c r="G116" s="26" t="str">
        <f>F116</f>
        <v>Audited</v>
      </c>
      <c r="H116" s="27" t="s">
        <v>3</v>
      </c>
      <c r="I116" s="27" t="s">
        <v>3</v>
      </c>
      <c r="J116" s="27" t="s">
        <v>3</v>
      </c>
      <c r="K116" s="27" t="s">
        <v>3</v>
      </c>
      <c r="L116" s="27" t="s">
        <v>3</v>
      </c>
      <c r="M116" s="27" t="s">
        <v>3</v>
      </c>
      <c r="N116" s="27" t="s">
        <v>3</v>
      </c>
      <c r="O116" s="27" t="s">
        <v>3</v>
      </c>
      <c r="P116" s="27" t="s">
        <v>3</v>
      </c>
      <c r="Q116" s="27" t="s">
        <v>3</v>
      </c>
      <c r="R116" s="27" t="s">
        <v>3</v>
      </c>
      <c r="S116" s="265" t="s">
        <v>3</v>
      </c>
      <c r="T116" s="265" t="s">
        <v>3</v>
      </c>
      <c r="U116" s="265" t="s">
        <v>3</v>
      </c>
      <c r="V116" s="265" t="s">
        <v>303</v>
      </c>
      <c r="W116" s="265" t="s">
        <v>303</v>
      </c>
      <c r="X116" s="265" t="s">
        <v>303</v>
      </c>
      <c r="Y116" s="265" t="s">
        <v>303</v>
      </c>
      <c r="Z116" s="265" t="s">
        <v>303</v>
      </c>
      <c r="AA116" s="265" t="s">
        <v>303</v>
      </c>
      <c r="AB116" s="265" t="s">
        <v>303</v>
      </c>
      <c r="AC116" s="265" t="s">
        <v>303</v>
      </c>
      <c r="AD116" s="265" t="s">
        <v>303</v>
      </c>
    </row>
    <row r="117" spans="3:30" x14ac:dyDescent="0.2">
      <c r="C117" s="10"/>
      <c r="D117" s="75" t="s">
        <v>96</v>
      </c>
      <c r="E117" s="51"/>
      <c r="F117" s="51"/>
      <c r="G117" s="51"/>
      <c r="K117" s="3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</row>
    <row r="118" spans="3:30" x14ac:dyDescent="0.2">
      <c r="C118" s="10"/>
      <c r="D118" s="51"/>
      <c r="E118" s="51"/>
      <c r="F118" s="51"/>
      <c r="G118" s="51"/>
      <c r="K118" s="3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</row>
    <row r="119" spans="3:30" x14ac:dyDescent="0.2">
      <c r="C119" s="10" t="s">
        <v>97</v>
      </c>
      <c r="D119" s="52" t="s">
        <v>98</v>
      </c>
      <c r="E119" s="51">
        <v>29.5</v>
      </c>
      <c r="F119" s="51">
        <v>52.4</v>
      </c>
      <c r="G119" s="10">
        <f>'[1]Form-III'!$G$77</f>
        <v>54.65</v>
      </c>
      <c r="H119" s="1">
        <v>30.8</v>
      </c>
      <c r="I119" s="1">
        <v>64.489999999999995</v>
      </c>
      <c r="J119" s="1">
        <v>268.57</v>
      </c>
      <c r="K119" s="2">
        <f>61.61-16.37</f>
        <v>45.239999999999995</v>
      </c>
      <c r="L119" s="1">
        <f>79.94-0.25-15.85+0.01</f>
        <v>63.849999999999994</v>
      </c>
      <c r="M119" s="4">
        <f>73.44+1207.14</f>
        <v>1280.5800000000002</v>
      </c>
      <c r="N119" s="1">
        <f>100.58+100.14</f>
        <v>200.72</v>
      </c>
      <c r="O119" s="1">
        <v>131.52000000000001</v>
      </c>
      <c r="P119" s="1">
        <v>101.49</v>
      </c>
      <c r="Q119" s="1">
        <v>174.68</v>
      </c>
      <c r="R119" s="1">
        <v>173.91</v>
      </c>
      <c r="S119" s="4">
        <v>163.62</v>
      </c>
      <c r="T119" s="4">
        <v>77.44</v>
      </c>
      <c r="U119" s="4">
        <v>27.36</v>
      </c>
      <c r="V119" s="4">
        <v>85.78</v>
      </c>
      <c r="W119" s="78">
        <v>63.44</v>
      </c>
      <c r="X119" s="78">
        <v>106.7</v>
      </c>
      <c r="Y119" s="78">
        <v>128.94</v>
      </c>
      <c r="Z119" s="78">
        <v>143.18</v>
      </c>
      <c r="AA119" s="78">
        <v>145.5</v>
      </c>
      <c r="AB119" s="78">
        <v>195.09</v>
      </c>
      <c r="AC119" s="78">
        <v>200.88</v>
      </c>
      <c r="AD119" s="78">
        <v>146.55000000000001</v>
      </c>
    </row>
    <row r="120" spans="3:30" x14ac:dyDescent="0.2">
      <c r="C120" s="10"/>
      <c r="D120" s="51"/>
      <c r="E120" s="51"/>
      <c r="F120" s="51"/>
      <c r="G120" s="10"/>
      <c r="H120" s="9"/>
      <c r="I120" s="9"/>
      <c r="J120" s="9"/>
      <c r="K120" s="3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 t="s">
        <v>430</v>
      </c>
      <c r="AD120" s="78"/>
    </row>
    <row r="121" spans="3:30" x14ac:dyDescent="0.2">
      <c r="C121" s="10" t="s">
        <v>99</v>
      </c>
      <c r="D121" s="52" t="s">
        <v>100</v>
      </c>
      <c r="E121" s="51"/>
      <c r="F121" s="51"/>
      <c r="G121" s="10"/>
      <c r="H121" s="9"/>
      <c r="I121" s="9"/>
      <c r="J121" s="9"/>
      <c r="K121" s="3"/>
      <c r="S121" s="78"/>
      <c r="T121" s="78"/>
      <c r="U121" s="78"/>
      <c r="V121" s="78"/>
      <c r="W121" s="78"/>
      <c r="X121" s="78"/>
      <c r="Y121" s="78"/>
      <c r="Z121" s="78"/>
      <c r="AA121" s="78"/>
      <c r="AB121" s="78"/>
      <c r="AC121" s="78"/>
      <c r="AD121" s="78"/>
    </row>
    <row r="122" spans="3:30" x14ac:dyDescent="0.2">
      <c r="C122" s="10"/>
      <c r="D122" s="52" t="s">
        <v>101</v>
      </c>
      <c r="E122" s="51"/>
      <c r="F122" s="51"/>
      <c r="G122" s="10"/>
      <c r="H122" s="9"/>
      <c r="I122" s="9"/>
      <c r="J122" s="9"/>
      <c r="K122" s="3"/>
      <c r="S122" s="78"/>
      <c r="T122" s="78"/>
      <c r="U122" s="78"/>
      <c r="V122" s="78"/>
      <c r="W122" s="78"/>
      <c r="X122" s="78"/>
      <c r="Y122" s="78"/>
      <c r="Z122" s="78"/>
      <c r="AA122" s="78"/>
      <c r="AB122" s="78"/>
      <c r="AC122" s="78"/>
      <c r="AD122" s="78"/>
    </row>
    <row r="123" spans="3:30" x14ac:dyDescent="0.2">
      <c r="C123" s="10"/>
      <c r="D123" s="51"/>
      <c r="E123" s="51"/>
      <c r="F123" s="51"/>
      <c r="G123" s="10"/>
      <c r="H123" s="9"/>
      <c r="I123" s="9"/>
      <c r="J123" s="9"/>
      <c r="K123" s="3"/>
      <c r="S123" s="78"/>
      <c r="T123" s="78"/>
      <c r="U123" s="78"/>
      <c r="V123" s="78"/>
      <c r="W123" s="78"/>
      <c r="X123" s="78"/>
      <c r="Y123" s="78"/>
      <c r="Z123" s="78"/>
      <c r="AA123" s="78"/>
      <c r="AB123" s="78"/>
      <c r="AC123" s="78"/>
      <c r="AD123" s="78"/>
    </row>
    <row r="124" spans="3:30" x14ac:dyDescent="0.2">
      <c r="C124" s="10"/>
      <c r="D124" s="52" t="s">
        <v>333</v>
      </c>
      <c r="E124" s="51">
        <v>0</v>
      </c>
      <c r="F124" s="51">
        <v>0</v>
      </c>
      <c r="G124" s="10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374.71</v>
      </c>
      <c r="O124" s="1">
        <v>0</v>
      </c>
      <c r="P124" s="1">
        <v>0</v>
      </c>
      <c r="Q124" s="1">
        <v>0</v>
      </c>
      <c r="R124" s="1">
        <v>0</v>
      </c>
      <c r="S124" s="4">
        <v>0</v>
      </c>
      <c r="T124" s="4">
        <v>0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4">
        <v>0</v>
      </c>
      <c r="AD124" s="4">
        <v>0</v>
      </c>
    </row>
    <row r="125" spans="3:30" x14ac:dyDescent="0.2">
      <c r="C125" s="10"/>
      <c r="D125" s="51"/>
      <c r="E125" s="51"/>
      <c r="F125" s="51"/>
      <c r="G125" s="10"/>
      <c r="H125" s="9"/>
      <c r="I125" s="9"/>
      <c r="J125" s="9"/>
      <c r="K125" s="3"/>
      <c r="S125" s="78"/>
      <c r="T125" s="78"/>
      <c r="U125" s="78"/>
      <c r="V125" s="78"/>
      <c r="W125" s="78"/>
      <c r="X125" s="78"/>
      <c r="Y125" s="78"/>
      <c r="Z125" s="78"/>
      <c r="AA125" s="78"/>
      <c r="AB125" s="78"/>
      <c r="AC125" s="78"/>
      <c r="AD125" s="78"/>
    </row>
    <row r="126" spans="3:30" x14ac:dyDescent="0.2">
      <c r="C126" s="10"/>
      <c r="D126" s="52" t="s">
        <v>102</v>
      </c>
      <c r="E126" s="51">
        <v>2.48</v>
      </c>
      <c r="F126" s="51">
        <v>2.48</v>
      </c>
      <c r="G126" s="10">
        <f>'[1]Form-III'!$G$80</f>
        <v>2.6</v>
      </c>
      <c r="H126" s="1">
        <v>0</v>
      </c>
      <c r="I126" s="1">
        <v>42.3</v>
      </c>
      <c r="J126" s="1">
        <f>132.3-125.66</f>
        <v>6.6400000000000148</v>
      </c>
      <c r="K126" s="1">
        <v>13.55</v>
      </c>
      <c r="L126" s="1">
        <f>32.71+2.64</f>
        <v>35.35</v>
      </c>
      <c r="M126" s="1">
        <f>41.71+250</f>
        <v>291.70999999999998</v>
      </c>
      <c r="N126" s="1">
        <f>50.38+279.17</f>
        <v>329.55</v>
      </c>
      <c r="O126" s="1">
        <v>214.55</v>
      </c>
      <c r="P126" s="1">
        <v>261.94</v>
      </c>
      <c r="Q126" s="1">
        <v>85.39</v>
      </c>
      <c r="R126" s="1">
        <v>95.39</v>
      </c>
      <c r="S126" s="4">
        <f>112.25</f>
        <v>112.25</v>
      </c>
      <c r="T126" s="4">
        <v>119.13</v>
      </c>
      <c r="U126" s="4">
        <v>91.49</v>
      </c>
      <c r="V126" s="4">
        <v>96.53</v>
      </c>
      <c r="W126" s="4">
        <v>75</v>
      </c>
      <c r="X126" s="4">
        <v>75</v>
      </c>
      <c r="Y126" s="4">
        <v>75</v>
      </c>
      <c r="Z126" s="4">
        <v>75</v>
      </c>
      <c r="AA126" s="4">
        <v>75</v>
      </c>
      <c r="AB126" s="4">
        <v>75</v>
      </c>
      <c r="AC126" s="4">
        <v>75</v>
      </c>
      <c r="AD126" s="4">
        <v>75</v>
      </c>
    </row>
    <row r="127" spans="3:30" x14ac:dyDescent="0.2">
      <c r="C127" s="9"/>
      <c r="G127" s="9"/>
      <c r="H127" s="9"/>
      <c r="I127" s="9"/>
      <c r="J127" s="9"/>
      <c r="K127" s="3"/>
      <c r="S127" s="78"/>
      <c r="T127" s="78"/>
      <c r="U127" s="78"/>
      <c r="V127" s="78"/>
      <c r="W127" s="78"/>
      <c r="X127" s="78"/>
      <c r="Y127" s="78"/>
      <c r="Z127" s="78"/>
      <c r="AA127" s="78"/>
      <c r="AB127" s="78"/>
      <c r="AC127" s="78"/>
      <c r="AD127" s="78"/>
    </row>
    <row r="128" spans="3:30" x14ac:dyDescent="0.2">
      <c r="C128" s="10" t="s">
        <v>103</v>
      </c>
      <c r="D128" s="52" t="s">
        <v>104</v>
      </c>
      <c r="E128" s="51">
        <v>817.43</v>
      </c>
      <c r="F128" s="51">
        <v>885.44</v>
      </c>
      <c r="G128" s="10">
        <v>588.77</v>
      </c>
      <c r="H128" s="59">
        <v>1040.83</v>
      </c>
      <c r="I128" s="2">
        <f>SUM(1230.61-8.91)</f>
        <v>1221.6999999999998</v>
      </c>
      <c r="J128" s="2">
        <f>SUM(1402.63-J132)-8.91</f>
        <v>1185.6000000000001</v>
      </c>
      <c r="K128" s="2">
        <v>1355.85</v>
      </c>
      <c r="L128" s="4">
        <v>1855.77</v>
      </c>
      <c r="M128" s="4">
        <v>2913.43</v>
      </c>
      <c r="N128" s="4">
        <v>2370.64</v>
      </c>
      <c r="O128" s="4">
        <v>2313.2600000000002</v>
      </c>
      <c r="P128" s="4">
        <v>2139.37</v>
      </c>
      <c r="Q128" s="4">
        <v>2767.46</v>
      </c>
      <c r="R128" s="4">
        <f>2712.55-R132</f>
        <v>2507.5700000000002</v>
      </c>
      <c r="S128" s="4">
        <f>2933.51-S132</f>
        <v>2679.19</v>
      </c>
      <c r="T128" s="4">
        <f>2459.31-T132</f>
        <v>2303.39</v>
      </c>
      <c r="U128" s="4">
        <f>2069.43-U132</f>
        <v>1983.6299999999999</v>
      </c>
      <c r="V128" s="4">
        <f>1766.53-V132</f>
        <v>1681.61</v>
      </c>
      <c r="W128" s="4">
        <f>'FORM - IV'!V35</f>
        <v>1400</v>
      </c>
      <c r="X128" s="4">
        <f>'FORM - IV'!W35</f>
        <v>1700</v>
      </c>
      <c r="Y128" s="4">
        <f>'FORM - IV'!X35</f>
        <v>1700</v>
      </c>
      <c r="Z128" s="4">
        <f>'FORM - IV'!Y35</f>
        <v>1650</v>
      </c>
      <c r="AA128" s="4">
        <f>'FORM - IV'!Z35</f>
        <v>1650</v>
      </c>
      <c r="AB128" s="4">
        <f>'FORM - IV'!AA35</f>
        <v>1650</v>
      </c>
      <c r="AC128" s="4">
        <f>'FORM - IV'!AB35</f>
        <v>1650</v>
      </c>
      <c r="AD128" s="4">
        <f>'FORM - IV'!AC35</f>
        <v>1650</v>
      </c>
    </row>
    <row r="129" spans="3:30" x14ac:dyDescent="0.2">
      <c r="C129" s="10"/>
      <c r="D129" s="52" t="s">
        <v>105</v>
      </c>
      <c r="E129" s="51"/>
      <c r="F129" s="51"/>
      <c r="G129" s="10"/>
      <c r="H129" s="9"/>
      <c r="I129" s="9"/>
      <c r="J129" s="9"/>
      <c r="K129" s="3"/>
      <c r="S129" s="78"/>
      <c r="T129" s="78"/>
      <c r="U129" s="78"/>
      <c r="V129" s="78"/>
      <c r="W129" s="78"/>
      <c r="X129" s="78"/>
      <c r="Y129" s="78"/>
      <c r="Z129" s="78"/>
      <c r="AA129" s="78"/>
      <c r="AB129" s="78"/>
      <c r="AC129" s="78"/>
      <c r="AD129" s="78"/>
    </row>
    <row r="130" spans="3:30" x14ac:dyDescent="0.2">
      <c r="C130" s="10"/>
      <c r="D130" s="52" t="s">
        <v>106</v>
      </c>
      <c r="E130" s="51"/>
      <c r="F130" s="51"/>
      <c r="G130" s="10"/>
      <c r="H130" s="9"/>
      <c r="I130" s="9"/>
      <c r="J130" s="9"/>
      <c r="K130" s="3"/>
      <c r="S130" s="78"/>
      <c r="T130" s="78"/>
      <c r="U130" s="78"/>
      <c r="V130" s="78"/>
      <c r="W130" s="78"/>
      <c r="X130" s="78"/>
      <c r="Y130" s="78"/>
      <c r="Z130" s="78"/>
      <c r="AA130" s="78"/>
      <c r="AB130" s="78"/>
      <c r="AC130" s="78"/>
      <c r="AD130" s="78"/>
    </row>
    <row r="131" spans="3:30" x14ac:dyDescent="0.2">
      <c r="C131" s="10"/>
      <c r="D131" s="51"/>
      <c r="E131" s="51"/>
      <c r="F131" s="51"/>
      <c r="G131" s="10"/>
      <c r="H131" s="9"/>
      <c r="I131" s="9"/>
      <c r="J131" s="9"/>
      <c r="K131" s="3"/>
      <c r="S131" s="78"/>
      <c r="T131" s="78"/>
      <c r="U131" s="78"/>
      <c r="V131" s="78"/>
      <c r="W131" s="78"/>
      <c r="X131" s="78"/>
      <c r="Y131" s="78"/>
      <c r="Z131" s="78"/>
      <c r="AA131" s="78"/>
      <c r="AB131" s="78"/>
      <c r="AC131" s="78"/>
      <c r="AD131" s="78"/>
    </row>
    <row r="132" spans="3:30" x14ac:dyDescent="0.2">
      <c r="C132" s="10"/>
      <c r="D132" s="52" t="s">
        <v>107</v>
      </c>
      <c r="E132" s="51">
        <v>139.148</v>
      </c>
      <c r="F132" s="51">
        <v>103.36</v>
      </c>
      <c r="G132" s="10">
        <v>256.58</v>
      </c>
      <c r="H132" s="1">
        <v>220.44</v>
      </c>
      <c r="I132" s="1">
        <v>163.13</v>
      </c>
      <c r="J132" s="1">
        <v>208.12</v>
      </c>
      <c r="K132" s="2">
        <v>270.93</v>
      </c>
      <c r="L132" s="1">
        <v>279.02</v>
      </c>
      <c r="M132" s="1">
        <v>365.16</v>
      </c>
      <c r="N132" s="1">
        <v>369.23</v>
      </c>
      <c r="O132" s="1">
        <v>307.26</v>
      </c>
      <c r="P132" s="1">
        <v>306.43</v>
      </c>
      <c r="Q132" s="1">
        <v>272.54000000000002</v>
      </c>
      <c r="R132" s="1">
        <v>204.98</v>
      </c>
      <c r="S132" s="4">
        <v>254.32</v>
      </c>
      <c r="T132" s="4">
        <v>155.91999999999999</v>
      </c>
      <c r="U132" s="4">
        <v>85.8</v>
      </c>
      <c r="V132" s="4">
        <v>84.92</v>
      </c>
      <c r="W132" s="4">
        <f>'FORM - IV'!V39</f>
        <v>200</v>
      </c>
      <c r="X132" s="4">
        <f>'FORM - IV'!W39</f>
        <v>250</v>
      </c>
      <c r="Y132" s="4">
        <f>'FORM - IV'!X39</f>
        <v>250</v>
      </c>
      <c r="Z132" s="4">
        <f>'FORM - IV'!Y39</f>
        <v>250</v>
      </c>
      <c r="AA132" s="4">
        <f>'FORM - IV'!Z39</f>
        <v>250</v>
      </c>
      <c r="AB132" s="4">
        <f>'FORM - IV'!AA39</f>
        <v>250</v>
      </c>
      <c r="AC132" s="4">
        <f>'FORM - IV'!AB39</f>
        <v>250</v>
      </c>
      <c r="AD132" s="4">
        <f>'FORM - IV'!AC39</f>
        <v>250</v>
      </c>
    </row>
    <row r="133" spans="3:30" x14ac:dyDescent="0.2">
      <c r="C133" s="10"/>
      <c r="D133" s="52" t="s">
        <v>108</v>
      </c>
      <c r="E133" s="51"/>
      <c r="F133" s="51"/>
      <c r="G133" s="10"/>
      <c r="H133" s="9"/>
      <c r="I133" s="9"/>
      <c r="J133" s="9"/>
      <c r="K133" s="3"/>
      <c r="S133" s="78"/>
      <c r="T133" s="78"/>
      <c r="U133" s="78"/>
      <c r="V133" s="78"/>
      <c r="W133" s="78"/>
      <c r="X133" s="78"/>
      <c r="Y133" s="78"/>
      <c r="Z133" s="78"/>
      <c r="AA133" s="78"/>
      <c r="AB133" s="78"/>
      <c r="AC133" s="78"/>
      <c r="AD133" s="78"/>
    </row>
    <row r="134" spans="3:30" x14ac:dyDescent="0.2">
      <c r="C134" s="10"/>
      <c r="D134" s="51"/>
      <c r="E134" s="51"/>
      <c r="F134" s="51"/>
      <c r="G134" s="10"/>
      <c r="H134" s="9"/>
      <c r="I134" s="9"/>
      <c r="J134" s="9"/>
      <c r="K134" s="3"/>
      <c r="S134" s="78"/>
      <c r="T134" s="78"/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</row>
    <row r="135" spans="3:30" x14ac:dyDescent="0.2">
      <c r="C135" s="10" t="s">
        <v>109</v>
      </c>
      <c r="D135" s="52" t="s">
        <v>110</v>
      </c>
      <c r="E135" s="51">
        <v>0</v>
      </c>
      <c r="F135" s="51">
        <v>0</v>
      </c>
      <c r="G135" s="10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4">
        <v>0</v>
      </c>
      <c r="T135" s="4">
        <v>0</v>
      </c>
      <c r="U135" s="4">
        <v>0</v>
      </c>
      <c r="V135" s="4">
        <v>0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4">
        <v>0</v>
      </c>
      <c r="AD135" s="4">
        <v>0</v>
      </c>
    </row>
    <row r="136" spans="3:30" x14ac:dyDescent="0.2">
      <c r="C136" s="10"/>
      <c r="D136" s="52" t="s">
        <v>64</v>
      </c>
      <c r="E136" s="51"/>
      <c r="F136" s="51"/>
      <c r="G136" s="10"/>
      <c r="H136" s="9"/>
      <c r="I136" s="9"/>
      <c r="J136" s="9"/>
      <c r="K136" s="3"/>
      <c r="S136" s="78"/>
      <c r="T136" s="78"/>
      <c r="U136" s="78"/>
      <c r="V136" s="78"/>
      <c r="W136" s="78"/>
      <c r="X136" s="78"/>
      <c r="Y136" s="78"/>
      <c r="Z136" s="78"/>
      <c r="AA136" s="78"/>
      <c r="AB136" s="78"/>
      <c r="AC136" s="78"/>
      <c r="AD136" s="78"/>
    </row>
    <row r="137" spans="3:30" x14ac:dyDescent="0.2">
      <c r="C137" s="10"/>
      <c r="D137" s="51"/>
      <c r="E137" s="51"/>
      <c r="F137" s="51"/>
      <c r="G137" s="10"/>
      <c r="H137" s="9"/>
      <c r="I137" s="9"/>
      <c r="J137" s="9"/>
      <c r="K137" s="3"/>
      <c r="S137" s="78"/>
      <c r="T137" s="78"/>
      <c r="U137" s="78"/>
      <c r="V137" s="78"/>
      <c r="W137" s="78"/>
      <c r="X137" s="78"/>
      <c r="Y137" s="78"/>
      <c r="Z137" s="78"/>
      <c r="AA137" s="78"/>
      <c r="AB137" s="78"/>
      <c r="AC137" s="78"/>
      <c r="AD137" s="78"/>
    </row>
    <row r="138" spans="3:30" x14ac:dyDescent="0.2">
      <c r="C138" s="10" t="s">
        <v>111</v>
      </c>
      <c r="D138" s="52" t="s">
        <v>112</v>
      </c>
      <c r="E138" s="51"/>
      <c r="F138" s="51"/>
      <c r="G138" s="10"/>
      <c r="H138" s="9"/>
      <c r="I138" s="9"/>
      <c r="J138" s="9"/>
      <c r="K138" s="3"/>
      <c r="S138" s="78"/>
      <c r="T138" s="78"/>
      <c r="U138" s="78"/>
      <c r="V138" s="78"/>
      <c r="W138" s="78"/>
      <c r="X138" s="78"/>
      <c r="Y138" s="78"/>
      <c r="Z138" s="78"/>
      <c r="AA138" s="78"/>
      <c r="AB138" s="78"/>
      <c r="AC138" s="78"/>
      <c r="AD138" s="78"/>
    </row>
    <row r="139" spans="3:30" x14ac:dyDescent="0.2">
      <c r="C139" s="10"/>
      <c r="D139" s="52" t="s">
        <v>113</v>
      </c>
      <c r="E139" s="51"/>
      <c r="F139" s="51"/>
      <c r="G139" s="10"/>
      <c r="H139" s="9"/>
      <c r="I139" s="9"/>
      <c r="J139" s="9"/>
      <c r="K139" s="3"/>
      <c r="S139" s="78"/>
      <c r="T139" s="78"/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</row>
    <row r="140" spans="3:30" x14ac:dyDescent="0.2">
      <c r="C140" s="10"/>
      <c r="D140" s="52" t="s">
        <v>114</v>
      </c>
      <c r="E140" s="51"/>
      <c r="F140" s="51"/>
      <c r="G140" s="10"/>
      <c r="H140" s="9"/>
      <c r="I140" s="9"/>
      <c r="J140" s="9"/>
      <c r="K140" s="3"/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</row>
    <row r="141" spans="3:30" x14ac:dyDescent="0.2">
      <c r="C141" s="10"/>
      <c r="D141" s="52" t="s">
        <v>115</v>
      </c>
      <c r="E141" s="51"/>
      <c r="F141" s="51"/>
      <c r="G141" s="10"/>
      <c r="H141" s="9"/>
      <c r="I141" s="9"/>
      <c r="J141" s="9"/>
      <c r="K141" s="3"/>
      <c r="S141" s="78"/>
      <c r="T141" s="78"/>
      <c r="U141" s="78"/>
      <c r="V141" s="78"/>
      <c r="W141" s="78"/>
      <c r="X141" s="78"/>
      <c r="Y141" s="78"/>
      <c r="Z141" s="78"/>
      <c r="AA141" s="78"/>
      <c r="AB141" s="78"/>
      <c r="AC141" s="78"/>
      <c r="AD141" s="78"/>
    </row>
    <row r="142" spans="3:30" x14ac:dyDescent="0.2">
      <c r="C142" s="10"/>
      <c r="D142" s="51"/>
      <c r="E142" s="51"/>
      <c r="F142" s="51"/>
      <c r="G142" s="10"/>
      <c r="H142" s="9"/>
      <c r="I142" s="9"/>
      <c r="J142" s="9"/>
      <c r="K142" s="3"/>
      <c r="S142" s="78"/>
      <c r="T142" s="78"/>
      <c r="U142" s="78"/>
      <c r="V142" s="78"/>
      <c r="W142" s="78"/>
      <c r="X142" s="78"/>
      <c r="Y142" s="78"/>
      <c r="Z142" s="78"/>
      <c r="AA142" s="78"/>
      <c r="AB142" s="78"/>
      <c r="AC142" s="78"/>
      <c r="AD142" s="78"/>
    </row>
    <row r="143" spans="3:30" x14ac:dyDescent="0.2">
      <c r="C143" s="10"/>
      <c r="D143" s="52" t="s">
        <v>116</v>
      </c>
      <c r="E143" s="51">
        <v>0</v>
      </c>
      <c r="F143" s="51">
        <f>F239</f>
        <v>0</v>
      </c>
      <c r="G143" s="10">
        <f>G239</f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77">
        <v>0</v>
      </c>
      <c r="T143" s="77">
        <v>0</v>
      </c>
      <c r="U143" s="77">
        <v>0</v>
      </c>
      <c r="V143" s="77">
        <v>0</v>
      </c>
      <c r="W143" s="77">
        <v>0</v>
      </c>
      <c r="X143" s="77">
        <v>0</v>
      </c>
      <c r="Y143" s="77">
        <v>0</v>
      </c>
      <c r="Z143" s="77">
        <v>0</v>
      </c>
      <c r="AA143" s="77">
        <v>0</v>
      </c>
      <c r="AB143" s="77">
        <v>0</v>
      </c>
      <c r="AC143" s="77">
        <v>0</v>
      </c>
      <c r="AD143" s="77">
        <v>0</v>
      </c>
    </row>
    <row r="144" spans="3:30" x14ac:dyDescent="0.2">
      <c r="C144" s="10"/>
      <c r="D144" s="52" t="s">
        <v>117</v>
      </c>
      <c r="E144" s="51">
        <v>124.16</v>
      </c>
      <c r="F144" s="51">
        <v>183.43</v>
      </c>
      <c r="G144" s="10">
        <f>'[1]Form-III'!$G$93</f>
        <v>246.58</v>
      </c>
      <c r="H144" s="1">
        <v>225.76</v>
      </c>
      <c r="I144" s="1">
        <v>459.13</v>
      </c>
      <c r="J144" s="1">
        <v>372.44</v>
      </c>
      <c r="K144" s="2">
        <v>433.84</v>
      </c>
      <c r="L144" s="1">
        <v>584.75</v>
      </c>
      <c r="M144" s="1">
        <v>637.49</v>
      </c>
      <c r="N144" s="1">
        <v>689.71</v>
      </c>
      <c r="O144" s="1">
        <v>541.20000000000005</v>
      </c>
      <c r="P144" s="1">
        <v>689.7</v>
      </c>
      <c r="Q144" s="4">
        <v>492.02</v>
      </c>
      <c r="R144" s="4">
        <v>278.92</v>
      </c>
      <c r="S144" s="4">
        <v>346.59</v>
      </c>
      <c r="T144" s="4">
        <v>204.64</v>
      </c>
      <c r="U144" s="4">
        <v>62.86</v>
      </c>
      <c r="V144" s="4">
        <v>204.14</v>
      </c>
      <c r="W144" s="4">
        <f>'FORM - IV'!V19</f>
        <v>450</v>
      </c>
      <c r="X144" s="4">
        <f>'FORM - IV'!W19</f>
        <v>600</v>
      </c>
      <c r="Y144" s="4">
        <f>'FORM - IV'!X19</f>
        <v>750</v>
      </c>
      <c r="Z144" s="4">
        <f>'FORM - IV'!Y19</f>
        <v>750</v>
      </c>
      <c r="AA144" s="4">
        <f>'FORM - IV'!Z19</f>
        <v>850</v>
      </c>
      <c r="AB144" s="4">
        <f>'FORM - IV'!AA19</f>
        <v>850</v>
      </c>
      <c r="AC144" s="4">
        <f>'FORM - IV'!AB19</f>
        <v>850</v>
      </c>
      <c r="AD144" s="4">
        <f>'FORM - IV'!AC19</f>
        <v>850</v>
      </c>
    </row>
    <row r="145" spans="3:30" x14ac:dyDescent="0.2">
      <c r="C145" s="10"/>
      <c r="D145" s="51"/>
      <c r="E145" s="51"/>
      <c r="F145" s="51"/>
      <c r="G145" s="10"/>
      <c r="H145" s="9"/>
      <c r="I145" s="9"/>
      <c r="J145" s="9"/>
      <c r="K145" s="3"/>
      <c r="S145" s="78"/>
      <c r="T145" s="78"/>
      <c r="U145" s="78"/>
      <c r="V145" s="78"/>
      <c r="W145" s="78"/>
      <c r="X145" s="78"/>
      <c r="Y145" s="78"/>
      <c r="Z145" s="78"/>
      <c r="AA145" s="78"/>
      <c r="AB145" s="78"/>
      <c r="AC145" s="78"/>
      <c r="AD145" s="78"/>
    </row>
    <row r="146" spans="3:30" x14ac:dyDescent="0.2">
      <c r="C146" s="10"/>
      <c r="D146" s="52" t="s">
        <v>118</v>
      </c>
      <c r="E146" s="51">
        <v>55.37</v>
      </c>
      <c r="F146" s="51">
        <v>88.14</v>
      </c>
      <c r="G146" s="10">
        <f>'FORM - II'!G56</f>
        <v>150.36000000000001</v>
      </c>
      <c r="H146" s="1">
        <v>153.03</v>
      </c>
      <c r="I146" s="1">
        <v>207.88</v>
      </c>
      <c r="J146" s="1">
        <f>'FORM - II'!J56</f>
        <v>59.08</v>
      </c>
      <c r="K146" s="1">
        <f>'FORM - II'!K56</f>
        <v>106.87</v>
      </c>
      <c r="L146" s="1">
        <f>'FORM - II'!L56</f>
        <v>172.86</v>
      </c>
      <c r="M146" s="1">
        <f>'FORM - II'!M56</f>
        <v>223.64</v>
      </c>
      <c r="N146" s="1">
        <f>'FORM - II'!N56</f>
        <v>265.66000000000003</v>
      </c>
      <c r="O146" s="1">
        <f>279.2+35.69</f>
        <v>314.89</v>
      </c>
      <c r="P146" s="1">
        <v>418.75</v>
      </c>
      <c r="Q146" s="1">
        <f>'FORM - II'!Q56</f>
        <v>315</v>
      </c>
      <c r="R146" s="4">
        <v>401.04</v>
      </c>
      <c r="S146" s="4">
        <v>471.47</v>
      </c>
      <c r="T146" s="4">
        <f>'FORM - II'!T56</f>
        <v>537.86</v>
      </c>
      <c r="U146" s="4">
        <v>880.25</v>
      </c>
      <c r="V146" s="4">
        <v>1049.33</v>
      </c>
      <c r="W146" s="4">
        <f>'FORM - IV'!V27</f>
        <v>750</v>
      </c>
      <c r="X146" s="4">
        <f>'FORM - IV'!W27</f>
        <v>750</v>
      </c>
      <c r="Y146" s="4">
        <f>'FORM - IV'!X27</f>
        <v>750</v>
      </c>
      <c r="Z146" s="4">
        <f>'FORM - IV'!Y27</f>
        <v>750</v>
      </c>
      <c r="AA146" s="4">
        <f>'FORM - IV'!Z27</f>
        <v>750</v>
      </c>
      <c r="AB146" s="4">
        <f>'FORM - IV'!AA27</f>
        <v>750</v>
      </c>
      <c r="AC146" s="4">
        <f>'FORM - IV'!AB27</f>
        <v>750</v>
      </c>
      <c r="AD146" s="4">
        <f>'FORM - IV'!AC27</f>
        <v>750</v>
      </c>
    </row>
    <row r="147" spans="3:30" x14ac:dyDescent="0.2">
      <c r="C147" s="10"/>
      <c r="D147" s="51"/>
      <c r="E147" s="51"/>
      <c r="F147" s="51"/>
      <c r="G147" s="10"/>
      <c r="H147" s="9"/>
      <c r="I147" s="9"/>
      <c r="J147" s="9"/>
      <c r="K147" s="3"/>
      <c r="S147" s="78"/>
      <c r="T147" s="78"/>
      <c r="U147" s="78"/>
      <c r="V147" s="78"/>
      <c r="W147" s="78"/>
      <c r="X147" s="78"/>
      <c r="Y147" s="78"/>
      <c r="Z147" s="78"/>
      <c r="AA147" s="78"/>
      <c r="AB147" s="78"/>
      <c r="AC147" s="78"/>
      <c r="AD147" s="78"/>
    </row>
    <row r="148" spans="3:30" x14ac:dyDescent="0.2">
      <c r="C148" s="10"/>
      <c r="D148" s="52" t="s">
        <v>119</v>
      </c>
      <c r="E148" s="51">
        <v>84.02</v>
      </c>
      <c r="F148" s="51">
        <v>70.37</v>
      </c>
      <c r="G148" s="10">
        <f>'FORM - II'!G64</f>
        <v>120.23</v>
      </c>
      <c r="H148" s="1">
        <v>150.02000000000001</v>
      </c>
      <c r="I148" s="1">
        <v>157.41999999999999</v>
      </c>
      <c r="J148" s="1">
        <f>'FORM - II'!J64</f>
        <v>230.61</v>
      </c>
      <c r="K148" s="1">
        <f>'FORM - II'!K64</f>
        <v>196.69</v>
      </c>
      <c r="L148" s="1">
        <f>'FORM - II'!L64</f>
        <v>433.35</v>
      </c>
      <c r="M148" s="1">
        <f>'FORM - II'!M64</f>
        <v>415.87</v>
      </c>
      <c r="N148" s="1">
        <f>'FORM - II'!N64</f>
        <v>568.33000000000004</v>
      </c>
      <c r="O148" s="4">
        <f>'FORM - II'!O64</f>
        <v>611.53</v>
      </c>
      <c r="P148" s="4">
        <v>701.62</v>
      </c>
      <c r="Q148" s="4">
        <v>537.16</v>
      </c>
      <c r="R148" s="4">
        <v>586.76</v>
      </c>
      <c r="S148" s="4">
        <v>643.22</v>
      </c>
      <c r="T148" s="4">
        <f>'FORM - II'!T64+10.21</f>
        <v>1101.1400000000001</v>
      </c>
      <c r="U148" s="4">
        <v>1242.49</v>
      </c>
      <c r="V148" s="4">
        <f>1313.69+9.31</f>
        <v>1323</v>
      </c>
      <c r="W148" s="4">
        <f>'FORM - IV'!V30</f>
        <v>900</v>
      </c>
      <c r="X148" s="4">
        <f>'FORM - IV'!W30</f>
        <v>1050</v>
      </c>
      <c r="Y148" s="4">
        <f>'FORM - IV'!X30</f>
        <v>1050</v>
      </c>
      <c r="Z148" s="4">
        <f>'FORM - IV'!Y30</f>
        <v>1050</v>
      </c>
      <c r="AA148" s="4">
        <f>'FORM - IV'!Z30</f>
        <v>1050</v>
      </c>
      <c r="AB148" s="4">
        <f>'FORM - IV'!AA30</f>
        <v>1050</v>
      </c>
      <c r="AC148" s="4">
        <f>'FORM - IV'!AB30</f>
        <v>1050</v>
      </c>
      <c r="AD148" s="4">
        <f>'FORM - IV'!AC30</f>
        <v>1050</v>
      </c>
    </row>
    <row r="149" spans="3:30" x14ac:dyDescent="0.2">
      <c r="C149" s="10"/>
      <c r="D149" s="51"/>
      <c r="E149" s="51"/>
      <c r="F149" s="51"/>
      <c r="G149" s="10"/>
      <c r="H149" s="9"/>
      <c r="I149" s="9"/>
      <c r="J149" s="9"/>
      <c r="K149" s="3"/>
      <c r="S149" s="78"/>
      <c r="T149" s="78"/>
      <c r="U149" s="77"/>
      <c r="V149" s="78"/>
      <c r="W149" s="78"/>
      <c r="X149" s="78"/>
      <c r="Y149" s="78"/>
      <c r="Z149" s="78"/>
      <c r="AA149" s="78"/>
      <c r="AB149" s="78"/>
      <c r="AC149" s="78"/>
      <c r="AD149" s="78"/>
    </row>
    <row r="150" spans="3:30" x14ac:dyDescent="0.2">
      <c r="C150" s="10"/>
      <c r="D150" s="52" t="s">
        <v>120</v>
      </c>
      <c r="E150" s="51"/>
      <c r="F150" s="51"/>
      <c r="G150" s="10"/>
      <c r="H150" s="9"/>
      <c r="I150" s="9"/>
      <c r="J150" s="9"/>
      <c r="K150" s="3"/>
      <c r="S150" s="78"/>
      <c r="T150" s="78"/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</row>
    <row r="151" spans="3:30" x14ac:dyDescent="0.2">
      <c r="C151" s="10"/>
      <c r="D151" s="51"/>
      <c r="E151" s="51"/>
      <c r="F151" s="51"/>
      <c r="G151" s="10"/>
      <c r="H151" s="9"/>
      <c r="I151" s="9"/>
      <c r="J151" s="9"/>
      <c r="K151" s="3"/>
      <c r="S151" s="78"/>
      <c r="T151" s="78"/>
      <c r="U151" s="78"/>
      <c r="V151" s="78"/>
      <c r="W151" s="78"/>
      <c r="X151" s="78"/>
      <c r="Y151" s="78"/>
      <c r="Z151" s="78"/>
      <c r="AA151" s="78"/>
      <c r="AB151" s="78"/>
      <c r="AC151" s="78"/>
      <c r="AD151" s="78"/>
    </row>
    <row r="152" spans="3:30" x14ac:dyDescent="0.2">
      <c r="C152" s="10"/>
      <c r="D152" s="52" t="s">
        <v>116</v>
      </c>
      <c r="E152" s="51">
        <v>0</v>
      </c>
      <c r="F152" s="51">
        <v>0</v>
      </c>
      <c r="G152" s="10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  <c r="AC152" s="4">
        <v>0</v>
      </c>
      <c r="AD152" s="4">
        <v>0</v>
      </c>
    </row>
    <row r="153" spans="3:30" x14ac:dyDescent="0.2">
      <c r="C153" s="10"/>
      <c r="D153" s="52" t="s">
        <v>117</v>
      </c>
      <c r="E153" s="51">
        <v>60.86</v>
      </c>
      <c r="F153" s="51">
        <v>75.290000000000006</v>
      </c>
      <c r="G153" s="10">
        <f>'[1]Form-III'!$G$98</f>
        <v>76.72</v>
      </c>
      <c r="H153" s="1">
        <v>60.6</v>
      </c>
      <c r="I153" s="1">
        <v>83.31</v>
      </c>
      <c r="J153" s="1">
        <v>71.650000000000006</v>
      </c>
      <c r="K153" s="2">
        <v>86.06</v>
      </c>
      <c r="L153" s="1">
        <v>103.74</v>
      </c>
      <c r="M153" s="1">
        <v>123.3</v>
      </c>
      <c r="N153" s="1">
        <v>181.83</v>
      </c>
      <c r="O153" s="1">
        <v>207.76</v>
      </c>
      <c r="P153" s="1">
        <v>251.43</v>
      </c>
      <c r="Q153" s="1">
        <v>244.9</v>
      </c>
      <c r="R153" s="1">
        <v>309.88</v>
      </c>
      <c r="S153" s="4">
        <v>395.05</v>
      </c>
      <c r="T153" s="4">
        <v>318.88</v>
      </c>
      <c r="U153" s="4">
        <v>277.75</v>
      </c>
      <c r="V153" s="4">
        <v>320.31</v>
      </c>
      <c r="W153" s="4">
        <f>'FORM - IV'!V24</f>
        <v>300</v>
      </c>
      <c r="X153" s="4">
        <f>'FORM - IV'!W24</f>
        <v>300</v>
      </c>
      <c r="Y153" s="4">
        <f>'FORM - IV'!X24</f>
        <v>300</v>
      </c>
      <c r="Z153" s="4">
        <f>'FORM - IV'!Y24</f>
        <v>300</v>
      </c>
      <c r="AA153" s="4">
        <f>'FORM - IV'!Z24</f>
        <v>300</v>
      </c>
      <c r="AB153" s="4">
        <f>'FORM - IV'!AA24</f>
        <v>300</v>
      </c>
      <c r="AC153" s="4">
        <f>'FORM - IV'!AB24</f>
        <v>300</v>
      </c>
      <c r="AD153" s="4">
        <f>'FORM - IV'!AC24</f>
        <v>300</v>
      </c>
    </row>
    <row r="154" spans="3:30" x14ac:dyDescent="0.2">
      <c r="C154" s="10"/>
      <c r="D154" s="51"/>
      <c r="E154" s="51"/>
      <c r="F154" s="51"/>
      <c r="G154" s="10"/>
      <c r="H154" s="9"/>
      <c r="I154" s="9"/>
      <c r="J154" s="9"/>
      <c r="K154" s="3"/>
      <c r="S154" s="78"/>
      <c r="T154" s="78"/>
      <c r="U154" s="78"/>
      <c r="V154" s="78"/>
      <c r="W154" s="78"/>
      <c r="X154" s="78"/>
      <c r="Y154" s="78"/>
      <c r="Z154" s="78"/>
      <c r="AA154" s="78"/>
      <c r="AB154" s="78"/>
      <c r="AC154" s="78"/>
      <c r="AD154" s="78"/>
    </row>
    <row r="155" spans="3:30" x14ac:dyDescent="0.2">
      <c r="C155" s="10" t="s">
        <v>121</v>
      </c>
      <c r="D155" s="52" t="s">
        <v>122</v>
      </c>
      <c r="E155" s="51">
        <v>54.08</v>
      </c>
      <c r="F155" s="51">
        <v>48.92</v>
      </c>
      <c r="G155" s="10">
        <f>'[1]Form-III'!$G$100</f>
        <v>82.18</v>
      </c>
      <c r="H155" s="1">
        <v>87.38</v>
      </c>
      <c r="I155" s="1">
        <v>102.81</v>
      </c>
      <c r="J155" s="1">
        <v>60.13</v>
      </c>
      <c r="K155" s="2">
        <v>70.02</v>
      </c>
      <c r="L155" s="1">
        <v>54.32</v>
      </c>
      <c r="M155" s="1">
        <v>39.57</v>
      </c>
      <c r="N155" s="1">
        <v>38.08</v>
      </c>
      <c r="O155" s="1">
        <v>89.6</v>
      </c>
      <c r="P155" s="1">
        <v>92.67</v>
      </c>
      <c r="Q155" s="1">
        <v>75.2</v>
      </c>
      <c r="R155" s="1">
        <v>112.98</v>
      </c>
      <c r="S155" s="4">
        <v>28</v>
      </c>
      <c r="T155" s="4">
        <v>130.62</v>
      </c>
      <c r="U155" s="4">
        <v>105.16</v>
      </c>
      <c r="V155" s="4">
        <v>80.28</v>
      </c>
      <c r="W155" s="4">
        <f>'FORM - IV'!V44</f>
        <v>85</v>
      </c>
      <c r="X155" s="4">
        <f>'FORM - IV'!W44</f>
        <v>100</v>
      </c>
      <c r="Y155" s="4">
        <f>'FORM - IV'!X44</f>
        <v>100</v>
      </c>
      <c r="Z155" s="4">
        <f>'FORM - IV'!Y44</f>
        <v>100</v>
      </c>
      <c r="AA155" s="4">
        <f>'FORM - IV'!Z44</f>
        <v>100</v>
      </c>
      <c r="AB155" s="4">
        <f>'FORM - IV'!AA44</f>
        <v>100</v>
      </c>
      <c r="AC155" s="4">
        <f>'FORM - IV'!AB44</f>
        <v>100</v>
      </c>
      <c r="AD155" s="4">
        <f>'FORM - IV'!AC44</f>
        <v>100</v>
      </c>
    </row>
    <row r="156" spans="3:30" x14ac:dyDescent="0.2">
      <c r="C156" s="10"/>
      <c r="D156" s="52" t="s">
        <v>123</v>
      </c>
      <c r="E156" s="51"/>
      <c r="F156" s="51"/>
      <c r="G156" s="10"/>
      <c r="H156" s="9"/>
      <c r="I156" s="9"/>
      <c r="J156" s="9"/>
      <c r="K156" s="3"/>
      <c r="L156" s="9"/>
      <c r="M156" s="9"/>
      <c r="N156" s="9"/>
      <c r="O156" s="9"/>
      <c r="P156" s="9"/>
      <c r="Q156" s="9"/>
      <c r="R156" s="9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</row>
    <row r="157" spans="3:30" x14ac:dyDescent="0.2">
      <c r="C157" s="10"/>
      <c r="D157" s="51"/>
      <c r="E157" s="51"/>
      <c r="F157" s="51"/>
      <c r="G157" s="10"/>
      <c r="H157" s="9"/>
      <c r="I157" s="9"/>
      <c r="J157" s="9"/>
      <c r="K157" s="3"/>
      <c r="L157" s="9"/>
      <c r="M157" s="9"/>
      <c r="N157" s="9"/>
      <c r="O157" s="9"/>
      <c r="P157" s="9"/>
      <c r="Q157" s="9"/>
      <c r="R157" s="9"/>
      <c r="S157" s="77"/>
      <c r="T157" s="4"/>
      <c r="U157" s="77"/>
      <c r="V157" s="77"/>
      <c r="W157" s="77"/>
      <c r="X157" s="77"/>
      <c r="Y157" s="77"/>
      <c r="Z157" s="77"/>
      <c r="AA157" s="77"/>
      <c r="AB157" s="77"/>
      <c r="AC157" s="77"/>
      <c r="AD157" s="77"/>
    </row>
    <row r="158" spans="3:30" x14ac:dyDescent="0.2">
      <c r="C158" s="10" t="s">
        <v>124</v>
      </c>
      <c r="D158" s="52" t="s">
        <v>125</v>
      </c>
      <c r="E158" s="51">
        <v>11</v>
      </c>
      <c r="F158" s="51">
        <v>6</v>
      </c>
      <c r="G158" s="10">
        <v>120</v>
      </c>
      <c r="H158" s="1">
        <v>4.5199999999999996</v>
      </c>
      <c r="I158" s="1">
        <v>12.47</v>
      </c>
      <c r="J158" s="1">
        <v>13.72</v>
      </c>
      <c r="K158" s="2">
        <v>0</v>
      </c>
      <c r="L158" s="1">
        <v>5.95</v>
      </c>
      <c r="M158" s="1">
        <f>6.53+3.31</f>
        <v>9.84</v>
      </c>
      <c r="N158" s="1">
        <f>80.93+18.34</f>
        <v>99.27000000000001</v>
      </c>
      <c r="O158" s="1">
        <v>342.8</v>
      </c>
      <c r="P158" s="1">
        <v>332.04</v>
      </c>
      <c r="Q158" s="1">
        <v>341.04</v>
      </c>
      <c r="R158" s="1">
        <v>346.29</v>
      </c>
      <c r="S158" s="4">
        <v>354.04</v>
      </c>
      <c r="T158" s="4">
        <v>369.92</v>
      </c>
      <c r="U158" s="4">
        <v>367.56</v>
      </c>
      <c r="V158" s="4">
        <v>374.45</v>
      </c>
      <c r="W158" s="4">
        <v>375</v>
      </c>
      <c r="X158" s="4">
        <v>340</v>
      </c>
      <c r="Y158" s="4">
        <v>340</v>
      </c>
      <c r="Z158" s="4">
        <v>340</v>
      </c>
      <c r="AA158" s="4">
        <v>340</v>
      </c>
      <c r="AB158" s="4">
        <v>340</v>
      </c>
      <c r="AC158" s="4">
        <v>340</v>
      </c>
      <c r="AD158" s="4">
        <v>340</v>
      </c>
    </row>
    <row r="159" spans="3:30" x14ac:dyDescent="0.2">
      <c r="C159" s="10"/>
      <c r="D159" s="51"/>
      <c r="E159" s="51"/>
      <c r="F159" s="51"/>
      <c r="G159" s="10"/>
      <c r="H159" s="9"/>
      <c r="I159" s="9"/>
      <c r="J159" s="9"/>
      <c r="K159" s="3"/>
      <c r="L159" s="9"/>
      <c r="M159" s="9"/>
      <c r="N159" s="9"/>
      <c r="O159" s="9"/>
      <c r="P159" s="9"/>
      <c r="Q159" s="9"/>
      <c r="R159" s="9"/>
      <c r="S159" s="77"/>
      <c r="T159" s="77"/>
      <c r="U159" s="77"/>
      <c r="V159" s="77"/>
      <c r="W159" s="77"/>
      <c r="X159" s="77"/>
      <c r="Y159" s="77"/>
      <c r="Z159" s="77"/>
      <c r="AA159" s="77"/>
      <c r="AB159" s="77"/>
      <c r="AC159" s="77"/>
      <c r="AD159" s="77"/>
    </row>
    <row r="160" spans="3:30" x14ac:dyDescent="0.2">
      <c r="C160" s="10" t="s">
        <v>126</v>
      </c>
      <c r="D160" s="52" t="s">
        <v>127</v>
      </c>
      <c r="E160" s="51">
        <f>(186.41+17.01)</f>
        <v>203.42</v>
      </c>
      <c r="F160" s="51">
        <v>179.08</v>
      </c>
      <c r="G160" s="10">
        <v>189.84</v>
      </c>
      <c r="H160" s="10">
        <v>175.22</v>
      </c>
      <c r="I160" s="10">
        <v>270.77999999999997</v>
      </c>
      <c r="J160" s="10">
        <v>361.9</v>
      </c>
      <c r="K160" s="66">
        <f>689.4-28.09-13.55+3.19-0.01</f>
        <v>650.94000000000005</v>
      </c>
      <c r="L160" s="7">
        <f>39.38+856.81+153.47-2.43+31.04</f>
        <v>1078.2699999999998</v>
      </c>
      <c r="M160" s="7">
        <f>944.98+114.82</f>
        <v>1059.8</v>
      </c>
      <c r="N160" s="7">
        <f>898.85+303.61</f>
        <v>1202.46</v>
      </c>
      <c r="O160" s="7">
        <v>1084.6400000000001</v>
      </c>
      <c r="P160" s="7">
        <f>870.06-P155</f>
        <v>777.39</v>
      </c>
      <c r="Q160" s="7">
        <v>733.04</v>
      </c>
      <c r="R160" s="7">
        <v>765.04</v>
      </c>
      <c r="S160" s="7">
        <v>225.48</v>
      </c>
      <c r="T160" s="7">
        <v>32.99</v>
      </c>
      <c r="U160" s="7">
        <v>34.35</v>
      </c>
      <c r="V160" s="7">
        <v>38.630000000000003</v>
      </c>
      <c r="W160" s="7">
        <v>75</v>
      </c>
      <c r="X160" s="7">
        <v>75</v>
      </c>
      <c r="Y160" s="7">
        <v>75</v>
      </c>
      <c r="Z160" s="7">
        <v>75</v>
      </c>
      <c r="AA160" s="7">
        <v>75</v>
      </c>
      <c r="AB160" s="7">
        <v>75</v>
      </c>
      <c r="AC160" s="7">
        <v>75</v>
      </c>
      <c r="AD160" s="7">
        <v>75</v>
      </c>
    </row>
    <row r="161" spans="3:31" x14ac:dyDescent="0.2">
      <c r="C161" s="10"/>
      <c r="D161" s="52" t="s">
        <v>70</v>
      </c>
      <c r="E161" s="51"/>
      <c r="F161" s="51"/>
      <c r="G161" s="10"/>
      <c r="H161" s="9"/>
      <c r="I161" s="9"/>
      <c r="J161" s="9"/>
      <c r="K161" s="3"/>
      <c r="S161" s="78"/>
      <c r="T161" s="78"/>
      <c r="U161" s="78"/>
      <c r="V161" s="78"/>
      <c r="W161" s="78"/>
      <c r="X161" s="78"/>
      <c r="Y161" s="78"/>
      <c r="Z161" s="78"/>
      <c r="AA161" s="78"/>
      <c r="AB161" s="78"/>
      <c r="AC161" s="78"/>
      <c r="AD161" s="78"/>
    </row>
    <row r="162" spans="3:31" x14ac:dyDescent="0.2">
      <c r="C162" s="10"/>
      <c r="D162" s="51"/>
      <c r="E162" s="52"/>
      <c r="F162" s="52"/>
      <c r="G162" s="10"/>
      <c r="H162" s="9"/>
      <c r="I162" s="9"/>
      <c r="J162" s="9"/>
      <c r="K162" s="3"/>
      <c r="S162" s="78"/>
      <c r="T162" s="78"/>
      <c r="U162" s="78"/>
      <c r="V162" s="78"/>
      <c r="W162" s="78"/>
      <c r="X162" s="78"/>
      <c r="Y162" s="78"/>
      <c r="Z162" s="78"/>
      <c r="AA162" s="78"/>
      <c r="AB162" s="78"/>
      <c r="AC162" s="78"/>
      <c r="AD162" s="78"/>
    </row>
    <row r="163" spans="3:31" x14ac:dyDescent="0.2">
      <c r="C163" s="16" t="s">
        <v>128</v>
      </c>
      <c r="D163" s="29" t="s">
        <v>298</v>
      </c>
      <c r="E163" s="42">
        <f t="shared" ref="E163:L163" si="19">SUM(E119:E160)</f>
        <v>1581.4679999999998</v>
      </c>
      <c r="F163" s="42">
        <f t="shared" si="19"/>
        <v>1694.9100000000003</v>
      </c>
      <c r="G163" s="43">
        <f t="shared" si="19"/>
        <v>1888.51</v>
      </c>
      <c r="H163" s="44">
        <f t="shared" si="19"/>
        <v>2148.5999999999995</v>
      </c>
      <c r="I163" s="43">
        <f t="shared" si="19"/>
        <v>2785.42</v>
      </c>
      <c r="J163" s="44">
        <f t="shared" si="19"/>
        <v>2838.4600000000005</v>
      </c>
      <c r="K163" s="44">
        <f t="shared" si="19"/>
        <v>3229.99</v>
      </c>
      <c r="L163" s="44">
        <f t="shared" si="19"/>
        <v>4667.2299999999996</v>
      </c>
      <c r="M163" s="44">
        <f>SUM(M119:M160)</f>
        <v>7360.39</v>
      </c>
      <c r="N163" s="44">
        <f>SUM(N119:N160)</f>
        <v>6690.19</v>
      </c>
      <c r="O163" s="44">
        <f t="shared" ref="O163:U163" si="20">SUM(O119:O160)</f>
        <v>6159.0100000000011</v>
      </c>
      <c r="P163" s="44">
        <f t="shared" si="20"/>
        <v>6072.83</v>
      </c>
      <c r="Q163" s="44">
        <f t="shared" si="20"/>
        <v>6038.4299999999994</v>
      </c>
      <c r="R163" s="44">
        <f t="shared" si="20"/>
        <v>5782.76</v>
      </c>
      <c r="S163" s="81">
        <f t="shared" si="20"/>
        <v>5673.2300000000005</v>
      </c>
      <c r="T163" s="81">
        <f t="shared" si="20"/>
        <v>5351.93</v>
      </c>
      <c r="U163" s="81">
        <f t="shared" si="20"/>
        <v>5158.7000000000007</v>
      </c>
      <c r="V163" s="267">
        <f>SUM(V119:V160)</f>
        <v>5338.98</v>
      </c>
      <c r="W163" s="81">
        <f>SUM(W119:W160)</f>
        <v>4673.4400000000005</v>
      </c>
      <c r="X163" s="81">
        <f>SUM(X119:X160)</f>
        <v>5346.7</v>
      </c>
      <c r="Y163" s="81">
        <f t="shared" ref="Y163:AD163" si="21">SUM(Y119:Y160)</f>
        <v>5518.9400000000005</v>
      </c>
      <c r="Z163" s="81">
        <f t="shared" si="21"/>
        <v>5483.18</v>
      </c>
      <c r="AA163" s="81">
        <f t="shared" si="21"/>
        <v>5585.5</v>
      </c>
      <c r="AB163" s="81">
        <f t="shared" si="21"/>
        <v>5635.09</v>
      </c>
      <c r="AC163" s="81">
        <f t="shared" si="21"/>
        <v>5640.88</v>
      </c>
      <c r="AD163" s="81">
        <f t="shared" si="21"/>
        <v>5586.55</v>
      </c>
      <c r="AE163" s="92"/>
    </row>
    <row r="164" spans="3:31" x14ac:dyDescent="0.2">
      <c r="C164" s="10"/>
      <c r="D164" s="29" t="s">
        <v>299</v>
      </c>
      <c r="E164" s="52"/>
      <c r="F164" s="52"/>
      <c r="G164" s="52"/>
      <c r="K164" s="3"/>
      <c r="S164" s="78"/>
      <c r="T164" s="78"/>
      <c r="U164" s="78"/>
      <c r="V164" s="78"/>
      <c r="W164" s="78"/>
      <c r="X164" s="78"/>
      <c r="Y164" s="78"/>
      <c r="Z164" s="78"/>
      <c r="AA164" s="78"/>
      <c r="AB164" s="78"/>
      <c r="AC164" s="78"/>
      <c r="AD164" s="78"/>
    </row>
    <row r="165" spans="3:31" x14ac:dyDescent="0.2">
      <c r="C165" s="10"/>
      <c r="D165" s="52"/>
      <c r="E165" s="52"/>
      <c r="F165" s="52"/>
      <c r="G165" s="52"/>
      <c r="K165" s="3"/>
      <c r="S165" s="78"/>
      <c r="T165" s="78"/>
      <c r="U165" s="78"/>
      <c r="V165" s="78"/>
      <c r="W165" s="78"/>
      <c r="X165" s="78"/>
      <c r="Y165" s="78"/>
      <c r="Z165" s="78"/>
      <c r="AA165" s="78"/>
      <c r="AB165" s="78"/>
      <c r="AC165" s="78"/>
      <c r="AD165" s="78"/>
    </row>
    <row r="166" spans="3:31" x14ac:dyDescent="0.2">
      <c r="C166" s="10"/>
      <c r="D166" s="52"/>
      <c r="E166" s="52"/>
      <c r="F166" s="52"/>
      <c r="G166" s="52"/>
      <c r="K166" s="3"/>
      <c r="O166" s="78"/>
      <c r="S166" s="78"/>
      <c r="T166" s="78"/>
      <c r="U166" s="78"/>
      <c r="V166" s="78"/>
      <c r="W166" s="78"/>
      <c r="X166" s="78"/>
      <c r="Y166" s="78"/>
      <c r="Z166" s="78"/>
      <c r="AA166" s="78"/>
      <c r="AB166" s="78"/>
      <c r="AC166" s="78"/>
      <c r="AD166" s="78"/>
    </row>
    <row r="167" spans="3:31" ht="15.75" x14ac:dyDescent="0.25">
      <c r="C167" s="10"/>
      <c r="D167" s="12" t="s">
        <v>302</v>
      </c>
      <c r="E167" s="52"/>
      <c r="F167" s="52"/>
      <c r="G167" s="52"/>
      <c r="K167" s="3"/>
      <c r="S167" s="78"/>
      <c r="T167" s="78"/>
      <c r="U167" s="78"/>
      <c r="V167" s="78"/>
      <c r="W167" s="78"/>
      <c r="X167" s="78"/>
      <c r="Y167" s="78"/>
      <c r="Z167" s="78"/>
      <c r="AA167" s="78"/>
      <c r="AB167" s="78"/>
      <c r="AC167" s="78"/>
      <c r="AD167" s="78"/>
    </row>
    <row r="168" spans="3:31" x14ac:dyDescent="0.2">
      <c r="C168" s="10"/>
      <c r="D168" s="75" t="s">
        <v>130</v>
      </c>
      <c r="E168" s="51"/>
      <c r="F168" s="51"/>
      <c r="G168" s="51"/>
      <c r="K168" s="3"/>
      <c r="S168" s="78"/>
      <c r="T168" s="78"/>
      <c r="U168" s="78"/>
      <c r="V168" s="78"/>
      <c r="W168" s="78"/>
      <c r="X168" s="78"/>
      <c r="Y168" s="78"/>
      <c r="Z168" s="78"/>
      <c r="AA168" s="78"/>
      <c r="AB168" s="78"/>
      <c r="AC168" s="78"/>
      <c r="AD168" s="78"/>
    </row>
    <row r="169" spans="3:31" x14ac:dyDescent="0.2">
      <c r="C169" s="10"/>
      <c r="D169" s="51"/>
      <c r="E169" s="51"/>
      <c r="F169" s="51"/>
      <c r="G169" s="51"/>
      <c r="K169" s="3"/>
      <c r="S169" s="78"/>
      <c r="T169" s="278"/>
      <c r="U169" s="278"/>
      <c r="V169" s="278"/>
      <c r="W169" s="278"/>
      <c r="X169" s="278"/>
      <c r="Y169" s="278"/>
      <c r="Z169" s="278"/>
      <c r="AA169" s="278"/>
      <c r="AB169" s="278"/>
      <c r="AC169" s="278"/>
      <c r="AD169" s="278"/>
    </row>
    <row r="170" spans="3:31" x14ac:dyDescent="0.2">
      <c r="C170" s="10" t="s">
        <v>131</v>
      </c>
      <c r="D170" s="52" t="s">
        <v>339</v>
      </c>
      <c r="E170" s="51">
        <v>803.21</v>
      </c>
      <c r="F170" s="51">
        <v>1019.21</v>
      </c>
      <c r="G170" s="66">
        <v>1073</v>
      </c>
      <c r="H170" s="59">
        <v>1345.06</v>
      </c>
      <c r="I170" s="59">
        <v>1628.71</v>
      </c>
      <c r="J170" s="4">
        <v>1765.68</v>
      </c>
      <c r="K170" s="2">
        <v>2019.42</v>
      </c>
      <c r="L170" s="2">
        <v>2180.96</v>
      </c>
      <c r="M170" s="2">
        <f>2512.77-31.04</f>
        <v>2481.73</v>
      </c>
      <c r="N170" s="2">
        <v>3526.35</v>
      </c>
      <c r="O170" s="2">
        <v>7129.75</v>
      </c>
      <c r="P170" s="2">
        <v>7994.32</v>
      </c>
      <c r="Q170" s="2">
        <v>8657.83</v>
      </c>
      <c r="R170" s="2">
        <v>8776.93</v>
      </c>
      <c r="S170" s="4">
        <v>9319.5500000000011</v>
      </c>
      <c r="T170" s="124">
        <v>9212.1200000000008</v>
      </c>
      <c r="U170" s="124">
        <v>9166.3799999999992</v>
      </c>
      <c r="V170" s="124">
        <f>9092.65+23.79+49.94</f>
        <v>9166.380000000001</v>
      </c>
      <c r="W170" s="124">
        <f>V175</f>
        <v>9187.3700000000008</v>
      </c>
      <c r="X170" s="124">
        <f>W175</f>
        <v>9187.3700000000008</v>
      </c>
      <c r="Y170" s="124">
        <f t="shared" ref="Y170:AD170" si="22">X175</f>
        <v>9187.3700000000008</v>
      </c>
      <c r="Z170" s="124">
        <f t="shared" si="22"/>
        <v>9187.3700000000008</v>
      </c>
      <c r="AA170" s="124">
        <f t="shared" si="22"/>
        <v>9187.3700000000008</v>
      </c>
      <c r="AB170" s="124">
        <f t="shared" si="22"/>
        <v>9187.3700000000008</v>
      </c>
      <c r="AC170" s="124">
        <f t="shared" si="22"/>
        <v>9337.3700000000008</v>
      </c>
      <c r="AD170" s="124">
        <f t="shared" si="22"/>
        <v>9962.3700000000008</v>
      </c>
    </row>
    <row r="171" spans="3:31" x14ac:dyDescent="0.2">
      <c r="C171" s="10"/>
      <c r="D171" s="52" t="s">
        <v>132</v>
      </c>
      <c r="E171" s="51"/>
      <c r="F171" s="51"/>
      <c r="G171" s="10"/>
      <c r="H171" s="9"/>
      <c r="I171" s="9"/>
      <c r="K171" s="3"/>
      <c r="S171" s="78"/>
      <c r="T171" s="278"/>
      <c r="U171" s="278"/>
      <c r="V171" s="278"/>
      <c r="W171" s="278"/>
      <c r="X171" s="278"/>
      <c r="Y171" s="278"/>
      <c r="Z171" s="278"/>
      <c r="AA171" s="278"/>
      <c r="AB171" s="278"/>
      <c r="AC171" s="278"/>
      <c r="AD171" s="278"/>
    </row>
    <row r="172" spans="3:31" x14ac:dyDescent="0.2">
      <c r="C172" s="10"/>
      <c r="D172" s="52"/>
      <c r="E172" s="51"/>
      <c r="F172" s="51"/>
      <c r="G172" s="10"/>
      <c r="H172" s="9"/>
      <c r="I172" s="9"/>
      <c r="K172" s="3"/>
      <c r="S172" s="78"/>
      <c r="T172" s="78"/>
      <c r="U172" s="78"/>
      <c r="V172" s="78"/>
      <c r="W172" s="78"/>
      <c r="X172" s="78"/>
      <c r="Y172" s="78"/>
      <c r="Z172" s="78"/>
      <c r="AA172" s="78"/>
      <c r="AB172" s="78"/>
      <c r="AC172" s="78"/>
      <c r="AD172" s="78"/>
    </row>
    <row r="173" spans="3:31" x14ac:dyDescent="0.2">
      <c r="C173" s="10"/>
      <c r="D173" s="52" t="s">
        <v>423</v>
      </c>
      <c r="E173" s="51">
        <v>0</v>
      </c>
      <c r="F173" s="51">
        <v>0</v>
      </c>
      <c r="G173" s="10">
        <v>79.14</v>
      </c>
      <c r="H173" s="1">
        <v>159.05000000000001</v>
      </c>
      <c r="I173" s="1">
        <v>67.06</v>
      </c>
      <c r="J173" s="1">
        <v>39.99</v>
      </c>
      <c r="K173" s="2">
        <v>73.510000000000005</v>
      </c>
      <c r="L173" s="4">
        <f>737.38-657.76</f>
        <v>79.62</v>
      </c>
      <c r="M173" s="4">
        <v>1440.28</v>
      </c>
      <c r="N173" s="4">
        <f>15.91+2587.28</f>
        <v>2603.19</v>
      </c>
      <c r="O173" s="1">
        <v>441.5</v>
      </c>
      <c r="P173" s="1">
        <v>684.66</v>
      </c>
      <c r="Q173" s="1">
        <v>333.13</v>
      </c>
      <c r="R173" s="1">
        <v>356.47</v>
      </c>
      <c r="S173" s="4">
        <v>3.8</v>
      </c>
      <c r="T173" s="4">
        <v>0</v>
      </c>
      <c r="U173" s="4">
        <v>0</v>
      </c>
      <c r="V173" s="4">
        <f>55.54+0.2</f>
        <v>55.74</v>
      </c>
      <c r="W173" s="4">
        <v>0</v>
      </c>
      <c r="X173" s="4">
        <v>0</v>
      </c>
      <c r="Y173" s="4">
        <v>0</v>
      </c>
      <c r="Z173" s="4"/>
      <c r="AA173" s="124"/>
      <c r="AB173" s="124">
        <v>150</v>
      </c>
      <c r="AC173" s="124">
        <v>625</v>
      </c>
      <c r="AD173" s="124">
        <v>800</v>
      </c>
    </row>
    <row r="174" spans="3:31" x14ac:dyDescent="0.2">
      <c r="C174" s="10"/>
      <c r="D174" s="52" t="s">
        <v>443</v>
      </c>
      <c r="E174" s="51"/>
      <c r="F174" s="51"/>
      <c r="G174" s="10"/>
      <c r="H174" s="1"/>
      <c r="I174" s="1"/>
      <c r="J174" s="1"/>
      <c r="K174" s="2"/>
      <c r="L174" s="4"/>
      <c r="M174" s="4"/>
      <c r="N174" s="4"/>
      <c r="O174" s="1"/>
      <c r="P174" s="1"/>
      <c r="Q174" s="1"/>
      <c r="R174" s="1"/>
      <c r="S174" s="4"/>
      <c r="T174" s="4"/>
      <c r="U174" s="4"/>
      <c r="V174" s="4">
        <v>34.75</v>
      </c>
      <c r="W174" s="4"/>
      <c r="X174" s="4"/>
      <c r="Y174" s="4"/>
      <c r="Z174" s="4"/>
      <c r="AA174" s="4"/>
      <c r="AB174" s="4"/>
      <c r="AC174" s="4"/>
      <c r="AD174" s="4"/>
    </row>
    <row r="175" spans="3:31" x14ac:dyDescent="0.2">
      <c r="C175" s="10"/>
      <c r="D175" s="51" t="s">
        <v>364</v>
      </c>
      <c r="E175" s="51"/>
      <c r="F175" s="51"/>
      <c r="G175" s="10"/>
      <c r="H175" s="9"/>
      <c r="I175" s="9"/>
      <c r="K175" s="3"/>
      <c r="S175" s="78"/>
      <c r="T175" s="78">
        <f>SUM(T170:T173)</f>
        <v>9212.1200000000008</v>
      </c>
      <c r="U175" s="78">
        <f t="shared" ref="U175:AD175" si="23">SUM(U170:U173)</f>
        <v>9166.3799999999992</v>
      </c>
      <c r="V175" s="78">
        <f>V170+V173-V174</f>
        <v>9187.3700000000008</v>
      </c>
      <c r="W175" s="78">
        <f t="shared" si="23"/>
        <v>9187.3700000000008</v>
      </c>
      <c r="X175" s="78">
        <f t="shared" si="23"/>
        <v>9187.3700000000008</v>
      </c>
      <c r="Y175" s="78">
        <f t="shared" si="23"/>
        <v>9187.3700000000008</v>
      </c>
      <c r="Z175" s="78">
        <f t="shared" si="23"/>
        <v>9187.3700000000008</v>
      </c>
      <c r="AA175" s="78">
        <f t="shared" si="23"/>
        <v>9187.3700000000008</v>
      </c>
      <c r="AB175" s="78">
        <f t="shared" si="23"/>
        <v>9337.3700000000008</v>
      </c>
      <c r="AC175" s="78">
        <f t="shared" si="23"/>
        <v>9962.3700000000008</v>
      </c>
      <c r="AD175" s="78">
        <f t="shared" si="23"/>
        <v>10762.37</v>
      </c>
    </row>
    <row r="176" spans="3:31" x14ac:dyDescent="0.2">
      <c r="C176" s="10" t="s">
        <v>133</v>
      </c>
      <c r="D176" s="52" t="s">
        <v>134</v>
      </c>
      <c r="E176" s="50">
        <v>383.15</v>
      </c>
      <c r="F176" s="50">
        <v>419.06</v>
      </c>
      <c r="G176" s="79">
        <f>'[1]Form-III'!$G$112</f>
        <v>472.71</v>
      </c>
      <c r="H176" s="79">
        <v>692.83</v>
      </c>
      <c r="I176" s="79">
        <v>766.65</v>
      </c>
      <c r="J176" s="79">
        <v>833.57</v>
      </c>
      <c r="K176" s="79">
        <v>912.78</v>
      </c>
      <c r="L176" s="6">
        <v>992.9</v>
      </c>
      <c r="M176" s="6">
        <f>SUM(L176+'FORM - II'!M42)</f>
        <v>1105.4000000000001</v>
      </c>
      <c r="N176" s="6">
        <v>1440.76</v>
      </c>
      <c r="O176" s="6">
        <v>1713.06</v>
      </c>
      <c r="P176" s="6">
        <v>2177.4899999999998</v>
      </c>
      <c r="Q176" s="6">
        <v>2636.38</v>
      </c>
      <c r="R176" s="6">
        <v>3057.36</v>
      </c>
      <c r="S176" s="6">
        <f>3366.34+16.85</f>
        <v>3383.19</v>
      </c>
      <c r="T176" s="6">
        <v>3703.14</v>
      </c>
      <c r="U176" s="6">
        <v>4064.31</v>
      </c>
      <c r="V176" s="6">
        <f>4408.57+22.66+14.03</f>
        <v>4445.2599999999993</v>
      </c>
      <c r="W176" s="6">
        <f>V176+'FORM - II'!W42</f>
        <v>4835.2599999999993</v>
      </c>
      <c r="X176" s="6">
        <f>W176+'FORM - II'!X42</f>
        <v>5225.2599999999993</v>
      </c>
      <c r="Y176" s="6">
        <f>X176+'FORM - II'!Y42</f>
        <v>5615.2599999999993</v>
      </c>
      <c r="Z176" s="6">
        <f>Y176+'FORM - II'!Z42</f>
        <v>6005.2599999999993</v>
      </c>
      <c r="AA176" s="6">
        <f>Z176+'FORM - II'!AA42</f>
        <v>6395.2599999999993</v>
      </c>
      <c r="AB176" s="6">
        <f>AA176+'FORM - II'!AB42</f>
        <v>6785.2599999999993</v>
      </c>
      <c r="AC176" s="6">
        <f>AB176+'FORM - II'!AC42</f>
        <v>7175.2599999999993</v>
      </c>
      <c r="AD176" s="6">
        <f>AC176+'FORM - II'!AD42</f>
        <v>7565.2599999999993</v>
      </c>
      <c r="AE176" s="78"/>
    </row>
    <row r="177" spans="3:30" x14ac:dyDescent="0.2">
      <c r="C177" s="10"/>
      <c r="D177" s="51"/>
      <c r="E177" s="52"/>
      <c r="F177" s="52"/>
      <c r="G177" s="10"/>
      <c r="H177" s="9"/>
      <c r="J177" s="35"/>
      <c r="K177" s="3"/>
      <c r="S177" s="78"/>
      <c r="T177" s="78"/>
      <c r="U177" s="78"/>
      <c r="V177" s="78"/>
      <c r="W177" s="78"/>
      <c r="X177" s="78"/>
      <c r="Y177" s="78"/>
      <c r="Z177" s="78"/>
      <c r="AA177" s="78"/>
      <c r="AB177" s="78"/>
      <c r="AC177" s="78"/>
      <c r="AD177" s="78"/>
    </row>
    <row r="178" spans="3:30" x14ac:dyDescent="0.2">
      <c r="C178" s="16" t="s">
        <v>135</v>
      </c>
      <c r="D178" s="75" t="s">
        <v>136</v>
      </c>
      <c r="E178" s="51">
        <f>E170-E176</f>
        <v>420.06000000000006</v>
      </c>
      <c r="F178" s="51">
        <f>F170-F176</f>
        <v>600.15000000000009</v>
      </c>
      <c r="G178" s="16">
        <f t="shared" ref="G178:L178" si="24">G170+G173-G176</f>
        <v>679.43000000000006</v>
      </c>
      <c r="H178" s="16">
        <f t="shared" si="24"/>
        <v>811.27999999999986</v>
      </c>
      <c r="I178" s="16">
        <f t="shared" si="24"/>
        <v>929.12</v>
      </c>
      <c r="J178" s="97">
        <f t="shared" si="24"/>
        <v>972.1</v>
      </c>
      <c r="K178" s="97">
        <f t="shared" si="24"/>
        <v>1180.1500000000003</v>
      </c>
      <c r="L178" s="97">
        <f t="shared" si="24"/>
        <v>1267.6799999999998</v>
      </c>
      <c r="M178" s="97">
        <f>M170+M173-M176</f>
        <v>2816.61</v>
      </c>
      <c r="N178" s="97">
        <f>N170+N173-N176</f>
        <v>4688.78</v>
      </c>
      <c r="O178" s="97">
        <f t="shared" ref="O178:U178" si="25">O170+O173-O176</f>
        <v>5858.1900000000005</v>
      </c>
      <c r="P178" s="97">
        <f t="shared" si="25"/>
        <v>6501.49</v>
      </c>
      <c r="Q178" s="97">
        <f t="shared" si="25"/>
        <v>6354.579999999999</v>
      </c>
      <c r="R178" s="97">
        <f t="shared" si="25"/>
        <v>6076.0399999999991</v>
      </c>
      <c r="S178" s="97">
        <f t="shared" si="25"/>
        <v>5940.16</v>
      </c>
      <c r="T178" s="97">
        <f t="shared" si="25"/>
        <v>5508.9800000000014</v>
      </c>
      <c r="U178" s="97">
        <f t="shared" si="25"/>
        <v>5102.07</v>
      </c>
      <c r="V178" s="97">
        <f>V175-V176</f>
        <v>4742.1100000000015</v>
      </c>
      <c r="W178" s="97">
        <f>W170+W173-W176</f>
        <v>4352.1100000000015</v>
      </c>
      <c r="X178" s="97">
        <f>X170+X173-X176</f>
        <v>3962.1100000000015</v>
      </c>
      <c r="Y178" s="97">
        <f t="shared" ref="Y178:AD178" si="26">Y170+Y173-Y176</f>
        <v>3572.1100000000015</v>
      </c>
      <c r="Z178" s="97">
        <f t="shared" si="26"/>
        <v>3182.1100000000015</v>
      </c>
      <c r="AA178" s="97">
        <f>AA170+AA173-AA176</f>
        <v>2792.1100000000015</v>
      </c>
      <c r="AB178" s="97">
        <f t="shared" si="26"/>
        <v>2552.1100000000015</v>
      </c>
      <c r="AC178" s="97">
        <f t="shared" si="26"/>
        <v>2787.1100000000015</v>
      </c>
      <c r="AD178" s="97">
        <f t="shared" si="26"/>
        <v>3197.1100000000015</v>
      </c>
    </row>
    <row r="179" spans="3:30" x14ac:dyDescent="0.2">
      <c r="C179" s="10"/>
      <c r="D179" s="51"/>
      <c r="E179" s="51"/>
      <c r="F179" s="51"/>
      <c r="G179" s="51"/>
      <c r="H179" s="9"/>
      <c r="J179" s="35"/>
      <c r="K179" s="3"/>
      <c r="S179" s="78"/>
      <c r="T179" s="78"/>
      <c r="U179" s="78"/>
      <c r="V179" s="78"/>
      <c r="W179" s="78"/>
      <c r="X179" s="78"/>
      <c r="Y179" s="78"/>
      <c r="Z179" s="78"/>
      <c r="AA179" s="78"/>
      <c r="AB179" s="78"/>
      <c r="AC179" s="78"/>
      <c r="AD179" s="78"/>
    </row>
    <row r="180" spans="3:30" x14ac:dyDescent="0.2">
      <c r="C180" s="10"/>
      <c r="D180" s="75" t="s">
        <v>137</v>
      </c>
      <c r="E180" s="51"/>
      <c r="F180" s="51"/>
      <c r="G180" s="51"/>
      <c r="H180" s="9"/>
      <c r="K180" s="3"/>
      <c r="P180" s="78"/>
      <c r="S180" s="78"/>
      <c r="T180" s="78"/>
      <c r="U180" s="78"/>
      <c r="V180" s="78"/>
      <c r="W180" s="78"/>
      <c r="X180" s="78"/>
      <c r="Y180" s="78"/>
      <c r="Z180" s="78"/>
      <c r="AA180" s="78"/>
      <c r="AB180" s="78"/>
      <c r="AC180" s="78"/>
      <c r="AD180" s="78"/>
    </row>
    <row r="181" spans="3:30" x14ac:dyDescent="0.2">
      <c r="C181" s="10"/>
      <c r="D181" s="51"/>
      <c r="E181" s="51"/>
      <c r="F181" s="51"/>
      <c r="G181" s="51"/>
      <c r="H181" s="9"/>
      <c r="K181" s="3"/>
      <c r="S181" s="78"/>
      <c r="T181" s="78"/>
      <c r="U181" s="78"/>
      <c r="V181" s="78"/>
      <c r="W181" s="78"/>
      <c r="X181" s="78"/>
      <c r="Y181" s="78"/>
      <c r="Z181" s="78"/>
      <c r="AA181" s="78"/>
      <c r="AB181" s="78"/>
      <c r="AC181" s="78"/>
      <c r="AD181" s="78"/>
    </row>
    <row r="182" spans="3:30" x14ac:dyDescent="0.2">
      <c r="C182" s="10" t="s">
        <v>138</v>
      </c>
      <c r="D182" s="52" t="s">
        <v>139</v>
      </c>
      <c r="E182" s="51"/>
      <c r="F182" s="51"/>
      <c r="G182" s="51"/>
      <c r="H182" s="9"/>
      <c r="K182" s="3"/>
      <c r="S182" s="78"/>
      <c r="T182" s="78"/>
      <c r="U182" s="78"/>
      <c r="V182" s="78"/>
      <c r="W182" s="78"/>
      <c r="X182" s="78"/>
      <c r="Y182" s="78"/>
      <c r="Z182" s="78"/>
      <c r="AA182" s="78"/>
      <c r="AB182" s="78"/>
      <c r="AC182" s="78"/>
      <c r="AD182" s="78"/>
    </row>
    <row r="183" spans="3:30" x14ac:dyDescent="0.2">
      <c r="C183" s="10"/>
      <c r="D183" s="52" t="s">
        <v>320</v>
      </c>
      <c r="E183" s="51"/>
      <c r="F183" s="51"/>
      <c r="G183" s="51"/>
      <c r="H183" s="9"/>
      <c r="K183" s="3"/>
      <c r="S183" s="78"/>
      <c r="T183" s="78"/>
      <c r="U183" s="78"/>
      <c r="V183" s="78"/>
      <c r="W183" s="78"/>
      <c r="X183" s="78"/>
      <c r="Y183" s="78"/>
      <c r="Z183" s="78"/>
      <c r="AA183" s="78"/>
      <c r="AB183" s="78"/>
      <c r="AC183" s="78"/>
      <c r="AD183" s="78"/>
    </row>
    <row r="184" spans="3:30" x14ac:dyDescent="0.2">
      <c r="C184" s="10"/>
      <c r="D184" s="52" t="s">
        <v>140</v>
      </c>
      <c r="E184" s="51">
        <v>0.39</v>
      </c>
      <c r="F184" s="51">
        <v>0.39</v>
      </c>
      <c r="G184" s="10">
        <v>0.39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0.75</v>
      </c>
      <c r="R184" s="1">
        <v>1.0900000000000001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  <c r="Z184" s="4">
        <v>0</v>
      </c>
      <c r="AA184" s="4">
        <v>0</v>
      </c>
      <c r="AB184" s="4">
        <v>0</v>
      </c>
      <c r="AC184" s="4">
        <v>0</v>
      </c>
      <c r="AD184" s="4">
        <v>0</v>
      </c>
    </row>
    <row r="185" spans="3:30" x14ac:dyDescent="0.2">
      <c r="C185" s="10"/>
      <c r="D185" s="52" t="s">
        <v>141</v>
      </c>
      <c r="E185" s="51"/>
      <c r="F185" s="51"/>
      <c r="G185" s="10"/>
      <c r="H185" s="9"/>
      <c r="I185" s="9"/>
      <c r="J185" s="9"/>
      <c r="K185" s="3"/>
      <c r="S185" s="78"/>
      <c r="T185" s="78"/>
      <c r="U185" s="78"/>
      <c r="V185" s="78"/>
      <c r="W185" s="78"/>
      <c r="X185" s="78"/>
      <c r="Y185" s="78"/>
      <c r="Z185" s="78"/>
      <c r="AA185" s="78"/>
      <c r="AB185" s="78"/>
      <c r="AC185" s="78"/>
      <c r="AD185" s="78"/>
    </row>
    <row r="186" spans="3:30" x14ac:dyDescent="0.2">
      <c r="C186" s="10"/>
      <c r="D186" s="51"/>
      <c r="E186" s="51"/>
      <c r="F186" s="51"/>
      <c r="G186" s="10"/>
      <c r="H186" s="9"/>
      <c r="I186" s="9"/>
      <c r="J186" s="9"/>
      <c r="K186" s="3"/>
      <c r="S186" s="78"/>
      <c r="T186" s="78"/>
      <c r="U186" s="78"/>
      <c r="V186" s="78"/>
      <c r="W186" s="78"/>
      <c r="X186" s="78"/>
      <c r="Y186" s="78"/>
      <c r="Z186" s="78"/>
      <c r="AA186" s="78"/>
      <c r="AB186" s="78"/>
      <c r="AC186" s="78"/>
      <c r="AD186" s="78"/>
    </row>
    <row r="187" spans="3:30" x14ac:dyDescent="0.2">
      <c r="C187" s="10"/>
      <c r="D187" s="52" t="s">
        <v>351</v>
      </c>
      <c r="E187" s="51">
        <v>0</v>
      </c>
      <c r="F187" s="51">
        <v>0</v>
      </c>
      <c r="G187" s="10">
        <v>0</v>
      </c>
      <c r="H187" s="1">
        <v>0.01</v>
      </c>
      <c r="I187" s="1">
        <v>0.01</v>
      </c>
      <c r="J187" s="1">
        <v>0.01</v>
      </c>
      <c r="K187" s="1">
        <v>0.01</v>
      </c>
      <c r="L187" s="1">
        <v>0.01</v>
      </c>
      <c r="M187" s="1">
        <v>0.01</v>
      </c>
      <c r="N187" s="1">
        <v>0.01</v>
      </c>
      <c r="O187" s="1">
        <v>0.01</v>
      </c>
      <c r="P187" s="1">
        <v>0.01</v>
      </c>
      <c r="Q187" s="1">
        <v>0.01</v>
      </c>
      <c r="R187" s="2">
        <v>0.01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  <c r="AC187" s="4">
        <v>0</v>
      </c>
      <c r="AD187" s="4">
        <v>0</v>
      </c>
    </row>
    <row r="188" spans="3:30" x14ac:dyDescent="0.2">
      <c r="C188" s="10"/>
      <c r="D188" s="51"/>
      <c r="E188" s="51"/>
      <c r="F188" s="51"/>
      <c r="G188" s="10"/>
      <c r="H188" s="9"/>
      <c r="I188" s="9"/>
      <c r="J188" s="9"/>
      <c r="K188" s="3"/>
      <c r="S188" s="78"/>
      <c r="T188" s="78"/>
      <c r="U188" s="78"/>
      <c r="V188" s="78"/>
      <c r="W188" s="78"/>
      <c r="X188" s="78"/>
      <c r="Y188" s="78"/>
      <c r="Z188" s="78"/>
      <c r="AA188" s="78"/>
      <c r="AB188" s="78"/>
      <c r="AC188" s="78"/>
      <c r="AD188" s="78"/>
    </row>
    <row r="189" spans="3:30" x14ac:dyDescent="0.2">
      <c r="C189" s="10"/>
      <c r="D189" s="52" t="s">
        <v>347</v>
      </c>
      <c r="E189" s="51">
        <v>0</v>
      </c>
      <c r="F189" s="51">
        <v>0</v>
      </c>
      <c r="G189" s="10">
        <v>0</v>
      </c>
      <c r="H189" s="1">
        <v>23.1</v>
      </c>
      <c r="I189" s="1">
        <v>0</v>
      </c>
      <c r="J189" s="1">
        <v>0</v>
      </c>
      <c r="K189" s="1">
        <v>0</v>
      </c>
      <c r="L189" s="1">
        <v>153.47</v>
      </c>
      <c r="M189" s="1">
        <f>5.08+202.89</f>
        <v>207.97</v>
      </c>
      <c r="N189" s="1">
        <f>12.22+519.75</f>
        <v>531.97</v>
      </c>
      <c r="O189" s="1">
        <v>594.79999999999995</v>
      </c>
      <c r="P189" s="1">
        <v>262.41000000000003</v>
      </c>
      <c r="Q189" s="1">
        <v>10.59</v>
      </c>
      <c r="R189" s="1">
        <v>0</v>
      </c>
      <c r="S189" s="4">
        <v>0</v>
      </c>
      <c r="T189" s="4">
        <v>0</v>
      </c>
      <c r="U189" s="4">
        <v>0</v>
      </c>
      <c r="V189" s="4">
        <v>0</v>
      </c>
      <c r="W189" s="4">
        <v>0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  <c r="AC189" s="4">
        <v>0</v>
      </c>
      <c r="AD189" s="4">
        <v>0</v>
      </c>
    </row>
    <row r="190" spans="3:30" x14ac:dyDescent="0.2">
      <c r="C190" s="10"/>
      <c r="D190" s="52" t="s">
        <v>338</v>
      </c>
      <c r="E190" s="51"/>
      <c r="F190" s="51"/>
      <c r="G190" s="10"/>
      <c r="H190" s="9"/>
      <c r="I190" s="9"/>
      <c r="J190" s="9"/>
      <c r="K190" s="3"/>
      <c r="S190" s="78"/>
      <c r="T190" s="78"/>
      <c r="U190" s="78"/>
      <c r="V190" s="78"/>
      <c r="W190" s="78"/>
      <c r="X190" s="78"/>
      <c r="Y190" s="78"/>
      <c r="Z190" s="78"/>
      <c r="AA190" s="78"/>
      <c r="AB190" s="78"/>
      <c r="AC190" s="78"/>
      <c r="AD190" s="78"/>
    </row>
    <row r="191" spans="3:30" x14ac:dyDescent="0.2">
      <c r="C191" s="10"/>
      <c r="D191" s="51"/>
      <c r="E191" s="51"/>
      <c r="F191" s="51"/>
      <c r="G191" s="10"/>
      <c r="H191" s="9"/>
      <c r="I191" s="9"/>
      <c r="J191" s="9"/>
      <c r="K191" s="3"/>
      <c r="S191" s="78"/>
      <c r="T191" s="78"/>
      <c r="U191" s="78"/>
      <c r="V191" s="78"/>
      <c r="W191" s="78"/>
      <c r="X191" s="78"/>
      <c r="Y191" s="78"/>
      <c r="Z191" s="78"/>
      <c r="AA191" s="78"/>
      <c r="AB191" s="78"/>
      <c r="AC191" s="78"/>
      <c r="AD191" s="78"/>
    </row>
    <row r="192" spans="3:30" x14ac:dyDescent="0.2">
      <c r="C192" s="10"/>
      <c r="D192" s="52" t="s">
        <v>346</v>
      </c>
      <c r="E192" s="51">
        <v>0</v>
      </c>
      <c r="F192" s="51">
        <v>0</v>
      </c>
      <c r="G192" s="10">
        <v>110.65</v>
      </c>
      <c r="H192" s="1">
        <v>18.010000000000002</v>
      </c>
      <c r="I192" s="1">
        <v>8.91</v>
      </c>
      <c r="J192" s="1">
        <v>8.91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4">
        <v>0</v>
      </c>
      <c r="T192" s="4">
        <v>0</v>
      </c>
      <c r="U192" s="4">
        <v>0</v>
      </c>
      <c r="V192" s="4">
        <v>0</v>
      </c>
      <c r="W192" s="4">
        <v>0</v>
      </c>
      <c r="X192" s="4">
        <v>0</v>
      </c>
      <c r="Y192" s="4">
        <v>0</v>
      </c>
      <c r="Z192" s="4">
        <v>0</v>
      </c>
      <c r="AA192" s="4">
        <v>0</v>
      </c>
      <c r="AB192" s="4">
        <v>0</v>
      </c>
      <c r="AC192" s="4">
        <v>0</v>
      </c>
      <c r="AD192" s="4">
        <v>0</v>
      </c>
    </row>
    <row r="193" spans="3:40" x14ac:dyDescent="0.2">
      <c r="C193" s="10"/>
      <c r="D193" s="52" t="s">
        <v>345</v>
      </c>
      <c r="E193" s="51"/>
      <c r="F193" s="51"/>
      <c r="G193" s="10"/>
      <c r="H193" s="9"/>
      <c r="I193" s="9"/>
      <c r="J193" s="9"/>
      <c r="K193" s="3"/>
      <c r="S193" s="78"/>
      <c r="T193" s="78"/>
      <c r="U193" s="78"/>
      <c r="V193" s="78"/>
      <c r="W193" s="78"/>
      <c r="X193" s="78"/>
      <c r="Y193" s="78"/>
      <c r="Z193" s="78"/>
      <c r="AA193" s="78"/>
      <c r="AB193" s="78"/>
      <c r="AC193" s="78"/>
      <c r="AD193" s="78"/>
    </row>
    <row r="194" spans="3:40" x14ac:dyDescent="0.2">
      <c r="C194" s="10"/>
      <c r="D194" s="51"/>
      <c r="E194" s="51"/>
      <c r="F194" s="51"/>
      <c r="G194" s="10"/>
      <c r="H194" s="9"/>
      <c r="I194" s="9"/>
      <c r="J194" s="9"/>
      <c r="K194" s="3"/>
      <c r="S194" s="78"/>
      <c r="T194" s="78"/>
      <c r="U194" s="78"/>
      <c r="V194" s="78"/>
      <c r="W194" s="78"/>
      <c r="X194" s="78"/>
      <c r="Y194" s="78"/>
      <c r="Z194" s="78"/>
      <c r="AA194" s="78"/>
      <c r="AB194" s="78"/>
      <c r="AC194" s="78"/>
      <c r="AD194" s="78"/>
    </row>
    <row r="195" spans="3:40" x14ac:dyDescent="0.2">
      <c r="C195" s="10"/>
      <c r="D195" s="51" t="s">
        <v>262</v>
      </c>
      <c r="E195" s="51"/>
      <c r="F195" s="51"/>
      <c r="G195" s="10">
        <v>14.35</v>
      </c>
      <c r="H195" s="3">
        <v>15.8</v>
      </c>
      <c r="I195" s="3">
        <v>15.72</v>
      </c>
      <c r="J195" s="3">
        <v>15.78</v>
      </c>
      <c r="K195" s="3">
        <v>17.46</v>
      </c>
      <c r="L195" s="3">
        <f>53.09-37.3</f>
        <v>15.790000000000006</v>
      </c>
      <c r="M195" s="3">
        <f>32.06+37.32</f>
        <v>69.38</v>
      </c>
      <c r="N195" s="3">
        <f>68.75+182.24</f>
        <v>250.99</v>
      </c>
      <c r="O195" s="3">
        <f>67.78+182.24</f>
        <v>250.02</v>
      </c>
      <c r="P195" s="3">
        <v>122.71</v>
      </c>
      <c r="Q195" s="3">
        <v>140.81</v>
      </c>
      <c r="R195" s="3">
        <v>141.25</v>
      </c>
      <c r="S195" s="77">
        <v>143.31</v>
      </c>
      <c r="T195" s="77">
        <v>150.07</v>
      </c>
      <c r="U195" s="77">
        <v>163.22999999999999</v>
      </c>
      <c r="V195" s="77">
        <v>163.22999999999999</v>
      </c>
      <c r="W195" s="77">
        <v>150.07</v>
      </c>
      <c r="X195" s="77">
        <v>150.07</v>
      </c>
      <c r="Y195" s="77">
        <v>150.07</v>
      </c>
      <c r="Z195" s="77">
        <v>150.07</v>
      </c>
      <c r="AA195" s="77">
        <v>150.07</v>
      </c>
      <c r="AB195" s="77">
        <v>150.07</v>
      </c>
      <c r="AC195" s="77">
        <v>150.07</v>
      </c>
      <c r="AD195" s="77">
        <v>150.07</v>
      </c>
    </row>
    <row r="196" spans="3:40" x14ac:dyDescent="0.2">
      <c r="C196" s="10"/>
      <c r="D196" s="51"/>
      <c r="E196" s="51"/>
      <c r="F196" s="51"/>
      <c r="G196" s="10"/>
      <c r="H196" s="9"/>
      <c r="I196" s="9"/>
      <c r="J196" s="9"/>
      <c r="K196" s="3"/>
      <c r="S196" s="78"/>
      <c r="T196" s="78"/>
      <c r="U196" s="78"/>
      <c r="V196" s="78"/>
      <c r="W196" s="78"/>
      <c r="X196" s="78"/>
      <c r="Y196" s="78"/>
      <c r="Z196" s="78"/>
      <c r="AA196" s="78"/>
      <c r="AB196" s="78"/>
      <c r="AC196" s="78"/>
      <c r="AD196" s="78"/>
    </row>
    <row r="197" spans="3:40" x14ac:dyDescent="0.2">
      <c r="C197" s="10"/>
      <c r="D197" s="52" t="s">
        <v>263</v>
      </c>
      <c r="E197" s="51">
        <v>0</v>
      </c>
      <c r="F197" s="51">
        <v>0</v>
      </c>
      <c r="G197" s="10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4">
        <v>6.79</v>
      </c>
      <c r="T197" s="4">
        <v>6.8</v>
      </c>
      <c r="U197" s="4">
        <v>0</v>
      </c>
      <c r="V197" s="4">
        <v>0</v>
      </c>
      <c r="W197" s="4">
        <v>0</v>
      </c>
      <c r="X197" s="4">
        <v>0</v>
      </c>
      <c r="Y197" s="4">
        <v>0</v>
      </c>
      <c r="Z197" s="4">
        <v>0</v>
      </c>
      <c r="AA197" s="4">
        <v>0</v>
      </c>
      <c r="AB197" s="4">
        <v>0</v>
      </c>
      <c r="AC197" s="4">
        <v>0</v>
      </c>
      <c r="AD197" s="4">
        <v>0</v>
      </c>
    </row>
    <row r="198" spans="3:40" x14ac:dyDescent="0.2">
      <c r="C198" s="10"/>
      <c r="D198" s="51"/>
      <c r="E198" s="51"/>
      <c r="F198" s="51"/>
      <c r="G198" s="10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</row>
    <row r="199" spans="3:40" x14ac:dyDescent="0.2">
      <c r="C199" s="10" t="s">
        <v>142</v>
      </c>
      <c r="D199" s="52" t="s">
        <v>143</v>
      </c>
      <c r="E199" s="51">
        <v>0</v>
      </c>
      <c r="F199" s="51">
        <v>0</v>
      </c>
      <c r="G199" s="10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4">
        <v>0</v>
      </c>
      <c r="T199" s="4">
        <v>0</v>
      </c>
      <c r="U199" s="4">
        <v>0</v>
      </c>
      <c r="V199" s="4">
        <v>0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  <c r="AB199" s="4">
        <v>0</v>
      </c>
      <c r="AC199" s="4">
        <v>0</v>
      </c>
      <c r="AD199" s="4">
        <v>0</v>
      </c>
    </row>
    <row r="200" spans="3:40" x14ac:dyDescent="0.2">
      <c r="C200" s="10"/>
      <c r="D200" s="51"/>
      <c r="E200" s="51"/>
      <c r="F200" s="51"/>
      <c r="G200" s="10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77"/>
      <c r="T200" s="77"/>
      <c r="U200" s="77"/>
      <c r="V200" s="77"/>
      <c r="W200" s="77"/>
      <c r="X200" s="77"/>
      <c r="Y200" s="77"/>
      <c r="Z200" s="77"/>
      <c r="AA200" s="77"/>
      <c r="AB200" s="77"/>
      <c r="AC200" s="77"/>
      <c r="AD200" s="77"/>
    </row>
    <row r="201" spans="3:40" x14ac:dyDescent="0.2">
      <c r="C201" s="10" t="s">
        <v>144</v>
      </c>
      <c r="D201" s="52" t="s">
        <v>395</v>
      </c>
      <c r="E201" s="51">
        <v>47.92</v>
      </c>
      <c r="F201" s="51">
        <v>21.12</v>
      </c>
      <c r="G201" s="10">
        <v>0</v>
      </c>
      <c r="H201" s="1">
        <v>0</v>
      </c>
      <c r="I201" s="1">
        <v>0</v>
      </c>
      <c r="J201" s="1">
        <f>SUM(11.51+15.08+13.44+125.66)</f>
        <v>165.69</v>
      </c>
      <c r="K201" s="1">
        <f>SUM(243.55+16.37+28.09-3.19)+89.98+338.13</f>
        <v>712.93000000000006</v>
      </c>
      <c r="L201" s="4">
        <f>35.98+201.17+15.85+0.25+37.3+657.76-L189+2.43-31.04</f>
        <v>766.2299999999999</v>
      </c>
      <c r="M201" s="4">
        <v>0</v>
      </c>
      <c r="N201" s="4">
        <f>531.97-531.97</f>
        <v>0</v>
      </c>
      <c r="O201" s="4">
        <v>0</v>
      </c>
      <c r="P201" s="4">
        <v>0</v>
      </c>
      <c r="Q201" s="4">
        <v>172.37</v>
      </c>
      <c r="R201" s="4">
        <v>531.77</v>
      </c>
      <c r="S201" s="4">
        <v>588.14</v>
      </c>
      <c r="T201" s="4">
        <v>602.53</v>
      </c>
      <c r="U201" s="4">
        <v>685.31</v>
      </c>
      <c r="V201" s="77">
        <f>U201-'FORM - II'!V92</f>
        <v>682.65</v>
      </c>
      <c r="W201" s="77">
        <v>320</v>
      </c>
      <c r="X201" s="77">
        <f>'FORM - III'!W201-'FORM - II'!X92</f>
        <v>256.67</v>
      </c>
      <c r="Y201" s="77">
        <f>'FORM - III'!X201-'FORM - II'!Y92</f>
        <v>162.19</v>
      </c>
      <c r="Z201" s="77">
        <f>'FORM - III'!Y201-'FORM - II'!Z92</f>
        <v>58.36</v>
      </c>
      <c r="AA201" s="77">
        <v>0</v>
      </c>
      <c r="AB201" s="77">
        <v>0</v>
      </c>
      <c r="AC201" s="77">
        <v>0</v>
      </c>
      <c r="AD201" s="77">
        <v>0</v>
      </c>
    </row>
    <row r="202" spans="3:40" x14ac:dyDescent="0.2">
      <c r="C202" s="10"/>
      <c r="D202" s="52"/>
      <c r="E202" s="51"/>
      <c r="F202" s="51"/>
      <c r="G202" s="10"/>
      <c r="H202" s="9"/>
      <c r="I202" s="9"/>
      <c r="J202" s="9"/>
      <c r="K202" s="3"/>
      <c r="S202" s="78"/>
      <c r="T202" s="78"/>
      <c r="U202" s="78"/>
      <c r="V202" s="77"/>
      <c r="W202" s="78"/>
      <c r="X202" s="78"/>
      <c r="Y202" s="78"/>
      <c r="Z202" s="78"/>
      <c r="AA202" s="78"/>
      <c r="AB202" s="78"/>
      <c r="AC202" s="78"/>
      <c r="AD202" s="78"/>
    </row>
    <row r="203" spans="3:40" x14ac:dyDescent="0.2">
      <c r="C203" s="10"/>
      <c r="D203" s="51"/>
      <c r="E203" s="52"/>
      <c r="F203" s="52"/>
      <c r="G203" s="10"/>
      <c r="H203" s="9"/>
      <c r="I203" s="9"/>
      <c r="J203" s="9"/>
      <c r="K203" s="3"/>
      <c r="S203" s="78"/>
      <c r="T203" s="78"/>
      <c r="U203" s="78"/>
      <c r="V203" s="78"/>
      <c r="W203" s="78"/>
      <c r="X203" s="78"/>
      <c r="Y203" s="78"/>
      <c r="Z203" s="78"/>
      <c r="AA203" s="78"/>
      <c r="AB203" s="78"/>
      <c r="AC203" s="78"/>
      <c r="AD203" s="78"/>
    </row>
    <row r="204" spans="3:40" x14ac:dyDescent="0.2">
      <c r="C204" s="16" t="s">
        <v>145</v>
      </c>
      <c r="D204" s="29" t="s">
        <v>290</v>
      </c>
      <c r="E204" s="31">
        <f>SUM(E184:E203)</f>
        <v>48.31</v>
      </c>
      <c r="F204" s="31">
        <f t="shared" ref="F204:V204" si="27">SUM(F184:F202)</f>
        <v>21.51</v>
      </c>
      <c r="G204" s="16">
        <f t="shared" si="27"/>
        <v>125.39</v>
      </c>
      <c r="H204" s="82">
        <f t="shared" si="27"/>
        <v>56.92</v>
      </c>
      <c r="I204" s="82">
        <f t="shared" si="27"/>
        <v>24.64</v>
      </c>
      <c r="J204" s="82">
        <f t="shared" si="27"/>
        <v>190.39</v>
      </c>
      <c r="K204" s="82">
        <f t="shared" si="27"/>
        <v>730.40000000000009</v>
      </c>
      <c r="L204" s="80">
        <f t="shared" si="27"/>
        <v>935.49999999999989</v>
      </c>
      <c r="M204" s="80">
        <f t="shared" si="27"/>
        <v>277.36</v>
      </c>
      <c r="N204" s="80">
        <f t="shared" si="27"/>
        <v>782.97</v>
      </c>
      <c r="O204" s="80">
        <f t="shared" si="27"/>
        <v>844.82999999999993</v>
      </c>
      <c r="P204" s="80">
        <f t="shared" si="27"/>
        <v>385.13</v>
      </c>
      <c r="Q204" s="80">
        <f t="shared" si="27"/>
        <v>324.52999999999997</v>
      </c>
      <c r="R204" s="80">
        <f t="shared" si="27"/>
        <v>674.12</v>
      </c>
      <c r="S204" s="80">
        <f t="shared" si="27"/>
        <v>738.24</v>
      </c>
      <c r="T204" s="80">
        <f t="shared" si="27"/>
        <v>759.4</v>
      </c>
      <c r="U204" s="80">
        <f t="shared" si="27"/>
        <v>848.54</v>
      </c>
      <c r="V204" s="80">
        <f t="shared" si="27"/>
        <v>845.88</v>
      </c>
      <c r="W204" s="80">
        <f t="shared" ref="W204:AD204" si="28">SUM(W184:W203)</f>
        <v>470.07</v>
      </c>
      <c r="X204" s="80">
        <f t="shared" si="28"/>
        <v>406.74</v>
      </c>
      <c r="Y204" s="80">
        <f t="shared" si="28"/>
        <v>312.26</v>
      </c>
      <c r="Z204" s="80">
        <f t="shared" si="28"/>
        <v>208.43</v>
      </c>
      <c r="AA204" s="80">
        <f t="shared" si="28"/>
        <v>150.07</v>
      </c>
      <c r="AB204" s="80">
        <f t="shared" si="28"/>
        <v>150.07</v>
      </c>
      <c r="AC204" s="80">
        <f t="shared" si="28"/>
        <v>150.07</v>
      </c>
      <c r="AD204" s="80">
        <f t="shared" si="28"/>
        <v>150.07</v>
      </c>
    </row>
    <row r="205" spans="3:40" x14ac:dyDescent="0.2">
      <c r="C205" s="10"/>
      <c r="D205" s="29" t="s">
        <v>146</v>
      </c>
      <c r="E205" s="52"/>
      <c r="F205" s="52"/>
      <c r="G205" s="10"/>
      <c r="H205" s="9"/>
      <c r="K205" s="3"/>
      <c r="S205" s="78"/>
      <c r="T205" s="78"/>
      <c r="U205" s="78"/>
      <c r="V205" s="78"/>
      <c r="W205" s="78"/>
      <c r="X205" s="78"/>
      <c r="Y205" s="78"/>
      <c r="Z205" s="78"/>
      <c r="AA205" s="78"/>
      <c r="AB205" s="78"/>
      <c r="AC205" s="78"/>
      <c r="AD205" s="78"/>
      <c r="AK205" s="24"/>
      <c r="AL205" s="24"/>
      <c r="AM205" s="24"/>
      <c r="AN205" s="24"/>
    </row>
    <row r="206" spans="3:40" x14ac:dyDescent="0.2">
      <c r="C206" s="10" t="s">
        <v>147</v>
      </c>
      <c r="D206" s="52" t="s">
        <v>294</v>
      </c>
      <c r="E206" s="51">
        <v>2.5299999999999998</v>
      </c>
      <c r="F206" s="51">
        <v>1.27</v>
      </c>
      <c r="G206" s="10">
        <v>0</v>
      </c>
      <c r="H206" s="1">
        <v>68.209999999999994</v>
      </c>
      <c r="I206" s="1">
        <v>56.95</v>
      </c>
      <c r="J206" s="1">
        <v>43.7</v>
      </c>
      <c r="K206" s="2">
        <v>30.44</v>
      </c>
      <c r="L206" s="1">
        <v>17.190000000000001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4">
        <v>0</v>
      </c>
      <c r="T206" s="4">
        <v>0</v>
      </c>
      <c r="U206" s="4">
        <v>0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  <c r="AC206" s="4">
        <v>0</v>
      </c>
      <c r="AD206" s="4">
        <v>0</v>
      </c>
    </row>
    <row r="207" spans="3:40" x14ac:dyDescent="0.2">
      <c r="C207" s="10"/>
      <c r="D207" s="52" t="s">
        <v>295</v>
      </c>
      <c r="E207" s="51"/>
      <c r="F207" s="51"/>
      <c r="G207" s="51"/>
      <c r="H207" s="9"/>
      <c r="K207" s="3"/>
      <c r="S207" s="78"/>
      <c r="T207" s="78"/>
      <c r="U207" s="78"/>
      <c r="V207" s="78"/>
      <c r="W207" s="78"/>
      <c r="X207" s="78"/>
      <c r="Y207" s="78"/>
      <c r="Z207" s="78"/>
      <c r="AA207" s="78"/>
      <c r="AB207" s="78"/>
      <c r="AC207" s="78"/>
      <c r="AD207" s="78"/>
    </row>
    <row r="208" spans="3:40" x14ac:dyDescent="0.2">
      <c r="C208" s="16" t="s">
        <v>148</v>
      </c>
      <c r="D208" s="29" t="s">
        <v>292</v>
      </c>
      <c r="E208" s="42">
        <f>E163+E178+E202+E206+E204</f>
        <v>2052.3679999999999</v>
      </c>
      <c r="F208" s="42">
        <f>F163+F178+F202+F206+F204</f>
        <v>2317.8400000000006</v>
      </c>
      <c r="G208" s="43">
        <f>G163+G178+G202+G204</f>
        <v>2693.33</v>
      </c>
      <c r="H208" s="43">
        <f t="shared" ref="H208:T208" si="29">H163+H178+H202+H204+H206</f>
        <v>3085.0099999999993</v>
      </c>
      <c r="I208" s="43">
        <f t="shared" si="29"/>
        <v>3796.1299999999997</v>
      </c>
      <c r="J208" s="44">
        <f t="shared" si="29"/>
        <v>4044.65</v>
      </c>
      <c r="K208" s="43">
        <f t="shared" si="29"/>
        <v>5170.9800000000005</v>
      </c>
      <c r="L208" s="44">
        <f t="shared" si="29"/>
        <v>6887.5999999999995</v>
      </c>
      <c r="M208" s="44">
        <f t="shared" si="29"/>
        <v>10454.36</v>
      </c>
      <c r="N208" s="44">
        <f t="shared" si="29"/>
        <v>12161.939999999999</v>
      </c>
      <c r="O208" s="44">
        <f t="shared" si="29"/>
        <v>12862.03</v>
      </c>
      <c r="P208" s="44">
        <f t="shared" si="29"/>
        <v>12959.449999999999</v>
      </c>
      <c r="Q208" s="44">
        <f t="shared" si="29"/>
        <v>12717.539999999999</v>
      </c>
      <c r="R208" s="44">
        <f t="shared" si="29"/>
        <v>12532.92</v>
      </c>
      <c r="S208" s="81">
        <f t="shared" si="29"/>
        <v>12351.63</v>
      </c>
      <c r="T208" s="81">
        <f t="shared" si="29"/>
        <v>11620.310000000001</v>
      </c>
      <c r="U208" s="81">
        <f t="shared" ref="U208:AD208" si="30">U163+U178+U204+U206</f>
        <v>11109.310000000001</v>
      </c>
      <c r="V208" s="81">
        <f t="shared" si="30"/>
        <v>10926.97</v>
      </c>
      <c r="W208" s="81">
        <f t="shared" si="30"/>
        <v>9495.6200000000026</v>
      </c>
      <c r="X208" s="81">
        <f t="shared" si="30"/>
        <v>9715.5500000000011</v>
      </c>
      <c r="Y208" s="81">
        <f t="shared" si="30"/>
        <v>9403.3100000000031</v>
      </c>
      <c r="Z208" s="81">
        <f t="shared" si="30"/>
        <v>8873.7200000000012</v>
      </c>
      <c r="AA208" s="81">
        <f t="shared" si="30"/>
        <v>8527.68</v>
      </c>
      <c r="AB208" s="81">
        <f t="shared" si="30"/>
        <v>8337.2700000000023</v>
      </c>
      <c r="AC208" s="81">
        <f t="shared" si="30"/>
        <v>8578.0600000000013</v>
      </c>
      <c r="AD208" s="81">
        <f t="shared" si="30"/>
        <v>8933.7300000000014</v>
      </c>
    </row>
    <row r="209" spans="3:32" x14ac:dyDescent="0.2">
      <c r="C209" s="10"/>
      <c r="D209" s="29" t="s">
        <v>291</v>
      </c>
      <c r="E209" s="51"/>
      <c r="F209" s="51"/>
      <c r="G209" s="51"/>
      <c r="H209" s="82">
        <f t="shared" ref="H209:AD209" si="31">SUM(H208-H102)</f>
        <v>-9.0949470177292824E-13</v>
      </c>
      <c r="I209" s="82">
        <f t="shared" si="31"/>
        <v>-4.5474735088646412E-13</v>
      </c>
      <c r="J209" s="82">
        <f t="shared" si="31"/>
        <v>-4.5474735088646412E-13</v>
      </c>
      <c r="K209" s="82">
        <f t="shared" si="31"/>
        <v>9.0949470177292824E-13</v>
      </c>
      <c r="L209" s="82">
        <f t="shared" si="31"/>
        <v>1.8189894035458565E-12</v>
      </c>
      <c r="M209" s="80">
        <f t="shared" si="31"/>
        <v>0</v>
      </c>
      <c r="N209" s="80">
        <f t="shared" si="31"/>
        <v>-1.8189894035458565E-12</v>
      </c>
      <c r="O209" s="80">
        <f t="shared" si="31"/>
        <v>1.8189894035458565E-12</v>
      </c>
      <c r="P209" s="80">
        <f t="shared" si="31"/>
        <v>0</v>
      </c>
      <c r="Q209" s="80">
        <f t="shared" si="31"/>
        <v>-1.8189894035458565E-12</v>
      </c>
      <c r="R209" s="80">
        <f t="shared" si="31"/>
        <v>0</v>
      </c>
      <c r="S209" s="80">
        <f t="shared" si="31"/>
        <v>0</v>
      </c>
      <c r="T209" s="80">
        <f t="shared" si="31"/>
        <v>0</v>
      </c>
      <c r="U209" s="80">
        <f t="shared" si="31"/>
        <v>1.8189894035458565E-12</v>
      </c>
      <c r="V209" s="80">
        <f t="shared" si="31"/>
        <v>-1.8189894035458565E-12</v>
      </c>
      <c r="W209" s="80">
        <f t="shared" si="31"/>
        <v>0</v>
      </c>
      <c r="X209" s="80">
        <f t="shared" si="31"/>
        <v>3.5000000007130438E-3</v>
      </c>
      <c r="Y209" s="80">
        <f t="shared" si="31"/>
        <v>2.000000002226443E-3</v>
      </c>
      <c r="Z209" s="80">
        <f t="shared" si="31"/>
        <v>5.0000000192085281E-4</v>
      </c>
      <c r="AA209" s="80">
        <f t="shared" si="31"/>
        <v>-1.0000000002037268E-3</v>
      </c>
      <c r="AB209" s="80">
        <f t="shared" si="31"/>
        <v>1.8189894035458565E-12</v>
      </c>
      <c r="AC209" s="80">
        <f t="shared" si="31"/>
        <v>-1.4999999984866008E-3</v>
      </c>
      <c r="AD209" s="80">
        <f t="shared" si="31"/>
        <v>-2.999999998792191E-3</v>
      </c>
    </row>
    <row r="210" spans="3:32" x14ac:dyDescent="0.2">
      <c r="C210" s="16" t="s">
        <v>149</v>
      </c>
      <c r="D210" s="29" t="s">
        <v>150</v>
      </c>
      <c r="E210" s="31" t="e">
        <f t="shared" ref="E210:AD210" si="32">E100-E206</f>
        <v>#REF!</v>
      </c>
      <c r="F210" s="31" t="e">
        <f t="shared" si="32"/>
        <v>#REF!</v>
      </c>
      <c r="G210" s="16">
        <f t="shared" si="32"/>
        <v>913.66000000000008</v>
      </c>
      <c r="H210" s="38">
        <f t="shared" si="32"/>
        <v>1047.57</v>
      </c>
      <c r="I210" s="38">
        <f t="shared" si="32"/>
        <v>1337.11</v>
      </c>
      <c r="J210" s="39">
        <f t="shared" si="32"/>
        <v>1601.4600000000003</v>
      </c>
      <c r="K210" s="39">
        <f t="shared" si="32"/>
        <v>2576.5499999999997</v>
      </c>
      <c r="L210" s="39">
        <f t="shared" si="32"/>
        <v>3177.4599999999978</v>
      </c>
      <c r="M210" s="39">
        <f t="shared" si="32"/>
        <v>4295.1200000000008</v>
      </c>
      <c r="N210" s="39">
        <f t="shared" si="32"/>
        <v>5025.76</v>
      </c>
      <c r="O210" s="39">
        <f t="shared" si="32"/>
        <v>5010.75</v>
      </c>
      <c r="P210" s="39">
        <f t="shared" si="32"/>
        <v>4421.7999999999993</v>
      </c>
      <c r="Q210" s="39">
        <f t="shared" si="32"/>
        <v>4334.8100000000004</v>
      </c>
      <c r="R210" s="39">
        <f t="shared" si="32"/>
        <v>3712.08</v>
      </c>
      <c r="S210" s="80">
        <f t="shared" si="32"/>
        <v>3331.51</v>
      </c>
      <c r="T210" s="80">
        <f t="shared" si="32"/>
        <v>3262.4400000000014</v>
      </c>
      <c r="U210" s="80">
        <f t="shared" si="32"/>
        <v>3037.8099999999995</v>
      </c>
      <c r="V210" s="80">
        <f t="shared" si="32"/>
        <v>2704.5300000000007</v>
      </c>
      <c r="W210" s="80">
        <f t="shared" si="32"/>
        <v>2385.590000000002</v>
      </c>
      <c r="X210" s="80">
        <f t="shared" si="32"/>
        <v>2744.4865000000018</v>
      </c>
      <c r="Y210" s="80">
        <f t="shared" si="32"/>
        <v>3122.4180000000015</v>
      </c>
      <c r="Z210" s="80">
        <f t="shared" si="32"/>
        <v>3537.7295000000004</v>
      </c>
      <c r="AA210" s="80">
        <f t="shared" si="32"/>
        <v>3930.8710000000001</v>
      </c>
      <c r="AB210" s="80">
        <f t="shared" si="32"/>
        <v>4307.9400000000005</v>
      </c>
      <c r="AC210" s="80">
        <f t="shared" si="32"/>
        <v>4693.6914999999999</v>
      </c>
      <c r="AD210" s="80">
        <f t="shared" si="32"/>
        <v>5085.8029999999999</v>
      </c>
    </row>
    <row r="211" spans="3:32" x14ac:dyDescent="0.2">
      <c r="C211" s="16" t="s">
        <v>151</v>
      </c>
      <c r="D211" s="29" t="s">
        <v>293</v>
      </c>
      <c r="E211" s="31">
        <f t="shared" ref="E211:AD211" si="33">E163-E45</f>
        <v>247.82799999999997</v>
      </c>
      <c r="F211" s="31">
        <f t="shared" si="33"/>
        <v>260.09000000000037</v>
      </c>
      <c r="G211" s="16">
        <f t="shared" si="33"/>
        <v>139.27999999999997</v>
      </c>
      <c r="H211" s="82">
        <f t="shared" si="33"/>
        <v>440.82999999999947</v>
      </c>
      <c r="I211" s="82">
        <f t="shared" si="33"/>
        <v>663.46</v>
      </c>
      <c r="J211" s="80">
        <f t="shared" si="33"/>
        <v>714.41000000000031</v>
      </c>
      <c r="K211" s="80">
        <f t="shared" si="33"/>
        <v>877.04999999999973</v>
      </c>
      <c r="L211" s="80">
        <f t="shared" si="33"/>
        <v>1223.6499999999996</v>
      </c>
      <c r="M211" s="80">
        <f t="shared" si="33"/>
        <v>3105.6100000000006</v>
      </c>
      <c r="N211" s="80">
        <f t="shared" si="33"/>
        <v>2687.7699999999995</v>
      </c>
      <c r="O211" s="80">
        <f t="shared" si="33"/>
        <v>1888.2400000000016</v>
      </c>
      <c r="P211" s="80">
        <f t="shared" si="33"/>
        <v>941.80999999999949</v>
      </c>
      <c r="Q211" s="80">
        <f t="shared" si="33"/>
        <v>-477.64000000000124</v>
      </c>
      <c r="R211" s="80">
        <f t="shared" si="33"/>
        <v>-1740.8899999999994</v>
      </c>
      <c r="S211" s="80">
        <f t="shared" si="33"/>
        <v>-2575.2599999999993</v>
      </c>
      <c r="T211" s="80">
        <f t="shared" si="33"/>
        <v>-742.89999999999964</v>
      </c>
      <c r="U211" s="80">
        <f t="shared" si="33"/>
        <v>-816.22999999999956</v>
      </c>
      <c r="V211" s="80">
        <f t="shared" si="33"/>
        <v>-288.8700000000008</v>
      </c>
      <c r="W211" s="80">
        <f t="shared" si="33"/>
        <v>835.21000000000049</v>
      </c>
      <c r="X211" s="80">
        <f t="shared" si="33"/>
        <v>1281.6199999999999</v>
      </c>
      <c r="Y211" s="80">
        <f t="shared" si="33"/>
        <v>1354.0400000000009</v>
      </c>
      <c r="Z211" s="80">
        <f t="shared" si="33"/>
        <v>1559</v>
      </c>
      <c r="AA211" s="80">
        <f t="shared" si="33"/>
        <v>1933.02</v>
      </c>
      <c r="AB211" s="80">
        <f t="shared" si="33"/>
        <v>2105.13</v>
      </c>
      <c r="AC211" s="80">
        <f t="shared" si="33"/>
        <v>2219.44</v>
      </c>
      <c r="AD211" s="80">
        <f t="shared" si="33"/>
        <v>2201.5500000000002</v>
      </c>
      <c r="AF211" s="78"/>
    </row>
    <row r="212" spans="3:32" x14ac:dyDescent="0.2">
      <c r="C212" s="10"/>
      <c r="D212" s="29" t="s">
        <v>296</v>
      </c>
      <c r="E212" s="52"/>
      <c r="F212" s="52"/>
      <c r="G212" s="10"/>
      <c r="H212" s="9"/>
      <c r="K212" s="3"/>
      <c r="S212" s="78"/>
      <c r="T212" s="78"/>
      <c r="U212" s="78"/>
      <c r="V212" s="78"/>
      <c r="W212" s="78"/>
      <c r="X212" s="78"/>
      <c r="Y212" s="78"/>
      <c r="Z212" s="78"/>
      <c r="AA212" s="78"/>
      <c r="AB212" s="78"/>
      <c r="AC212" s="78"/>
      <c r="AD212" s="78"/>
    </row>
    <row r="213" spans="3:32" x14ac:dyDescent="0.2">
      <c r="C213" s="10"/>
      <c r="D213" s="29" t="s">
        <v>152</v>
      </c>
      <c r="E213" s="52"/>
      <c r="F213" s="52"/>
      <c r="G213" s="10"/>
      <c r="H213" s="9"/>
      <c r="K213" s="3"/>
      <c r="S213" s="78"/>
      <c r="T213" s="78"/>
      <c r="U213" s="78"/>
      <c r="V213" s="78"/>
      <c r="W213" s="78"/>
      <c r="X213" s="78"/>
      <c r="Y213" s="78"/>
      <c r="Z213" s="78"/>
      <c r="AA213" s="78"/>
      <c r="AB213" s="78"/>
      <c r="AC213" s="78"/>
      <c r="AD213" s="78"/>
    </row>
    <row r="214" spans="3:32" x14ac:dyDescent="0.2">
      <c r="C214" s="16" t="s">
        <v>153</v>
      </c>
      <c r="D214" s="29" t="s">
        <v>270</v>
      </c>
      <c r="E214" s="31">
        <f t="shared" ref="E214:AD214" si="34">E163/E45</f>
        <v>1.1858282595003149</v>
      </c>
      <c r="F214" s="31">
        <f t="shared" si="34"/>
        <v>1.1812701244755441</v>
      </c>
      <c r="G214" s="16">
        <f t="shared" si="34"/>
        <v>1.0796236058151301</v>
      </c>
      <c r="H214" s="82">
        <f t="shared" si="34"/>
        <v>1.2581319498527317</v>
      </c>
      <c r="I214" s="82">
        <f t="shared" si="34"/>
        <v>1.3126637636901732</v>
      </c>
      <c r="J214" s="80">
        <f t="shared" si="34"/>
        <v>1.3363433064193406</v>
      </c>
      <c r="K214" s="82">
        <f t="shared" si="34"/>
        <v>1.372746436373218</v>
      </c>
      <c r="L214" s="82">
        <f t="shared" si="34"/>
        <v>1.3553424052875205</v>
      </c>
      <c r="M214" s="82">
        <f t="shared" si="34"/>
        <v>1.7299108297021235</v>
      </c>
      <c r="N214" s="82">
        <f t="shared" si="34"/>
        <v>1.6715362205865449</v>
      </c>
      <c r="O214" s="82">
        <f t="shared" si="34"/>
        <v>1.4421310442847548</v>
      </c>
      <c r="P214" s="82">
        <f t="shared" si="34"/>
        <v>1.1835521981984087</v>
      </c>
      <c r="Q214" s="82">
        <f t="shared" si="34"/>
        <v>0.92669814780995274</v>
      </c>
      <c r="R214" s="82">
        <f t="shared" si="34"/>
        <v>0.76861098004293138</v>
      </c>
      <c r="S214" s="80">
        <f t="shared" si="34"/>
        <v>0.68779012885994895</v>
      </c>
      <c r="T214" s="80">
        <f t="shared" si="34"/>
        <v>0.87810980782072678</v>
      </c>
      <c r="U214" s="80">
        <f t="shared" si="34"/>
        <v>0.86339086817753519</v>
      </c>
      <c r="V214" s="80">
        <f t="shared" si="34"/>
        <v>0.94867133985447361</v>
      </c>
      <c r="W214" s="80">
        <f t="shared" si="34"/>
        <v>1.2176029055059234</v>
      </c>
      <c r="X214" s="80">
        <f t="shared" si="34"/>
        <v>1.3152754681334684</v>
      </c>
      <c r="Y214" s="80">
        <f t="shared" si="34"/>
        <v>1.3251074455569163</v>
      </c>
      <c r="Z214" s="80">
        <f t="shared" si="34"/>
        <v>1.3972804509477139</v>
      </c>
      <c r="AA214" s="80">
        <f t="shared" si="34"/>
        <v>1.5292349307867532</v>
      </c>
      <c r="AB214" s="80">
        <f t="shared" si="34"/>
        <v>1.5963608652789267</v>
      </c>
      <c r="AC214" s="80">
        <f t="shared" si="34"/>
        <v>1.6486859334081556</v>
      </c>
      <c r="AD214" s="80">
        <f t="shared" si="34"/>
        <v>1.6503840472673561</v>
      </c>
    </row>
    <row r="215" spans="3:32" x14ac:dyDescent="0.2">
      <c r="C215" s="90">
        <v>47</v>
      </c>
      <c r="D215" s="29" t="s">
        <v>297</v>
      </c>
      <c r="E215" s="31" t="e">
        <f t="shared" ref="E215:AD215" si="35">E83/E210</f>
        <v>#REF!</v>
      </c>
      <c r="F215" s="31" t="e">
        <f t="shared" si="35"/>
        <v>#REF!</v>
      </c>
      <c r="G215" s="16">
        <f t="shared" si="35"/>
        <v>1.9478471203730052</v>
      </c>
      <c r="H215" s="82">
        <f t="shared" si="35"/>
        <v>1.8798075546264212</v>
      </c>
      <c r="I215" s="82">
        <f t="shared" si="35"/>
        <v>1.7964640156755991</v>
      </c>
      <c r="J215" s="82">
        <f t="shared" si="35"/>
        <v>1.4983140384399234</v>
      </c>
      <c r="K215" s="82">
        <f t="shared" si="35"/>
        <v>0.99512526440395122</v>
      </c>
      <c r="L215" s="82">
        <f t="shared" si="35"/>
        <v>1.1622333562027538</v>
      </c>
      <c r="M215" s="82">
        <f t="shared" si="35"/>
        <v>1.4340088286241126</v>
      </c>
      <c r="N215" s="82">
        <f t="shared" si="35"/>
        <v>1.4199205692273407</v>
      </c>
      <c r="O215" s="82">
        <f t="shared" si="35"/>
        <v>1.5668871925360472</v>
      </c>
      <c r="P215" s="82">
        <f t="shared" si="35"/>
        <v>1.9308087204305941</v>
      </c>
      <c r="Q215" s="82">
        <f t="shared" si="35"/>
        <v>1.9338171684572101</v>
      </c>
      <c r="R215" s="82">
        <f t="shared" si="35"/>
        <v>2.3762526669683846</v>
      </c>
      <c r="S215" s="80">
        <f t="shared" si="35"/>
        <v>2.7075170118054572</v>
      </c>
      <c r="T215" s="80">
        <f t="shared" si="35"/>
        <v>2.5618463481320717</v>
      </c>
      <c r="U215" s="80">
        <f t="shared" si="35"/>
        <v>2.6570127822345708</v>
      </c>
      <c r="V215" s="80">
        <f t="shared" si="35"/>
        <v>3.0402472888080365</v>
      </c>
      <c r="W215" s="80">
        <f t="shared" si="35"/>
        <v>2.9804073625392435</v>
      </c>
      <c r="X215" s="80">
        <f t="shared" si="35"/>
        <v>2.5400234251471066</v>
      </c>
      <c r="Y215" s="80">
        <f t="shared" si="35"/>
        <v>2.0115468204449232</v>
      </c>
      <c r="Z215" s="80">
        <f t="shared" si="35"/>
        <v>1.5083092135789351</v>
      </c>
      <c r="AA215" s="80">
        <f t="shared" si="35"/>
        <v>1.1694125805705655</v>
      </c>
      <c r="AB215" s="80">
        <f t="shared" si="35"/>
        <v>0.93532639730358347</v>
      </c>
      <c r="AC215" s="80">
        <f t="shared" si="35"/>
        <v>0.82757249810729994</v>
      </c>
      <c r="AD215" s="80">
        <f t="shared" si="35"/>
        <v>0.75660225140454707</v>
      </c>
      <c r="AF215" s="86"/>
    </row>
    <row r="216" spans="3:32" x14ac:dyDescent="0.2">
      <c r="C216" s="90"/>
      <c r="D216" s="29" t="s">
        <v>271</v>
      </c>
      <c r="E216" s="31"/>
      <c r="F216" s="31"/>
      <c r="G216" s="16"/>
      <c r="H216" s="82"/>
      <c r="I216" s="40"/>
      <c r="J216" s="40"/>
      <c r="K216" s="39"/>
      <c r="L216" s="40"/>
      <c r="M216" s="40"/>
      <c r="N216" s="40"/>
      <c r="O216" s="40"/>
      <c r="P216" s="40"/>
      <c r="Q216" s="40"/>
      <c r="R216" s="40"/>
      <c r="S216" s="268"/>
      <c r="T216" s="268"/>
      <c r="U216" s="268"/>
      <c r="V216" s="268"/>
      <c r="W216" s="268"/>
      <c r="X216" s="268"/>
      <c r="Y216" s="268"/>
      <c r="Z216" s="268"/>
      <c r="AA216" s="268"/>
      <c r="AB216" s="268"/>
      <c r="AC216" s="268"/>
      <c r="AD216" s="268"/>
    </row>
    <row r="217" spans="3:32" x14ac:dyDescent="0.2">
      <c r="C217" s="98">
        <v>48</v>
      </c>
      <c r="D217" s="29" t="s">
        <v>272</v>
      </c>
      <c r="E217" s="28"/>
      <c r="F217" s="28"/>
      <c r="G217" s="99">
        <f>SUM(G80/G210)</f>
        <v>3.3316551014600619E-2</v>
      </c>
      <c r="H217" s="82">
        <f t="shared" ref="H217:AD217" si="36">H80/H210</f>
        <v>0.24958713976154337</v>
      </c>
      <c r="I217" s="82">
        <f t="shared" si="36"/>
        <v>0.2094891220617601</v>
      </c>
      <c r="J217" s="82">
        <f t="shared" si="36"/>
        <v>0.17199305633609324</v>
      </c>
      <c r="K217" s="82">
        <f t="shared" si="36"/>
        <v>8.1911858881061894E-2</v>
      </c>
      <c r="L217" s="82">
        <f t="shared" si="36"/>
        <v>7.8480925015578532E-2</v>
      </c>
      <c r="M217" s="82">
        <f t="shared" si="36"/>
        <v>0.44340088286241119</v>
      </c>
      <c r="N217" s="82">
        <f t="shared" si="36"/>
        <v>0.62353952437044347</v>
      </c>
      <c r="O217" s="82">
        <f t="shared" si="36"/>
        <v>0.71456568377987317</v>
      </c>
      <c r="P217" s="82">
        <f t="shared" si="36"/>
        <v>0.77041702474105578</v>
      </c>
      <c r="Q217" s="82">
        <f t="shared" si="36"/>
        <v>0.43062094993782879</v>
      </c>
      <c r="R217" s="82">
        <f t="shared" si="36"/>
        <v>0.34945098165987803</v>
      </c>
      <c r="S217" s="80">
        <f t="shared" si="36"/>
        <v>0.23161569378450012</v>
      </c>
      <c r="T217" s="80">
        <f t="shared" si="36"/>
        <v>0.69366486433466945</v>
      </c>
      <c r="U217" s="80">
        <f t="shared" si="36"/>
        <v>0.69015837066834351</v>
      </c>
      <c r="V217" s="80">
        <f t="shared" si="36"/>
        <v>0.95934968367886442</v>
      </c>
      <c r="W217" s="80">
        <f t="shared" si="36"/>
        <v>1.3714846222527748</v>
      </c>
      <c r="X217" s="80">
        <f t="shared" si="36"/>
        <v>1.0588428837234207</v>
      </c>
      <c r="Y217" s="80">
        <f t="shared" si="36"/>
        <v>0.67767672361612019</v>
      </c>
      <c r="Z217" s="80">
        <f t="shared" si="36"/>
        <v>0.39907234286849796</v>
      </c>
      <c r="AA217" s="80">
        <f t="shared" si="36"/>
        <v>0.24023428904179248</v>
      </c>
      <c r="AB217" s="80">
        <f t="shared" si="36"/>
        <v>0.11591851325691625</v>
      </c>
      <c r="AC217" s="80">
        <f t="shared" si="36"/>
        <v>9.8628126710074551E-2</v>
      </c>
      <c r="AD217" s="80">
        <f t="shared" si="36"/>
        <v>9.1023973991914364E-2</v>
      </c>
    </row>
    <row r="218" spans="3:32" x14ac:dyDescent="0.2">
      <c r="C218" s="9"/>
      <c r="D218" s="29" t="s">
        <v>273</v>
      </c>
      <c r="K218" s="3"/>
    </row>
    <row r="219" spans="3:32" x14ac:dyDescent="0.2">
      <c r="K219" s="3"/>
    </row>
    <row r="220" spans="3:32" x14ac:dyDescent="0.2">
      <c r="K220" s="3"/>
    </row>
    <row r="221" spans="3:32" x14ac:dyDescent="0.2">
      <c r="D221" s="152"/>
      <c r="K221" s="3"/>
    </row>
    <row r="222" spans="3:32" x14ac:dyDescent="0.2">
      <c r="K222" s="3"/>
    </row>
    <row r="223" spans="3:32" x14ac:dyDescent="0.2">
      <c r="K223" s="3"/>
      <c r="W223" s="92"/>
      <c r="X223" s="92"/>
      <c r="Y223" s="92"/>
      <c r="Z223" s="92"/>
      <c r="AA223" s="92"/>
      <c r="AE223" s="92"/>
      <c r="AF223" s="92"/>
    </row>
    <row r="224" spans="3:32" x14ac:dyDescent="0.2">
      <c r="K224" s="3"/>
      <c r="AE224" s="92"/>
      <c r="AF224" s="92"/>
    </row>
    <row r="225" spans="11:32" x14ac:dyDescent="0.2">
      <c r="K225" s="3"/>
      <c r="W225" s="92"/>
      <c r="X225" s="92"/>
      <c r="Y225" s="92"/>
      <c r="Z225" s="92"/>
      <c r="AA225" s="92"/>
      <c r="AB225" s="92"/>
      <c r="AC225" s="92"/>
      <c r="AD225" s="92"/>
      <c r="AE225" s="92"/>
      <c r="AF225" s="92"/>
    </row>
    <row r="226" spans="11:32" x14ac:dyDescent="0.2">
      <c r="K226" s="3"/>
      <c r="AE226" s="92"/>
      <c r="AF226" s="92"/>
    </row>
    <row r="227" spans="11:32" x14ac:dyDescent="0.2">
      <c r="K227" s="3"/>
      <c r="W227" s="92"/>
      <c r="X227" s="92"/>
      <c r="Y227" s="92"/>
      <c r="Z227" s="92"/>
      <c r="AA227" s="92"/>
      <c r="AB227" s="92"/>
      <c r="AC227" s="92"/>
      <c r="AD227" s="92"/>
    </row>
    <row r="228" spans="11:32" x14ac:dyDescent="0.2">
      <c r="K228" s="3"/>
      <c r="W228" s="92"/>
      <c r="X228" s="92"/>
      <c r="Y228" s="92"/>
      <c r="Z228" s="92"/>
      <c r="AA228" s="92"/>
      <c r="AB228" s="92"/>
      <c r="AC228" s="92"/>
    </row>
    <row r="229" spans="11:32" x14ac:dyDescent="0.2">
      <c r="K229" s="3"/>
      <c r="W229" s="92"/>
      <c r="AE229" s="92"/>
      <c r="AF229" s="92"/>
    </row>
    <row r="230" spans="11:32" x14ac:dyDescent="0.2">
      <c r="K230" s="3"/>
    </row>
    <row r="231" spans="11:32" x14ac:dyDescent="0.2">
      <c r="K231" s="3"/>
      <c r="W231" s="92"/>
      <c r="X231" s="92"/>
      <c r="Y231" s="92"/>
      <c r="Z231" s="92"/>
      <c r="AA231" s="92"/>
      <c r="AB231" s="92"/>
      <c r="AC231" s="92"/>
    </row>
    <row r="232" spans="11:32" x14ac:dyDescent="0.2">
      <c r="K232" s="3"/>
    </row>
    <row r="233" spans="11:32" x14ac:dyDescent="0.2">
      <c r="K233" s="3"/>
    </row>
    <row r="234" spans="11:32" x14ac:dyDescent="0.2">
      <c r="K234" s="3"/>
    </row>
    <row r="235" spans="11:32" x14ac:dyDescent="0.2">
      <c r="K235" s="3"/>
      <c r="W235" s="92"/>
      <c r="X235" s="92"/>
      <c r="Y235" s="92"/>
      <c r="Z235" s="92"/>
      <c r="AA235" s="92"/>
      <c r="AB235" s="92"/>
      <c r="AC235" s="92"/>
      <c r="AD235" s="92"/>
    </row>
    <row r="236" spans="11:32" x14ac:dyDescent="0.2">
      <c r="K236" s="3"/>
      <c r="W236" s="92"/>
      <c r="X236" s="92"/>
      <c r="Y236" s="92"/>
      <c r="Z236" s="92"/>
      <c r="AA236" s="92"/>
      <c r="AB236" s="92"/>
      <c r="AC236" s="92"/>
      <c r="AD236" s="92"/>
    </row>
    <row r="237" spans="11:32" x14ac:dyDescent="0.2">
      <c r="K237" s="3"/>
    </row>
    <row r="238" spans="11:32" x14ac:dyDescent="0.2">
      <c r="K238" s="3"/>
      <c r="W238" s="78"/>
      <c r="X238" s="78"/>
      <c r="Y238" s="78"/>
      <c r="Z238" s="78"/>
      <c r="AA238" s="78"/>
      <c r="AB238" s="78"/>
      <c r="AC238" s="78"/>
      <c r="AD238" s="78"/>
    </row>
    <row r="239" spans="11:32" x14ac:dyDescent="0.2">
      <c r="K239" s="3"/>
    </row>
    <row r="240" spans="11:32" x14ac:dyDescent="0.2">
      <c r="K240" s="3"/>
    </row>
    <row r="241" spans="11:11" x14ac:dyDescent="0.2">
      <c r="K241" s="3"/>
    </row>
    <row r="242" spans="11:11" x14ac:dyDescent="0.2">
      <c r="K242" s="3"/>
    </row>
    <row r="243" spans="11:11" x14ac:dyDescent="0.2">
      <c r="K243" s="3"/>
    </row>
    <row r="244" spans="11:11" x14ac:dyDescent="0.2">
      <c r="K244" s="3"/>
    </row>
    <row r="245" spans="11:11" x14ac:dyDescent="0.2">
      <c r="K245" s="3"/>
    </row>
    <row r="246" spans="11:11" x14ac:dyDescent="0.2">
      <c r="K246" s="3"/>
    </row>
    <row r="247" spans="11:11" x14ac:dyDescent="0.2">
      <c r="K247" s="3"/>
    </row>
    <row r="248" spans="11:11" x14ac:dyDescent="0.2">
      <c r="K248" s="3"/>
    </row>
    <row r="249" spans="11:11" x14ac:dyDescent="0.2">
      <c r="K249" s="3"/>
    </row>
    <row r="250" spans="11:11" x14ac:dyDescent="0.2">
      <c r="K250" s="3"/>
    </row>
    <row r="251" spans="11:11" x14ac:dyDescent="0.2">
      <c r="K251" s="3"/>
    </row>
    <row r="252" spans="11:11" x14ac:dyDescent="0.2">
      <c r="K252" s="3"/>
    </row>
    <row r="253" spans="11:11" x14ac:dyDescent="0.2">
      <c r="K253" s="3"/>
    </row>
  </sheetData>
  <mergeCells count="4">
    <mergeCell ref="D4:G4"/>
    <mergeCell ref="S114:U114"/>
    <mergeCell ref="U6:W6"/>
    <mergeCell ref="D3:W3"/>
  </mergeCells>
  <phoneticPr fontId="0" type="noConversion"/>
  <printOptions gridLines="1"/>
  <pageMargins left="0.31496062992125984" right="0.19685039370078741" top="0" bottom="0" header="0.59055118110236227" footer="0.27559055118110237"/>
  <pageSetup paperSize="9" scale="86" fitToHeight="4" orientation="landscape" copies="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45"/>
  <sheetViews>
    <sheetView workbookViewId="0">
      <selection activeCell="M45" sqref="M45"/>
    </sheetView>
  </sheetViews>
  <sheetFormatPr defaultRowHeight="12.75" x14ac:dyDescent="0.2"/>
  <cols>
    <col min="3" max="3" width="27" bestFit="1" customWidth="1"/>
  </cols>
  <sheetData>
    <row r="3" spans="3:13" x14ac:dyDescent="0.2">
      <c r="D3">
        <v>2020</v>
      </c>
      <c r="E3">
        <v>2021</v>
      </c>
      <c r="F3">
        <v>2022</v>
      </c>
      <c r="G3">
        <v>2023</v>
      </c>
      <c r="H3">
        <v>2024</v>
      </c>
      <c r="I3">
        <v>2025</v>
      </c>
      <c r="J3">
        <v>2026</v>
      </c>
      <c r="K3">
        <v>2027</v>
      </c>
      <c r="L3">
        <v>2028</v>
      </c>
      <c r="M3">
        <v>2029</v>
      </c>
    </row>
    <row r="4" spans="3:13" x14ac:dyDescent="0.2">
      <c r="C4" s="115" t="s">
        <v>472</v>
      </c>
    </row>
    <row r="5" spans="3:13" x14ac:dyDescent="0.2">
      <c r="C5" s="115" t="s">
        <v>473</v>
      </c>
    </row>
    <row r="6" spans="3:13" x14ac:dyDescent="0.2">
      <c r="C6" t="s">
        <v>474</v>
      </c>
      <c r="D6">
        <f>'FORM - III'!U178</f>
        <v>5102.07</v>
      </c>
      <c r="E6">
        <f>'FORM - III'!V178</f>
        <v>4742.1100000000015</v>
      </c>
      <c r="F6">
        <f>'FORM - III'!W178</f>
        <v>4352.1100000000015</v>
      </c>
      <c r="G6">
        <f>'FORM - III'!X178</f>
        <v>3962.1100000000015</v>
      </c>
      <c r="H6">
        <f>'FORM - III'!Y178</f>
        <v>3572.1100000000015</v>
      </c>
      <c r="I6">
        <f>'FORM - III'!Z178</f>
        <v>3182.1100000000015</v>
      </c>
      <c r="J6">
        <f>'FORM - III'!AA178</f>
        <v>2792.1100000000015</v>
      </c>
      <c r="K6">
        <f>'FORM - III'!AB178</f>
        <v>2552.1100000000015</v>
      </c>
      <c r="L6">
        <f>'FORM - III'!AC178</f>
        <v>2787.1100000000015</v>
      </c>
      <c r="M6">
        <f>'FORM - III'!AD178</f>
        <v>3197.1100000000015</v>
      </c>
    </row>
    <row r="7" spans="3:13" x14ac:dyDescent="0.2">
      <c r="C7" t="s">
        <v>475</v>
      </c>
    </row>
    <row r="8" spans="3:13" x14ac:dyDescent="0.2">
      <c r="C8" t="s">
        <v>476</v>
      </c>
    </row>
    <row r="9" spans="3:13" x14ac:dyDescent="0.2">
      <c r="C9" t="s">
        <v>477</v>
      </c>
    </row>
    <row r="10" spans="3:13" x14ac:dyDescent="0.2">
      <c r="C10" t="s">
        <v>478</v>
      </c>
      <c r="D10" s="256">
        <f>'FORM - III'!U201</f>
        <v>685.31</v>
      </c>
      <c r="E10" s="256">
        <f>'FORM - III'!V201</f>
        <v>682.65</v>
      </c>
      <c r="F10" s="256">
        <f>'FORM - III'!W201</f>
        <v>320</v>
      </c>
      <c r="G10" s="256">
        <f>'FORM - III'!X201</f>
        <v>256.67</v>
      </c>
      <c r="H10" s="256">
        <f>'FORM - III'!Y201</f>
        <v>162.19</v>
      </c>
      <c r="I10" s="256">
        <f>'FORM - III'!Z201</f>
        <v>58.36</v>
      </c>
      <c r="J10" s="256">
        <f>'FORM - III'!AA201</f>
        <v>0</v>
      </c>
      <c r="K10" s="256">
        <f>'FORM - III'!AB201</f>
        <v>0</v>
      </c>
      <c r="L10" s="256">
        <f>'FORM - III'!AC201</f>
        <v>0</v>
      </c>
      <c r="M10" s="256">
        <f>'FORM - III'!AD201</f>
        <v>0</v>
      </c>
    </row>
    <row r="11" spans="3:13" x14ac:dyDescent="0.2">
      <c r="C11" t="s">
        <v>479</v>
      </c>
      <c r="D11" s="120">
        <f>'FORM - III'!U195</f>
        <v>163.22999999999999</v>
      </c>
      <c r="E11" s="120">
        <f>'FORM - III'!V195</f>
        <v>163.22999999999999</v>
      </c>
      <c r="F11" s="120">
        <f>'FORM - III'!W195</f>
        <v>150.07</v>
      </c>
      <c r="G11" s="120">
        <f>'FORM - III'!X195</f>
        <v>150.07</v>
      </c>
      <c r="H11" s="120">
        <f>'FORM - III'!Y195</f>
        <v>150.07</v>
      </c>
      <c r="I11" s="120">
        <f>'FORM - III'!Z195</f>
        <v>150.07</v>
      </c>
      <c r="J11" s="120">
        <f>'FORM - III'!AA195</f>
        <v>150.07</v>
      </c>
      <c r="K11" s="120">
        <f>'FORM - III'!AB195</f>
        <v>150.07</v>
      </c>
      <c r="L11" s="120">
        <f>'FORM - III'!AC195</f>
        <v>150.07</v>
      </c>
      <c r="M11" s="120">
        <f>'FORM - III'!AD195</f>
        <v>150.07</v>
      </c>
    </row>
    <row r="13" spans="3:13" x14ac:dyDescent="0.2">
      <c r="C13" s="115" t="s">
        <v>480</v>
      </c>
    </row>
    <row r="14" spans="3:13" x14ac:dyDescent="0.2">
      <c r="C14" s="115" t="s">
        <v>481</v>
      </c>
      <c r="D14" s="206">
        <f>'FORM - III'!U144+'FORM - III'!U146+'FORM - III'!U148+'FORM - III'!U153</f>
        <v>2463.35</v>
      </c>
      <c r="E14" s="206">
        <f>'FORM - III'!V144+'FORM - III'!V146+'FORM - III'!V148+'FORM - III'!V153</f>
        <v>2896.7799999999997</v>
      </c>
      <c r="F14" s="206">
        <f>'FORM - III'!W144+'FORM - III'!W146+'FORM - III'!W148+'FORM - III'!W153</f>
        <v>2400</v>
      </c>
      <c r="G14" s="206">
        <f>'FORM - III'!X144+'FORM - III'!X146+'FORM - III'!X148+'FORM - III'!X153</f>
        <v>2700</v>
      </c>
      <c r="H14" s="206">
        <f>'FORM - III'!Y144+'FORM - III'!Y146+'FORM - III'!Y148+'FORM - III'!Y153</f>
        <v>2850</v>
      </c>
      <c r="I14" s="206">
        <f>'FORM - III'!Z144+'FORM - III'!Z146+'FORM - III'!Z148+'FORM - III'!Z153</f>
        <v>2850</v>
      </c>
      <c r="J14" s="206">
        <f>'FORM - III'!AA144+'FORM - III'!AA146+'FORM - III'!AA148+'FORM - III'!AA153</f>
        <v>2950</v>
      </c>
      <c r="K14" s="206">
        <f>'FORM - III'!AB144+'FORM - III'!AB146+'FORM - III'!AB148+'FORM - III'!AB153</f>
        <v>2950</v>
      </c>
      <c r="L14" s="206">
        <f>'FORM - III'!AC144+'FORM - III'!AC146+'FORM - III'!AC148+'FORM - III'!AC153</f>
        <v>2950</v>
      </c>
      <c r="M14" s="206">
        <f>'FORM - III'!AD144+'FORM - III'!AD146+'FORM - III'!AD148+'FORM - III'!AD153</f>
        <v>2950</v>
      </c>
    </row>
    <row r="15" spans="3:13" x14ac:dyDescent="0.2">
      <c r="C15" s="115" t="s">
        <v>477</v>
      </c>
    </row>
    <row r="16" spans="3:13" x14ac:dyDescent="0.2">
      <c r="C16" t="s">
        <v>482</v>
      </c>
      <c r="D16" s="206">
        <f>'FORM - III'!U121</f>
        <v>0</v>
      </c>
      <c r="E16" s="206">
        <f>'FORM - III'!V121</f>
        <v>0</v>
      </c>
      <c r="F16" s="206">
        <f>'FORM - III'!W121</f>
        <v>0</v>
      </c>
      <c r="G16" s="206">
        <f>'FORM - III'!X121</f>
        <v>0</v>
      </c>
      <c r="H16" s="206">
        <f>'FORM - III'!Y121</f>
        <v>0</v>
      </c>
      <c r="I16" s="206">
        <f>'FORM - III'!Z121</f>
        <v>0</v>
      </c>
      <c r="J16" s="206">
        <f>'FORM - III'!AA121</f>
        <v>0</v>
      </c>
      <c r="K16" s="206">
        <f>'FORM - III'!AB121</f>
        <v>0</v>
      </c>
      <c r="L16" s="206">
        <f>'FORM - III'!AC121</f>
        <v>0</v>
      </c>
      <c r="M16" s="206">
        <f>'FORM - III'!AD121</f>
        <v>0</v>
      </c>
    </row>
    <row r="17" spans="3:13" x14ac:dyDescent="0.2">
      <c r="C17" t="s">
        <v>483</v>
      </c>
      <c r="D17" s="120">
        <f>'FORM - IV'!T35+'FORM - IV'!T39</f>
        <v>2069.4299999999998</v>
      </c>
      <c r="E17" s="120">
        <f>'FORM - IV'!U35+'FORM - IV'!U39</f>
        <v>1766.53</v>
      </c>
      <c r="F17" s="120">
        <f>'FORM - IV'!V35+'FORM - IV'!V39</f>
        <v>1600</v>
      </c>
      <c r="G17" s="120">
        <f>'FORM - IV'!W35+'FORM - IV'!W39</f>
        <v>1950</v>
      </c>
      <c r="H17" s="120">
        <f>'FORM - IV'!X35+'FORM - IV'!X39</f>
        <v>1950</v>
      </c>
      <c r="I17" s="120">
        <f>'FORM - IV'!Y35+'FORM - IV'!Y39</f>
        <v>1900</v>
      </c>
      <c r="J17" s="120">
        <f>'FORM - IV'!Z35+'FORM - IV'!Z39</f>
        <v>1900</v>
      </c>
      <c r="K17" s="120">
        <f>'FORM - IV'!AA35+'FORM - IV'!AA39</f>
        <v>1900</v>
      </c>
      <c r="L17" s="120">
        <f>'FORM - IV'!AB35+'FORM - IV'!AB39</f>
        <v>1900</v>
      </c>
      <c r="M17" s="120">
        <f>'FORM - IV'!AC35+'FORM - IV'!AC39</f>
        <v>1900</v>
      </c>
    </row>
    <row r="18" spans="3:13" x14ac:dyDescent="0.2">
      <c r="C18" t="s">
        <v>484</v>
      </c>
      <c r="D18" s="256">
        <f>'FORM - III'!U119</f>
        <v>27.36</v>
      </c>
      <c r="E18" s="256">
        <f>'FORM - III'!V119</f>
        <v>85.78</v>
      </c>
      <c r="F18" s="256">
        <f>'FORM - III'!W119</f>
        <v>63.44</v>
      </c>
      <c r="G18" s="256">
        <f>'FORM - III'!X119</f>
        <v>106.7</v>
      </c>
      <c r="H18" s="256">
        <f>'FORM - III'!Y119</f>
        <v>128.94</v>
      </c>
      <c r="I18" s="256">
        <f>'FORM - III'!Z119</f>
        <v>143.18</v>
      </c>
      <c r="J18" s="256">
        <f>'FORM - III'!AA119</f>
        <v>145.5</v>
      </c>
      <c r="K18" s="256">
        <f>'FORM - III'!AB119</f>
        <v>195.09</v>
      </c>
      <c r="L18" s="256">
        <f>'FORM - III'!AC119</f>
        <v>200.88</v>
      </c>
      <c r="M18" s="256">
        <f>'FORM - III'!AD119</f>
        <v>146.55000000000001</v>
      </c>
    </row>
    <row r="19" spans="3:13" x14ac:dyDescent="0.2">
      <c r="C19" t="s">
        <v>485</v>
      </c>
      <c r="D19" s="256">
        <f>'FORM - III'!U126</f>
        <v>91.49</v>
      </c>
      <c r="E19" s="256">
        <f>'FORM - III'!V126</f>
        <v>96.53</v>
      </c>
      <c r="F19" s="256">
        <f>'FORM - III'!W126</f>
        <v>75</v>
      </c>
      <c r="G19" s="256">
        <f>'FORM - III'!X126</f>
        <v>75</v>
      </c>
      <c r="H19" s="256">
        <f>'FORM - III'!Y126</f>
        <v>75</v>
      </c>
      <c r="I19" s="256">
        <f>'FORM - III'!Z126</f>
        <v>75</v>
      </c>
      <c r="J19" s="256">
        <f>'FORM - III'!AA126</f>
        <v>75</v>
      </c>
      <c r="K19" s="256">
        <f>'FORM - III'!AB126</f>
        <v>75</v>
      </c>
      <c r="L19" s="256">
        <f>'FORM - III'!AC126</f>
        <v>75</v>
      </c>
      <c r="M19" s="256">
        <f>'FORM - III'!AD126</f>
        <v>75</v>
      </c>
    </row>
    <row r="20" spans="3:13" x14ac:dyDescent="0.2">
      <c r="C20" t="s">
        <v>486</v>
      </c>
      <c r="D20" s="120">
        <v>9.8000000000000007</v>
      </c>
      <c r="E20" s="120">
        <v>13.33</v>
      </c>
      <c r="F20" s="120">
        <v>13</v>
      </c>
      <c r="G20" s="120">
        <v>13</v>
      </c>
      <c r="H20" s="120">
        <v>13</v>
      </c>
      <c r="I20" s="120">
        <v>13</v>
      </c>
      <c r="J20" s="120">
        <v>13</v>
      </c>
      <c r="K20" s="120">
        <v>13</v>
      </c>
      <c r="L20" s="120">
        <v>13</v>
      </c>
      <c r="M20" s="120">
        <v>13</v>
      </c>
    </row>
    <row r="21" spans="3:13" x14ac:dyDescent="0.2">
      <c r="C21" s="115" t="s">
        <v>487</v>
      </c>
      <c r="D21" s="206">
        <f>'FORM - III'!U155+'FORM - III'!U158+'FORM - III'!U160-'Balance Sheet'!D20</f>
        <v>497.27000000000004</v>
      </c>
      <c r="E21" s="206">
        <f>'FORM - III'!V155+'FORM - III'!V158+'FORM - III'!V160-'Balance Sheet'!E20</f>
        <v>480.03000000000003</v>
      </c>
      <c r="F21" s="206">
        <f>'FORM - III'!W155+'FORM - III'!W158+'FORM - III'!W160-'Balance Sheet'!F20</f>
        <v>522</v>
      </c>
      <c r="G21" s="206">
        <f>'FORM - III'!X155+'FORM - III'!X158+'FORM - III'!X160-'Balance Sheet'!G20</f>
        <v>502</v>
      </c>
      <c r="H21" s="206">
        <f>'FORM - III'!Y155+'FORM - III'!Y158+'FORM - III'!Y160-'Balance Sheet'!H20</f>
        <v>502</v>
      </c>
      <c r="I21" s="206">
        <f>'FORM - III'!Z155+'FORM - III'!Z158+'FORM - III'!Z160-'Balance Sheet'!I20</f>
        <v>502</v>
      </c>
      <c r="J21" s="206">
        <f>'FORM - III'!AA155+'FORM - III'!AA158+'FORM - III'!AA160-'Balance Sheet'!J20</f>
        <v>502</v>
      </c>
      <c r="K21" s="206">
        <f>'FORM - III'!AB155+'FORM - III'!AB158+'FORM - III'!AB160-'Balance Sheet'!K20</f>
        <v>502</v>
      </c>
      <c r="L21" s="206">
        <f>'FORM - III'!AC155+'FORM - III'!AC158+'FORM - III'!AC160-'Balance Sheet'!L20</f>
        <v>502</v>
      </c>
      <c r="M21" s="206">
        <f>'FORM - III'!AD155+'FORM - III'!AD158+'FORM - III'!AD160-'Balance Sheet'!M20</f>
        <v>502</v>
      </c>
    </row>
    <row r="22" spans="3:13" x14ac:dyDescent="0.2">
      <c r="C22" s="115" t="s">
        <v>488</v>
      </c>
      <c r="D22">
        <f>SUM(D6:D21)</f>
        <v>11109.31</v>
      </c>
      <c r="E22">
        <f>SUM(E6:E21)</f>
        <v>10926.970000000003</v>
      </c>
      <c r="F22" s="120">
        <f t="shared" ref="F22:M22" si="0">SUM(F6:F21)</f>
        <v>9495.6200000000008</v>
      </c>
      <c r="G22" s="120">
        <f t="shared" si="0"/>
        <v>9715.5500000000029</v>
      </c>
      <c r="H22" s="120">
        <f t="shared" si="0"/>
        <v>9403.3100000000031</v>
      </c>
      <c r="I22" s="120">
        <f t="shared" si="0"/>
        <v>8873.7200000000012</v>
      </c>
      <c r="J22" s="120">
        <f t="shared" si="0"/>
        <v>8527.6800000000021</v>
      </c>
      <c r="K22" s="120">
        <f t="shared" si="0"/>
        <v>8337.2700000000023</v>
      </c>
      <c r="L22" s="120">
        <f t="shared" si="0"/>
        <v>8578.0600000000013</v>
      </c>
      <c r="M22" s="120">
        <f t="shared" si="0"/>
        <v>8933.7300000000014</v>
      </c>
    </row>
    <row r="24" spans="3:13" x14ac:dyDescent="0.2">
      <c r="C24" s="115" t="s">
        <v>489</v>
      </c>
    </row>
    <row r="25" spans="3:13" x14ac:dyDescent="0.2">
      <c r="C25" s="115" t="s">
        <v>490</v>
      </c>
    </row>
    <row r="26" spans="3:13" x14ac:dyDescent="0.2">
      <c r="C26" s="116" t="s">
        <v>491</v>
      </c>
      <c r="D26" s="120">
        <f>'FORM - III'!U88</f>
        <v>725.73</v>
      </c>
      <c r="E26" s="120">
        <f>'FORM - III'!V88</f>
        <v>725.73</v>
      </c>
      <c r="F26" s="120">
        <f>'FORM - III'!W88</f>
        <v>725.73</v>
      </c>
      <c r="G26" s="120">
        <f>'FORM - III'!X88</f>
        <v>725.73</v>
      </c>
      <c r="H26" s="120">
        <f>'FORM - III'!Y88</f>
        <v>725.73</v>
      </c>
      <c r="I26" s="120">
        <f>'FORM - III'!Z88</f>
        <v>725.73</v>
      </c>
      <c r="J26" s="120">
        <f>'FORM - III'!AA88</f>
        <v>725.73</v>
      </c>
      <c r="K26" s="120">
        <f>'FORM - III'!AB88</f>
        <v>725.73</v>
      </c>
      <c r="L26" s="120">
        <f>'FORM - III'!AC88</f>
        <v>725.73</v>
      </c>
      <c r="M26" s="120">
        <f>'FORM - III'!AD88</f>
        <v>725.73</v>
      </c>
    </row>
    <row r="27" spans="3:13" x14ac:dyDescent="0.2">
      <c r="C27" s="116" t="s">
        <v>492</v>
      </c>
      <c r="D27" s="120">
        <f>'FORM - III'!U90+'FORM - III'!U92+'FORM - III'!U94</f>
        <v>2312.0799999999995</v>
      </c>
      <c r="E27" s="120">
        <f>'FORM - III'!V90+'FORM - III'!V92+'FORM - III'!V94</f>
        <v>1978.8000000000006</v>
      </c>
      <c r="F27" s="120">
        <f>'FORM - III'!W90+'FORM - III'!W92+'FORM - III'!W94</f>
        <v>1659.8600000000019</v>
      </c>
      <c r="G27" s="120">
        <f>'FORM - III'!X90+'FORM - III'!X92+'FORM - III'!X94</f>
        <v>2018.756500000002</v>
      </c>
      <c r="H27" s="120">
        <f>'FORM - III'!Y90+'FORM - III'!Y92+'FORM - III'!Y94</f>
        <v>2396.688000000001</v>
      </c>
      <c r="I27" s="120">
        <f>'FORM - III'!Z90+'FORM - III'!Z92+'FORM - III'!Z94</f>
        <v>2811.9994999999999</v>
      </c>
      <c r="J27" s="120">
        <f>'FORM - III'!AA90+'FORM - III'!AA92+'FORM - III'!AA94</f>
        <v>3205.1409999999996</v>
      </c>
      <c r="K27" s="120">
        <f>'FORM - III'!AB90+'FORM - III'!AB92+'FORM - III'!AB94</f>
        <v>3582.21</v>
      </c>
      <c r="L27" s="120">
        <f>'FORM - III'!AC90+'FORM - III'!AC92+'FORM - III'!AC94</f>
        <v>3967.9614999999999</v>
      </c>
      <c r="M27" s="120">
        <f>'FORM - III'!AD90+'FORM - III'!AD92+'FORM - III'!AD94</f>
        <v>4360.0729999999994</v>
      </c>
    </row>
    <row r="28" spans="3:13" x14ac:dyDescent="0.2">
      <c r="C28" s="115" t="s">
        <v>493</v>
      </c>
      <c r="D28" s="120">
        <f>D26+D27</f>
        <v>3037.8099999999995</v>
      </c>
      <c r="E28" s="120">
        <f t="shared" ref="E28:M28" si="1">E26+E27</f>
        <v>2704.5300000000007</v>
      </c>
      <c r="F28" s="120">
        <f t="shared" si="1"/>
        <v>2385.590000000002</v>
      </c>
      <c r="G28" s="120">
        <f t="shared" si="1"/>
        <v>2744.4865000000018</v>
      </c>
      <c r="H28" s="120">
        <f t="shared" si="1"/>
        <v>3122.418000000001</v>
      </c>
      <c r="I28" s="120">
        <f t="shared" si="1"/>
        <v>3537.7294999999999</v>
      </c>
      <c r="J28" s="120">
        <f t="shared" si="1"/>
        <v>3930.8709999999996</v>
      </c>
      <c r="K28" s="120">
        <f t="shared" si="1"/>
        <v>4307.9400000000005</v>
      </c>
      <c r="L28" s="120">
        <f t="shared" si="1"/>
        <v>4693.6914999999999</v>
      </c>
      <c r="M28" s="120">
        <f t="shared" si="1"/>
        <v>5085.8029999999999</v>
      </c>
    </row>
    <row r="30" spans="3:13" x14ac:dyDescent="0.2">
      <c r="C30" s="115" t="s">
        <v>350</v>
      </c>
    </row>
    <row r="31" spans="3:13" x14ac:dyDescent="0.2">
      <c r="C31" s="115" t="s">
        <v>494</v>
      </c>
    </row>
    <row r="32" spans="3:13" x14ac:dyDescent="0.2">
      <c r="C32" s="115" t="s">
        <v>495</v>
      </c>
    </row>
    <row r="33" spans="1:13" x14ac:dyDescent="0.2">
      <c r="C33" s="116" t="s">
        <v>496</v>
      </c>
      <c r="D33" s="120">
        <f>'FORM - III'!U65+'FORM - III'!U78</f>
        <v>29.73</v>
      </c>
      <c r="E33" s="120">
        <f>'FORM - III'!V65+'FORM - III'!V78</f>
        <v>719.67</v>
      </c>
      <c r="F33" s="120">
        <f>'FORM - III'!W65+'FORM - III'!W78+'FORM - III'!W67</f>
        <v>1643.87</v>
      </c>
      <c r="G33" s="120">
        <f>'FORM - III'!X65+'FORM - III'!X78+'FORM - III'!X67</f>
        <v>1303.05</v>
      </c>
      <c r="H33" s="120">
        <f>'FORM - III'!Y65+'FORM - III'!Y78+'FORM - III'!Y67</f>
        <v>713.06</v>
      </c>
      <c r="I33" s="120">
        <f>'FORM - III'!Z65+'FORM - III'!Z78+'FORM - III'!Z67</f>
        <v>373.87999999999988</v>
      </c>
      <c r="J33" s="120">
        <f>'FORM - III'!AA65+'FORM - III'!AA78+'FORM - III'!AA67</f>
        <v>206.39999999999989</v>
      </c>
      <c r="K33" s="120">
        <f>'FORM - III'!AB65+'FORM - III'!AB78+'FORM - III'!AB67</f>
        <v>61.439999999999884</v>
      </c>
      <c r="L33" s="120">
        <f>'FORM - III'!AC65+'FORM - III'!AC78+'FORM - III'!AC67</f>
        <v>24.999999999999886</v>
      </c>
      <c r="M33" s="120">
        <f>'FORM - III'!AD65+'FORM - III'!AD78+'FORM - III'!AD67</f>
        <v>25</v>
      </c>
    </row>
    <row r="34" spans="1:13" x14ac:dyDescent="0.2">
      <c r="C34" s="116" t="s">
        <v>498</v>
      </c>
      <c r="D34" s="120">
        <f>'FORM - III'!U73</f>
        <v>63.48</v>
      </c>
      <c r="E34" s="120">
        <f>'FORM - III'!V73</f>
        <v>52.93</v>
      </c>
      <c r="F34" s="120">
        <f>'FORM - III'!W73</f>
        <v>52.93</v>
      </c>
      <c r="G34" s="120">
        <f>'FORM - III'!X73</f>
        <v>52.93</v>
      </c>
      <c r="H34" s="120">
        <f>'FORM - III'!Y73</f>
        <v>52.93</v>
      </c>
      <c r="I34" s="120">
        <f>'FORM - III'!Z73</f>
        <v>52.93</v>
      </c>
      <c r="J34" s="120">
        <f>'FORM - III'!AA73</f>
        <v>52.93</v>
      </c>
      <c r="K34" s="120">
        <f>'FORM - III'!AB73</f>
        <v>52.93</v>
      </c>
      <c r="L34" s="120">
        <f>'FORM - III'!AC73</f>
        <v>52.93</v>
      </c>
      <c r="M34" s="120">
        <f>'FORM - III'!AD73</f>
        <v>52.93</v>
      </c>
    </row>
    <row r="35" spans="1:13" x14ac:dyDescent="0.2">
      <c r="C35" s="116" t="s">
        <v>500</v>
      </c>
      <c r="D35" s="120">
        <f>'FORM - III'!U68+'FORM - III'!V77</f>
        <v>1750</v>
      </c>
      <c r="E35" s="120">
        <f>'FORM - III'!V68+'FORM - III'!V77</f>
        <v>1608.27</v>
      </c>
      <c r="F35" s="120">
        <f>'FORM - III'!W68+'FORM - III'!W77</f>
        <v>1375</v>
      </c>
      <c r="G35" s="120">
        <f>'FORM - III'!X68+'FORM - III'!X77</f>
        <v>1350</v>
      </c>
      <c r="H35" s="120">
        <f>'FORM - III'!Y68+'FORM - III'!Y77</f>
        <v>1150</v>
      </c>
      <c r="I35" s="120">
        <f>'FORM - III'!Z68+'FORM - III'!Z77</f>
        <v>700</v>
      </c>
      <c r="J35" s="120">
        <f>'FORM - III'!AA68+'FORM - III'!AA77</f>
        <v>400</v>
      </c>
      <c r="K35" s="120">
        <f>'FORM - III'!AB68+'FORM - III'!AB77</f>
        <v>100</v>
      </c>
      <c r="L35" s="120">
        <f>'FORM - III'!AC68+'FORM - III'!AC77</f>
        <v>100</v>
      </c>
      <c r="M35" s="120">
        <f>'FORM - III'!AD68+'FORM - III'!AD77</f>
        <v>100</v>
      </c>
    </row>
    <row r="36" spans="1:13" x14ac:dyDescent="0.2">
      <c r="C36" s="116" t="s">
        <v>501</v>
      </c>
      <c r="D36" s="120">
        <f>'FORM - III'!U71</f>
        <v>253.36</v>
      </c>
      <c r="E36" s="120">
        <f>'FORM - III'!V71</f>
        <v>213.72</v>
      </c>
      <c r="F36" s="120">
        <f>'FORM - III'!W71</f>
        <v>200</v>
      </c>
      <c r="G36" s="120">
        <f>'FORM - III'!X71</f>
        <v>200</v>
      </c>
      <c r="H36" s="120">
        <f>'FORM - III'!Y71</f>
        <v>200</v>
      </c>
      <c r="I36" s="120">
        <f>'FORM - III'!Z71</f>
        <v>285</v>
      </c>
      <c r="J36" s="120">
        <f>'FORM - III'!AA71</f>
        <v>285</v>
      </c>
      <c r="K36" s="120">
        <f>'FORM - III'!AB71</f>
        <v>285</v>
      </c>
      <c r="L36" s="120">
        <f>'FORM - III'!AC71</f>
        <v>285</v>
      </c>
      <c r="M36" s="120">
        <f>'FORM - III'!AD71</f>
        <v>285</v>
      </c>
    </row>
    <row r="37" spans="1:13" x14ac:dyDescent="0.2">
      <c r="C37" s="116" t="s">
        <v>502</v>
      </c>
      <c r="E37" s="120"/>
      <c r="F37" s="120"/>
      <c r="G37" s="120"/>
      <c r="H37" s="120"/>
      <c r="I37" s="120"/>
      <c r="J37" s="120"/>
      <c r="K37" s="120"/>
      <c r="L37" s="120"/>
      <c r="M37" s="120"/>
    </row>
    <row r="38" spans="1:13" x14ac:dyDescent="0.2">
      <c r="C38" s="115" t="s">
        <v>503</v>
      </c>
      <c r="D38" s="120"/>
      <c r="E38" s="120"/>
      <c r="F38" s="120"/>
      <c r="G38" s="120"/>
      <c r="H38" s="120"/>
      <c r="I38" s="120"/>
      <c r="J38" s="120"/>
      <c r="K38" s="120"/>
      <c r="L38" s="120"/>
      <c r="M38" s="120"/>
    </row>
    <row r="39" spans="1:13" x14ac:dyDescent="0.2">
      <c r="A39" s="116"/>
      <c r="C39" s="115" t="s">
        <v>495</v>
      </c>
      <c r="D39" s="120"/>
      <c r="E39" s="120"/>
      <c r="F39" s="120"/>
      <c r="G39" s="120"/>
      <c r="H39" s="120"/>
      <c r="I39" s="120"/>
      <c r="J39" s="120"/>
      <c r="K39" s="120"/>
      <c r="L39" s="120"/>
      <c r="M39" s="120"/>
    </row>
    <row r="40" spans="1:13" x14ac:dyDescent="0.2">
      <c r="A40" s="116"/>
      <c r="C40" s="116" t="s">
        <v>496</v>
      </c>
      <c r="D40" s="138">
        <v>2801.97</v>
      </c>
      <c r="E40" s="120">
        <f>'FORM - III'!V20</f>
        <v>2674.77</v>
      </c>
      <c r="F40" s="120">
        <f>'FORM - III'!W20</f>
        <v>2000</v>
      </c>
      <c r="G40" s="120">
        <f>'FORM - III'!X20</f>
        <v>2000</v>
      </c>
      <c r="H40" s="120">
        <f>'FORM - III'!Y20</f>
        <v>2000</v>
      </c>
      <c r="I40" s="120">
        <f>'FORM - III'!Z20</f>
        <v>2000</v>
      </c>
      <c r="J40" s="120">
        <f>'FORM - III'!AA20</f>
        <v>2000</v>
      </c>
      <c r="K40" s="120">
        <f>'FORM - III'!AB20</f>
        <v>2000</v>
      </c>
      <c r="L40" s="120">
        <f>'FORM - III'!AC20</f>
        <v>2000</v>
      </c>
      <c r="M40" s="120">
        <f>'FORM - III'!AD20</f>
        <v>2000</v>
      </c>
    </row>
    <row r="41" spans="1:13" x14ac:dyDescent="0.2">
      <c r="C41" s="116" t="s">
        <v>497</v>
      </c>
      <c r="D41" s="120">
        <f>'FORM - III'!U24+'FORM - III'!U25</f>
        <v>1576.31</v>
      </c>
      <c r="E41" s="120">
        <f>'FORM - III'!V24+'FORM - III'!V25</f>
        <v>1359.49</v>
      </c>
      <c r="F41" s="120">
        <f>'FORM - III'!W24+'FORM - III'!W25</f>
        <v>1085</v>
      </c>
      <c r="G41" s="120">
        <f>'FORM - III'!X24+'FORM - III'!X25</f>
        <v>1085</v>
      </c>
      <c r="H41" s="120">
        <f>'FORM - III'!Y24+'FORM - III'!Y25</f>
        <v>1085</v>
      </c>
      <c r="I41" s="120">
        <f>'FORM - III'!Z24+'FORM - III'!Z25</f>
        <v>1085</v>
      </c>
      <c r="J41" s="120">
        <f>'FORM - III'!AA24+'FORM - III'!AA25</f>
        <v>860</v>
      </c>
      <c r="K41" s="120">
        <f>'FORM - III'!AB24+'FORM - III'!AB25</f>
        <v>760</v>
      </c>
      <c r="L41" s="120">
        <f>'FORM - III'!AC24+'FORM - III'!AC25</f>
        <v>760</v>
      </c>
      <c r="M41" s="120">
        <f>'FORM - III'!AD24+'FORM - III'!AD25</f>
        <v>760</v>
      </c>
    </row>
    <row r="42" spans="1:13" x14ac:dyDescent="0.2">
      <c r="C42" s="116" t="s">
        <v>498</v>
      </c>
      <c r="D42" s="120">
        <f>'FORM - III'!U39+'FORM - III'!U36-D44</f>
        <v>1030.2400000000002</v>
      </c>
      <c r="E42" s="120">
        <f>'FORM - III'!V39+'FORM - III'!V36-E44</f>
        <v>1272.4699999999998</v>
      </c>
      <c r="F42" s="120">
        <f>'FORM - III'!W39+'FORM - III'!W36-F44</f>
        <v>508.23</v>
      </c>
      <c r="G42" s="120">
        <f>'FORM - III'!X39+'FORM - III'!X36-G44</f>
        <v>735.08</v>
      </c>
      <c r="H42" s="120">
        <f>'FORM - III'!Y39+'FORM - III'!Y36-H44</f>
        <v>834.9</v>
      </c>
      <c r="I42" s="120">
        <f>'FORM - III'!Z39+'FORM - III'!Z36-I44</f>
        <v>594.18000000000006</v>
      </c>
      <c r="J42" s="120">
        <f>'FORM - III'!AA39+'FORM - III'!AA36-J44</f>
        <v>547.48</v>
      </c>
      <c r="K42" s="120">
        <f>'FORM - III'!AB39+'FORM - III'!AB36-K44</f>
        <v>524.96</v>
      </c>
      <c r="L42" s="120">
        <f>'FORM - III'!AC39+'FORM - III'!AC36-L44</f>
        <v>416.44</v>
      </c>
      <c r="M42" s="120">
        <f>'FORM - III'!AD39+'FORM - III'!AD36-M44</f>
        <v>380</v>
      </c>
    </row>
    <row r="43" spans="1:13" x14ac:dyDescent="0.2">
      <c r="C43" s="116" t="s">
        <v>504</v>
      </c>
      <c r="D43" s="120">
        <f>'FORM - III'!U32+'FORM - III'!U26</f>
        <v>513.36</v>
      </c>
      <c r="E43" s="120">
        <f>'FORM - III'!V32+'FORM - III'!V26</f>
        <v>250.98</v>
      </c>
      <c r="F43" s="120">
        <f>'FORM - III'!W32+'FORM - III'!W26</f>
        <v>175</v>
      </c>
      <c r="G43" s="120">
        <f>'FORM - III'!X32+'FORM - III'!X26</f>
        <v>175</v>
      </c>
      <c r="H43" s="120">
        <f>'FORM - III'!Y32+'FORM - III'!Y26</f>
        <v>175</v>
      </c>
      <c r="I43" s="120">
        <f>'FORM - III'!Z32+'FORM - III'!Z26</f>
        <v>175</v>
      </c>
      <c r="J43" s="120">
        <f>'FORM - III'!AA32+'FORM - III'!AA26</f>
        <v>175</v>
      </c>
      <c r="K43" s="120">
        <f>'FORM - III'!AB32+'FORM - III'!AB26</f>
        <v>175</v>
      </c>
      <c r="L43" s="120">
        <f>'FORM - III'!AC32+'FORM - III'!AC26</f>
        <v>175</v>
      </c>
      <c r="M43" s="120">
        <f>'FORM - III'!AD32+'FORM - III'!AD26</f>
        <v>175</v>
      </c>
    </row>
    <row r="44" spans="1:13" x14ac:dyDescent="0.2">
      <c r="C44" s="116" t="s">
        <v>499</v>
      </c>
      <c r="D44" s="120">
        <v>53.05</v>
      </c>
      <c r="E44" s="120">
        <v>70.14</v>
      </c>
      <c r="F44" s="120">
        <v>70</v>
      </c>
      <c r="G44" s="120">
        <v>70</v>
      </c>
      <c r="H44" s="120">
        <v>70</v>
      </c>
      <c r="I44" s="120">
        <v>70</v>
      </c>
      <c r="J44" s="120">
        <v>70</v>
      </c>
      <c r="K44" s="120">
        <v>70</v>
      </c>
      <c r="L44" s="120">
        <v>70</v>
      </c>
      <c r="M44" s="120">
        <v>70</v>
      </c>
    </row>
    <row r="45" spans="1:13" x14ac:dyDescent="0.2">
      <c r="D45" s="120">
        <f>SUM(D28:D44)</f>
        <v>11109.309999999998</v>
      </c>
      <c r="E45" s="120">
        <f>SUM(E28:E44)</f>
        <v>10926.97</v>
      </c>
      <c r="F45" s="120">
        <f t="shared" ref="F45:M45" si="2">SUM(F28:F44)</f>
        <v>9495.6200000000008</v>
      </c>
      <c r="G45" s="120">
        <f t="shared" si="2"/>
        <v>9715.5465000000022</v>
      </c>
      <c r="H45" s="120">
        <f t="shared" si="2"/>
        <v>9403.3080000000009</v>
      </c>
      <c r="I45" s="120">
        <f t="shared" si="2"/>
        <v>8873.7194999999992</v>
      </c>
      <c r="J45" s="120">
        <f t="shared" si="2"/>
        <v>8527.6810000000005</v>
      </c>
      <c r="K45" s="120">
        <f t="shared" si="2"/>
        <v>8337.27</v>
      </c>
      <c r="L45" s="120">
        <f t="shared" si="2"/>
        <v>8578.0614999999998</v>
      </c>
      <c r="M45" s="120">
        <f t="shared" si="2"/>
        <v>8933.7330000000002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AO118"/>
  <sheetViews>
    <sheetView topLeftCell="A9" zoomScaleNormal="100" workbookViewId="0">
      <pane ySplit="2" topLeftCell="A32" activePane="bottomLeft" state="frozen"/>
      <selection activeCell="A9" sqref="A9"/>
      <selection pane="bottomLeft" activeCell="V58" sqref="V58"/>
    </sheetView>
  </sheetViews>
  <sheetFormatPr defaultRowHeight="12.75" x14ac:dyDescent="0.2"/>
  <cols>
    <col min="1" max="1" width="4.140625" style="5" customWidth="1"/>
    <col min="2" max="2" width="4.28515625" style="5" customWidth="1"/>
    <col min="3" max="3" width="36.28515625" style="5" customWidth="1"/>
    <col min="4" max="4" width="0.140625" style="5" hidden="1" customWidth="1"/>
    <col min="5" max="5" width="13" style="5" hidden="1" customWidth="1"/>
    <col min="6" max="6" width="12.7109375" style="5" hidden="1" customWidth="1"/>
    <col min="7" max="7" width="10.140625" style="5" hidden="1" customWidth="1"/>
    <col min="8" max="8" width="9.5703125" style="5" hidden="1" customWidth="1"/>
    <col min="9" max="9" width="9.42578125" style="5" hidden="1" customWidth="1"/>
    <col min="10" max="10" width="9.28515625" style="5" hidden="1" customWidth="1"/>
    <col min="11" max="11" width="11.140625" style="5" hidden="1" customWidth="1"/>
    <col min="12" max="12" width="0.140625" style="5" hidden="1" customWidth="1"/>
    <col min="13" max="13" width="3" style="5" hidden="1" customWidth="1"/>
    <col min="14" max="14" width="10.28515625" style="5" hidden="1" customWidth="1"/>
    <col min="15" max="15" width="10" style="5" hidden="1" customWidth="1"/>
    <col min="16" max="16" width="0.140625" style="5" customWidth="1"/>
    <col min="17" max="17" width="9.7109375" style="5" hidden="1" customWidth="1"/>
    <col min="18" max="18" width="0.28515625" style="5" customWidth="1"/>
    <col min="19" max="19" width="9.42578125" style="5" customWidth="1"/>
    <col min="20" max="20" width="9.85546875" style="5" customWidth="1"/>
    <col min="21" max="21" width="11.5703125" style="5" bestFit="1" customWidth="1"/>
    <col min="22" max="23" width="10" style="5" customWidth="1"/>
    <col min="24" max="24" width="11.42578125" style="5" customWidth="1"/>
    <col min="25" max="25" width="10" style="5" customWidth="1"/>
    <col min="26" max="26" width="10.42578125" style="5" customWidth="1"/>
    <col min="27" max="27" width="10.140625" style="5" customWidth="1"/>
    <col min="28" max="28" width="9.5703125" style="5" customWidth="1"/>
    <col min="29" max="29" width="10.140625" style="5" customWidth="1"/>
    <col min="30" max="31" width="9.140625" style="5"/>
    <col min="32" max="32" width="13.5703125" style="5" customWidth="1"/>
    <col min="33" max="16384" width="9.140625" style="5"/>
  </cols>
  <sheetData>
    <row r="5" spans="2:29" ht="15.75" x14ac:dyDescent="0.25">
      <c r="B5" s="29" t="s">
        <v>300</v>
      </c>
      <c r="C5" s="12" t="s">
        <v>302</v>
      </c>
      <c r="O5" s="13"/>
      <c r="P5" s="13"/>
      <c r="Q5" s="13"/>
      <c r="R5" s="13"/>
      <c r="S5" s="13"/>
      <c r="T5" s="13"/>
    </row>
    <row r="6" spans="2:29" x14ac:dyDescent="0.2">
      <c r="B6" s="51"/>
      <c r="C6" s="280"/>
      <c r="D6" s="280"/>
      <c r="E6" s="280"/>
      <c r="F6" s="280"/>
      <c r="G6" s="16"/>
      <c r="H6" s="16"/>
      <c r="I6" s="16"/>
      <c r="J6" s="16"/>
      <c r="K6" s="16"/>
      <c r="L6" s="16"/>
    </row>
    <row r="7" spans="2:29" x14ac:dyDescent="0.2">
      <c r="B7" s="51"/>
      <c r="C7" s="29" t="s">
        <v>313</v>
      </c>
      <c r="D7" s="16"/>
      <c r="E7" s="16"/>
      <c r="F7" s="16"/>
      <c r="H7" s="100"/>
      <c r="I7" s="100"/>
      <c r="J7" s="100"/>
      <c r="K7" s="100"/>
      <c r="L7" s="100"/>
      <c r="M7" s="100"/>
      <c r="N7" s="100"/>
      <c r="T7" s="157" t="s">
        <v>328</v>
      </c>
      <c r="U7" s="155"/>
    </row>
    <row r="8" spans="2:29" x14ac:dyDescent="0.2">
      <c r="B8" s="51"/>
      <c r="C8" s="74" t="s">
        <v>274</v>
      </c>
      <c r="D8" s="74"/>
      <c r="E8" s="74"/>
      <c r="F8" s="74"/>
      <c r="G8" s="74"/>
      <c r="H8" s="74"/>
      <c r="I8" s="74"/>
      <c r="Q8" s="283" t="s">
        <v>344</v>
      </c>
      <c r="R8" s="283"/>
      <c r="S8" s="283"/>
      <c r="T8" s="283"/>
    </row>
    <row r="9" spans="2:29" x14ac:dyDescent="0.2">
      <c r="B9" s="49"/>
      <c r="C9" s="49"/>
      <c r="D9" s="20" t="s">
        <v>1</v>
      </c>
      <c r="E9" s="21" t="s">
        <v>2</v>
      </c>
      <c r="F9" s="22">
        <v>38442</v>
      </c>
      <c r="G9" s="23">
        <v>39172</v>
      </c>
      <c r="H9" s="23">
        <v>39538</v>
      </c>
      <c r="I9" s="24">
        <v>39903</v>
      </c>
      <c r="J9" s="24">
        <v>40268</v>
      </c>
      <c r="K9" s="24">
        <v>40633</v>
      </c>
      <c r="L9" s="24">
        <v>40999</v>
      </c>
      <c r="M9" s="24">
        <v>41364</v>
      </c>
      <c r="N9" s="24">
        <v>41729</v>
      </c>
      <c r="O9" s="24">
        <v>42094</v>
      </c>
      <c r="P9" s="24">
        <v>42460</v>
      </c>
      <c r="Q9" s="24">
        <v>42825</v>
      </c>
      <c r="R9" s="24">
        <v>43190</v>
      </c>
      <c r="S9" s="24">
        <v>43555</v>
      </c>
      <c r="T9" s="24">
        <v>43921</v>
      </c>
      <c r="U9" s="24">
        <v>44286</v>
      </c>
      <c r="V9" s="24">
        <v>44651</v>
      </c>
      <c r="W9" s="24">
        <v>45016</v>
      </c>
      <c r="X9" s="24">
        <v>45382</v>
      </c>
      <c r="Y9" s="24">
        <v>45747</v>
      </c>
      <c r="Z9" s="24">
        <v>46112</v>
      </c>
      <c r="AA9" s="24">
        <v>46477</v>
      </c>
      <c r="AB9" s="24">
        <v>46843</v>
      </c>
      <c r="AC9" s="24">
        <v>47208</v>
      </c>
    </row>
    <row r="10" spans="2:29" x14ac:dyDescent="0.2">
      <c r="B10" s="50"/>
      <c r="C10" s="50"/>
      <c r="D10" s="25" t="s">
        <v>3</v>
      </c>
      <c r="E10" s="26" t="s">
        <v>3</v>
      </c>
      <c r="F10" s="26" t="str">
        <f>E10</f>
        <v>Audited</v>
      </c>
      <c r="G10" s="27" t="s">
        <v>3</v>
      </c>
      <c r="H10" s="27" t="s">
        <v>3</v>
      </c>
      <c r="I10" s="27" t="s">
        <v>3</v>
      </c>
      <c r="J10" s="27" t="s">
        <v>3</v>
      </c>
      <c r="K10" s="27" t="s">
        <v>3</v>
      </c>
      <c r="L10" s="27" t="s">
        <v>3</v>
      </c>
      <c r="M10" s="27"/>
      <c r="N10" s="27" t="s">
        <v>3</v>
      </c>
      <c r="O10" s="27" t="s">
        <v>3</v>
      </c>
      <c r="P10" s="27" t="s">
        <v>3</v>
      </c>
      <c r="Q10" s="27" t="s">
        <v>3</v>
      </c>
      <c r="R10" s="27" t="s">
        <v>3</v>
      </c>
      <c r="S10" s="27" t="s">
        <v>3</v>
      </c>
      <c r="T10" s="27" t="s">
        <v>3</v>
      </c>
      <c r="U10" s="27" t="s">
        <v>303</v>
      </c>
      <c r="V10" s="27" t="s">
        <v>303</v>
      </c>
      <c r="W10" s="27" t="s">
        <v>303</v>
      </c>
      <c r="X10" s="27" t="s">
        <v>303</v>
      </c>
      <c r="Y10" s="27" t="s">
        <v>303</v>
      </c>
      <c r="Z10" s="27" t="s">
        <v>303</v>
      </c>
      <c r="AA10" s="27" t="s">
        <v>303</v>
      </c>
      <c r="AB10" s="27" t="s">
        <v>303</v>
      </c>
      <c r="AC10" s="27" t="s">
        <v>303</v>
      </c>
    </row>
    <row r="11" spans="2:29" x14ac:dyDescent="0.2">
      <c r="B11" s="29" t="s">
        <v>154</v>
      </c>
      <c r="C11" s="75" t="s">
        <v>96</v>
      </c>
      <c r="D11" s="76"/>
      <c r="E11" s="76"/>
      <c r="F11" s="63"/>
      <c r="G11" s="63"/>
      <c r="H11" s="63"/>
      <c r="I11" s="63"/>
      <c r="J11" s="10"/>
      <c r="K11" s="63"/>
      <c r="L11" s="63"/>
    </row>
    <row r="12" spans="2:29" x14ac:dyDescent="0.2">
      <c r="B12" s="51"/>
      <c r="C12" s="51"/>
      <c r="J12" s="9"/>
    </row>
    <row r="13" spans="2:29" x14ac:dyDescent="0.2">
      <c r="B13" s="52" t="s">
        <v>4</v>
      </c>
      <c r="C13" s="52" t="s">
        <v>155</v>
      </c>
      <c r="D13" s="76"/>
      <c r="E13" s="76"/>
      <c r="F13" s="63"/>
      <c r="G13" s="63"/>
      <c r="H13" s="63"/>
      <c r="I13" s="63"/>
      <c r="J13" s="10"/>
      <c r="K13" s="63"/>
      <c r="L13" s="63"/>
    </row>
    <row r="14" spans="2:29" x14ac:dyDescent="0.2">
      <c r="B14" s="51"/>
      <c r="C14" s="52" t="s">
        <v>156</v>
      </c>
      <c r="F14" s="51"/>
      <c r="J14" s="9"/>
    </row>
    <row r="15" spans="2:29" x14ac:dyDescent="0.2">
      <c r="B15" s="51"/>
      <c r="C15" s="52" t="s">
        <v>157</v>
      </c>
      <c r="F15" s="51"/>
      <c r="J15" s="9"/>
    </row>
    <row r="16" spans="2:29" x14ac:dyDescent="0.2">
      <c r="B16" s="51"/>
      <c r="C16" s="52" t="s">
        <v>158</v>
      </c>
      <c r="D16" s="51">
        <v>0</v>
      </c>
      <c r="E16" s="51">
        <v>0</v>
      </c>
      <c r="F16" s="10">
        <v>0</v>
      </c>
      <c r="G16" s="3">
        <f>'FORM - III'!H143</f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</row>
    <row r="17" spans="2:29" x14ac:dyDescent="0.2">
      <c r="B17" s="51"/>
      <c r="C17" s="52" t="s">
        <v>159</v>
      </c>
      <c r="D17" s="51">
        <v>0</v>
      </c>
      <c r="E17" s="51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</row>
    <row r="18" spans="2:29" x14ac:dyDescent="0.2">
      <c r="B18" s="51"/>
      <c r="C18" s="51"/>
      <c r="D18" s="51"/>
      <c r="E18" s="51"/>
      <c r="F18" s="10"/>
      <c r="G18" s="9"/>
      <c r="H18" s="9"/>
      <c r="I18" s="9"/>
      <c r="J18" s="9"/>
      <c r="K18" s="9"/>
      <c r="L18" s="9"/>
      <c r="M18" s="9"/>
    </row>
    <row r="19" spans="2:29" x14ac:dyDescent="0.2">
      <c r="B19" s="51"/>
      <c r="C19" s="52" t="s">
        <v>160</v>
      </c>
      <c r="D19" s="51">
        <v>124.16</v>
      </c>
      <c r="E19" s="51">
        <v>183.43</v>
      </c>
      <c r="F19" s="10">
        <f>'FORM - III'!G144</f>
        <v>246.58</v>
      </c>
      <c r="G19" s="101">
        <f>'FORM - III'!H144</f>
        <v>225.76</v>
      </c>
      <c r="H19" s="101">
        <f>'FORM - III'!I144</f>
        <v>459.13</v>
      </c>
      <c r="I19" s="101">
        <f>'FORM - III'!J144</f>
        <v>372.44</v>
      </c>
      <c r="J19" s="101">
        <f>'FORM - III'!K144</f>
        <v>433.84</v>
      </c>
      <c r="K19" s="101">
        <f>'FORM - III'!L144</f>
        <v>584.75</v>
      </c>
      <c r="L19" s="101">
        <f>'FORM - III'!M144</f>
        <v>637.49</v>
      </c>
      <c r="M19" s="101">
        <f>'FORM - III'!N144</f>
        <v>689.71</v>
      </c>
      <c r="N19" s="101">
        <f>'FORM - III'!O144</f>
        <v>541.20000000000005</v>
      </c>
      <c r="O19" s="101">
        <f>'FORM - III'!P144</f>
        <v>689.7</v>
      </c>
      <c r="P19" s="101">
        <f>'FORM - III'!Q144</f>
        <v>492.02</v>
      </c>
      <c r="Q19" s="101">
        <f>'FORM - III'!R144</f>
        <v>278.92</v>
      </c>
      <c r="R19" s="77">
        <f>'FORM - III'!S144</f>
        <v>346.59</v>
      </c>
      <c r="S19" s="77">
        <f>'FORM - III'!T144</f>
        <v>204.64</v>
      </c>
      <c r="T19" s="77">
        <f>'FORM - III'!U144</f>
        <v>62.86</v>
      </c>
      <c r="U19" s="77">
        <f>'FORM - III'!V144</f>
        <v>204.14</v>
      </c>
      <c r="V19" s="77">
        <v>450</v>
      </c>
      <c r="W19" s="77">
        <v>600</v>
      </c>
      <c r="X19" s="77">
        <v>750</v>
      </c>
      <c r="Y19" s="77">
        <v>750</v>
      </c>
      <c r="Z19" s="77">
        <v>850</v>
      </c>
      <c r="AA19" s="77">
        <v>850</v>
      </c>
      <c r="AB19" s="77">
        <v>850</v>
      </c>
      <c r="AC19" s="77">
        <v>850</v>
      </c>
    </row>
    <row r="20" spans="2:29" x14ac:dyDescent="0.2">
      <c r="B20" s="51"/>
      <c r="C20" s="52" t="s">
        <v>159</v>
      </c>
      <c r="D20" s="51">
        <v>-1.06</v>
      </c>
      <c r="E20" s="51">
        <v>-1.1000000000000001</v>
      </c>
      <c r="F20" s="10">
        <f>F19/('FORM - II'!G30/12)</f>
        <v>0.96513213258270114</v>
      </c>
      <c r="G20" s="10">
        <f>G19/('FORM - II'!H30/12)</f>
        <v>0.73531072219568328</v>
      </c>
      <c r="H20" s="10">
        <f>H19/('FORM - II'!I30/12)</f>
        <v>1.3306444601161207</v>
      </c>
      <c r="I20" s="10">
        <f>-I19/('FORM - II'!J30/12)</f>
        <v>-0.85600680319014466</v>
      </c>
      <c r="J20" s="10">
        <f>-J19/('FORM - II'!K30/12)</f>
        <v>-0.8702996018014223</v>
      </c>
      <c r="K20" s="10">
        <f>-K19/('FORM - II'!L30/12)</f>
        <v>-0.96492072441248056</v>
      </c>
      <c r="L20" s="10">
        <f>-L19/('FORM - II'!M30/12)</f>
        <v>-0.99158629074803073</v>
      </c>
      <c r="M20" s="10">
        <f>-M19/('FORM - II'!N30/12)</f>
        <v>-1.4306763652455299</v>
      </c>
      <c r="N20" s="10">
        <f>-N19/('FORM - II'!O30/12)</f>
        <v>-1.1627623842501416</v>
      </c>
      <c r="O20" s="10">
        <f>-O19/('FORM - II'!P30/12)</f>
        <v>-1.186063708433887</v>
      </c>
      <c r="P20" s="7">
        <f>(-P19/('FORM - II'!Q30/12))</f>
        <v>-0.83298979544329077</v>
      </c>
      <c r="Q20" s="7">
        <f>-Q19/('FORM - II'!R30/12)</f>
        <v>-0.59696402741685495</v>
      </c>
      <c r="R20" s="7">
        <f>-R19/('FORM - II'!S30/12)</f>
        <v>-0.64018840479323957</v>
      </c>
      <c r="S20" s="7">
        <f>-S19/('FORM - II'!T30/12)</f>
        <v>-0.29138786809421025</v>
      </c>
      <c r="T20" s="7">
        <f>-T19/('FORM - II'!U30/12)</f>
        <v>-0.18358734222810666</v>
      </c>
      <c r="U20" s="7">
        <f>-U19/('FORM - II'!V30/12)</f>
        <v>-0.69429470283139172</v>
      </c>
      <c r="V20" s="7">
        <f>-V19/('FORM - II'!W30/12)</f>
        <v>-1.2205596492021156</v>
      </c>
      <c r="W20" s="7">
        <f>-W19/('FORM - II'!X30/12)</f>
        <v>-1.3335308934656986</v>
      </c>
      <c r="X20" s="7">
        <f>-X19/('FORM - II'!Y30/12)</f>
        <v>-1.4903129657228018</v>
      </c>
      <c r="Y20" s="7">
        <f>-Y19/('FORM - II'!Z30/12)</f>
        <v>-1.4903129657228018</v>
      </c>
      <c r="Z20" s="7">
        <f>-Z19/('FORM - II'!AA30/12)</f>
        <v>-1.6890213611525087</v>
      </c>
      <c r="AA20" s="7">
        <f>-AA19/('FORM - II'!AB30/12)</f>
        <v>-1.6890213611525087</v>
      </c>
      <c r="AB20" s="7">
        <f>-AB19/('FORM - II'!AC30/12)</f>
        <v>-1.6890213611525087</v>
      </c>
      <c r="AC20" s="7">
        <f>-AC19/('FORM - II'!AD30/12)</f>
        <v>-1.6890213611525087</v>
      </c>
    </row>
    <row r="21" spans="2:29" x14ac:dyDescent="0.2">
      <c r="B21" s="51"/>
      <c r="C21" s="51"/>
      <c r="D21" s="51"/>
      <c r="E21" s="51"/>
      <c r="F21" s="10"/>
      <c r="G21" s="9"/>
      <c r="H21" s="9"/>
      <c r="I21" s="9"/>
      <c r="J21" s="9"/>
      <c r="K21" s="9"/>
      <c r="L21" s="9"/>
      <c r="M21" s="9"/>
    </row>
    <row r="22" spans="2:29" x14ac:dyDescent="0.2">
      <c r="B22" s="52" t="s">
        <v>9</v>
      </c>
      <c r="C22" s="52" t="s">
        <v>161</v>
      </c>
      <c r="D22" s="51"/>
      <c r="E22" s="51"/>
      <c r="F22" s="10"/>
      <c r="G22" s="9"/>
      <c r="H22" s="9"/>
      <c r="I22" s="9"/>
      <c r="J22" s="9"/>
      <c r="K22" s="9"/>
      <c r="L22" s="9"/>
      <c r="M22" s="9"/>
      <c r="T22" s="92"/>
    </row>
    <row r="23" spans="2:29" x14ac:dyDescent="0.2">
      <c r="B23" s="51"/>
      <c r="C23" s="52" t="s">
        <v>162</v>
      </c>
      <c r="D23" s="51"/>
      <c r="E23" s="51"/>
      <c r="F23" s="10"/>
      <c r="G23" s="9"/>
      <c r="H23" s="9"/>
      <c r="I23" s="9"/>
      <c r="J23" s="9"/>
      <c r="K23" s="9"/>
      <c r="L23" s="9"/>
      <c r="M23" s="9"/>
    </row>
    <row r="24" spans="2:29" x14ac:dyDescent="0.2">
      <c r="B24" s="51"/>
      <c r="C24" s="52" t="s">
        <v>163</v>
      </c>
      <c r="D24" s="51">
        <v>60.86</v>
      </c>
      <c r="E24" s="51">
        <v>75.290000000000006</v>
      </c>
      <c r="F24" s="10">
        <f>'FORM - III'!G153</f>
        <v>76.72</v>
      </c>
      <c r="G24" s="3">
        <f>'FORM - III'!H153</f>
        <v>60.6</v>
      </c>
      <c r="H24" s="3">
        <f>'FORM - III'!I153</f>
        <v>83.31</v>
      </c>
      <c r="I24" s="3">
        <f>'FORM - III'!J153</f>
        <v>71.650000000000006</v>
      </c>
      <c r="J24" s="3">
        <f>'FORM - III'!K153</f>
        <v>86.06</v>
      </c>
      <c r="K24" s="3">
        <f>'FORM - III'!L153</f>
        <v>103.74</v>
      </c>
      <c r="L24" s="3">
        <f>'FORM - III'!M153</f>
        <v>123.3</v>
      </c>
      <c r="M24" s="3">
        <f>'FORM - III'!N153</f>
        <v>181.83</v>
      </c>
      <c r="N24" s="3">
        <f>'FORM - III'!O153</f>
        <v>207.76</v>
      </c>
      <c r="O24" s="3">
        <f>'FORM - III'!P153</f>
        <v>251.43</v>
      </c>
      <c r="P24" s="3">
        <f>'FORM - III'!Q153</f>
        <v>244.9</v>
      </c>
      <c r="Q24" s="3">
        <f>'FORM - III'!R153</f>
        <v>309.88</v>
      </c>
      <c r="R24" s="3">
        <f>'FORM - III'!S153</f>
        <v>395.05</v>
      </c>
      <c r="S24" s="3">
        <f>'FORM - III'!T153</f>
        <v>318.88</v>
      </c>
      <c r="T24" s="3">
        <f>'FORM - III'!U153</f>
        <v>277.75</v>
      </c>
      <c r="U24" s="3">
        <f>'FORM - III'!V153</f>
        <v>320.31</v>
      </c>
      <c r="V24" s="3">
        <v>300</v>
      </c>
      <c r="W24" s="3">
        <v>300</v>
      </c>
      <c r="X24" s="3">
        <v>300</v>
      </c>
      <c r="Y24" s="3">
        <v>300</v>
      </c>
      <c r="Z24" s="3">
        <v>300</v>
      </c>
      <c r="AA24" s="3">
        <v>300</v>
      </c>
      <c r="AB24" s="3">
        <v>300</v>
      </c>
      <c r="AC24" s="3">
        <v>300</v>
      </c>
    </row>
    <row r="25" spans="2:29" x14ac:dyDescent="0.2">
      <c r="B25" s="51"/>
      <c r="C25" s="52" t="s">
        <v>159</v>
      </c>
      <c r="D25" s="51">
        <v>-2.42</v>
      </c>
      <c r="E25" s="51">
        <v>-2.48</v>
      </c>
      <c r="F25" s="10">
        <f>F24/('FORM - II'!G34/12)</f>
        <v>1.9993484917584206</v>
      </c>
      <c r="G25" s="10">
        <f>G24/('FORM - II'!H34/12)</f>
        <v>1.7674079475027342</v>
      </c>
      <c r="H25" s="10">
        <f>H24/('FORM - II'!I34/12)</f>
        <v>2.3577745807881891</v>
      </c>
      <c r="I25" s="10">
        <f>-I24/('FORM - II'!J34/12)</f>
        <v>-2.0646927454794324</v>
      </c>
      <c r="J25" s="10">
        <f>-J24/('FORM - II'!K34/12)</f>
        <v>-3.9033904070756322</v>
      </c>
      <c r="K25" s="10">
        <f>-K24/('FORM - II'!L34/12)</f>
        <v>-3.7601715649258463</v>
      </c>
      <c r="L25" s="10">
        <f>-L24/('FORM - II'!M34/12)</f>
        <v>-4.2623800881514136</v>
      </c>
      <c r="M25" s="10">
        <f>-M24/('FORM - II'!N34/12)</f>
        <v>-2.4486690308389818</v>
      </c>
      <c r="N25" s="10">
        <f>-N24/('FORM - II'!O34/12)</f>
        <v>-2.823177705556625</v>
      </c>
      <c r="O25" s="10">
        <f>-O24/('FORM - II'!P34/12)</f>
        <v>-2.8544830130843244</v>
      </c>
      <c r="P25" s="7">
        <f>-P24/('FORM - II'!Q34/12)</f>
        <v>-2.4147111023466774</v>
      </c>
      <c r="Q25" s="7">
        <f>-Q24/('FORM - II'!R34/12)</f>
        <v>-4.5275410315102516</v>
      </c>
      <c r="R25" s="7">
        <f>-R24/('FORM - II'!S34/12)</f>
        <v>-5.7545520757465409</v>
      </c>
      <c r="S25" s="7">
        <f>-S24/('FORM - II'!T34/12)</f>
        <v>-3.4621669305586971</v>
      </c>
      <c r="T25" s="7">
        <f>-T24/('FORM - II'!U34/12)</f>
        <v>-5.2956036797534125</v>
      </c>
      <c r="U25" s="7">
        <f>-U24/('FORM - II'!V34/12)-0.01</f>
        <v>-5.9029261337503449</v>
      </c>
      <c r="V25" s="7">
        <f>-V24/('FORM - II'!W34/12)</f>
        <v>-4.7659394196144884</v>
      </c>
      <c r="W25" s="7">
        <f>-W24/('FORM - II'!X34/12)</f>
        <v>-4.0179019855132312</v>
      </c>
      <c r="X25" s="7">
        <f>-X24/('FORM - II'!Y34/12)</f>
        <v>-3.4930769156130839</v>
      </c>
      <c r="Y25" s="7">
        <f>-Y24/('FORM - II'!Z34/12)</f>
        <v>-3.4930769156130839</v>
      </c>
      <c r="Z25" s="7">
        <f>-Z24/('FORM - II'!AA34/12)</f>
        <v>-3.4930769156130839</v>
      </c>
      <c r="AA25" s="7">
        <f>-AA24/('FORM - II'!AB34/12)</f>
        <v>-3.4930769156130839</v>
      </c>
      <c r="AB25" s="7">
        <f>-AB24/('FORM - II'!AC34/12)</f>
        <v>-3.4930769156130839</v>
      </c>
      <c r="AC25" s="7">
        <f>-AC24/('FORM - II'!AD34/12)</f>
        <v>-3.4930769156130839</v>
      </c>
    </row>
    <row r="26" spans="2:29" x14ac:dyDescent="0.2">
      <c r="B26" s="51"/>
      <c r="C26" s="51"/>
      <c r="D26" s="51"/>
      <c r="E26" s="51"/>
      <c r="F26" s="10"/>
      <c r="G26" s="9"/>
      <c r="H26" s="9"/>
      <c r="I26" s="9"/>
      <c r="J26" s="9"/>
      <c r="K26" s="9"/>
      <c r="L26" s="9"/>
      <c r="M26" s="9"/>
    </row>
    <row r="27" spans="2:29" x14ac:dyDescent="0.2">
      <c r="B27" s="52" t="s">
        <v>10</v>
      </c>
      <c r="C27" s="52" t="s">
        <v>164</v>
      </c>
      <c r="D27" s="51">
        <v>55.37</v>
      </c>
      <c r="E27" s="51">
        <v>88.14</v>
      </c>
      <c r="F27" s="10">
        <f>'FORM - III'!G146</f>
        <v>150.36000000000001</v>
      </c>
      <c r="G27" s="3">
        <f>'FORM - III'!H146</f>
        <v>153.03</v>
      </c>
      <c r="H27" s="3">
        <f>'FORM - III'!I146</f>
        <v>207.88</v>
      </c>
      <c r="I27" s="3">
        <f>'FORM - III'!J146</f>
        <v>59.08</v>
      </c>
      <c r="J27" s="3">
        <f>'FORM - III'!K146</f>
        <v>106.87</v>
      </c>
      <c r="K27" s="3">
        <f>'FORM - III'!L146</f>
        <v>172.86</v>
      </c>
      <c r="L27" s="3">
        <f>'FORM - III'!M146</f>
        <v>223.64</v>
      </c>
      <c r="M27" s="3">
        <f>'FORM - III'!N146</f>
        <v>265.66000000000003</v>
      </c>
      <c r="N27" s="3">
        <f>'FORM - III'!O146</f>
        <v>314.89</v>
      </c>
      <c r="O27" s="3">
        <f>'FORM - III'!P146</f>
        <v>418.75</v>
      </c>
      <c r="P27" s="3">
        <f>'FORM - III'!Q146</f>
        <v>315</v>
      </c>
      <c r="Q27" s="3">
        <f>'FORM - III'!R146</f>
        <v>401.04</v>
      </c>
      <c r="R27" s="3">
        <f>'FORM - III'!S146</f>
        <v>471.47</v>
      </c>
      <c r="S27" s="3">
        <f>'FORM - III'!T146</f>
        <v>537.86</v>
      </c>
      <c r="T27" s="3">
        <f>'FORM - III'!U146</f>
        <v>880.25</v>
      </c>
      <c r="U27" s="3">
        <f>'FORM - III'!V146</f>
        <v>1049.33</v>
      </c>
      <c r="V27" s="3">
        <v>750</v>
      </c>
      <c r="W27" s="3">
        <v>750</v>
      </c>
      <c r="X27" s="3">
        <v>750</v>
      </c>
      <c r="Y27" s="3">
        <v>750</v>
      </c>
      <c r="Z27" s="3">
        <v>750</v>
      </c>
      <c r="AA27" s="3">
        <v>750</v>
      </c>
      <c r="AB27" s="3">
        <v>750</v>
      </c>
      <c r="AC27" s="3">
        <v>750</v>
      </c>
    </row>
    <row r="28" spans="2:29" x14ac:dyDescent="0.2">
      <c r="B28" s="51"/>
      <c r="C28" s="52" t="s">
        <v>165</v>
      </c>
      <c r="D28" s="51">
        <v>-0.2</v>
      </c>
      <c r="E28" s="51">
        <v>-0.26</v>
      </c>
      <c r="F28" s="10">
        <f>F27/('FORM - II'!G58/12)</f>
        <v>0.34624219222244612</v>
      </c>
      <c r="G28" s="10">
        <f>G27/('FORM - II'!H58/12)</f>
        <v>0.29755681799768613</v>
      </c>
      <c r="H28" s="10">
        <f>H27/('FORM - II'!I58/12)</f>
        <v>0.3690548753424901</v>
      </c>
      <c r="I28" s="10">
        <f>-I27/('FORM - II'!J58/12)</f>
        <v>-9.2853662753233687E-2</v>
      </c>
      <c r="J28" s="10">
        <f>-J27/('FORM - II'!K58/12)</f>
        <v>-0.15878679971126072</v>
      </c>
      <c r="K28" s="10">
        <f>-K27/('FORM - II'!L58/12)</f>
        <v>-0.21123486120629695</v>
      </c>
      <c r="L28" s="10">
        <f>-L27/('FORM - II'!M58/12)</f>
        <v>-0.25574567234158119</v>
      </c>
      <c r="M28" s="10">
        <f>-M27/('FORM - II'!N58/12)</f>
        <v>-0.3016544096774072</v>
      </c>
      <c r="N28" s="10">
        <f>-N27/('FORM - II'!O58/12)</f>
        <v>-0.35148844101349602</v>
      </c>
      <c r="O28" s="10">
        <f>-O27/('FORM - II'!P58/12)</f>
        <v>-0.37150727710672354</v>
      </c>
      <c r="P28" s="10">
        <f>-P27/('FORM - II'!Q58/12)</f>
        <v>-0.27661990960822425</v>
      </c>
      <c r="Q28" s="10">
        <f>-Q27/('FORM - II'!R58/12)</f>
        <v>-0.44255945264939034</v>
      </c>
      <c r="R28" s="10">
        <f>-R27/('FORM - II'!S58/12)</f>
        <v>-0.47286613727029048</v>
      </c>
      <c r="S28" s="10">
        <f>-S27/('FORM - II'!T58/12)</f>
        <v>-0.45611312514575253</v>
      </c>
      <c r="T28" s="7">
        <f>-T27/('FORM - II'!U58/12)</f>
        <v>-1.3872636510131633</v>
      </c>
      <c r="U28" s="7">
        <f>-U27/('FORM - II'!V58/12)</f>
        <v>-1.8162327762400454</v>
      </c>
      <c r="V28" s="7">
        <f>-V27/('FORM - II'!W58/12)</f>
        <v>-1.0245213493173844</v>
      </c>
      <c r="W28" s="7">
        <f>-W27/('FORM - II'!X58/12)</f>
        <v>-0.87235223528386618</v>
      </c>
      <c r="X28" s="7">
        <f>-X27/('FORM - II'!Y58/12)</f>
        <v>-0.77339331084391516</v>
      </c>
      <c r="Y28" s="7">
        <f>-Y27/('FORM - II'!Z58/12)</f>
        <v>-0.77339331084391516</v>
      </c>
      <c r="Z28" s="7">
        <f>-Z27/('FORM - II'!AA58/12)</f>
        <v>-0.77339331084391516</v>
      </c>
      <c r="AA28" s="7">
        <f>-AA27/('FORM - II'!AB58/12)</f>
        <v>-0.77339331084391516</v>
      </c>
      <c r="AB28" s="7">
        <f>-AB27/('FORM - II'!AC58/12)</f>
        <v>-0.77339331084391516</v>
      </c>
      <c r="AC28" s="7">
        <f>-AC27/('FORM - II'!AD58/12)</f>
        <v>-0.77339331084391516</v>
      </c>
    </row>
    <row r="29" spans="2:29" x14ac:dyDescent="0.2">
      <c r="B29" s="51"/>
      <c r="C29" s="51"/>
      <c r="D29" s="51"/>
      <c r="E29" s="51"/>
      <c r="F29" s="10"/>
      <c r="G29" s="9"/>
      <c r="H29" s="9"/>
      <c r="I29" s="9"/>
      <c r="J29" s="9"/>
      <c r="K29" s="9"/>
      <c r="L29" s="9"/>
      <c r="M29" s="9"/>
    </row>
    <row r="30" spans="2:29" x14ac:dyDescent="0.2">
      <c r="B30" s="52" t="s">
        <v>12</v>
      </c>
      <c r="C30" s="52" t="s">
        <v>166</v>
      </c>
      <c r="D30" s="51">
        <v>84.02</v>
      </c>
      <c r="E30" s="51">
        <v>70.37</v>
      </c>
      <c r="F30" s="10">
        <f>'FORM - III'!G148</f>
        <v>120.23</v>
      </c>
      <c r="G30" s="3">
        <f>'FORM - III'!H148</f>
        <v>150.02000000000001</v>
      </c>
      <c r="H30" s="3">
        <f>'FORM - III'!I148</f>
        <v>157.41999999999999</v>
      </c>
      <c r="I30" s="3">
        <f>'FORM - III'!J148</f>
        <v>230.61</v>
      </c>
      <c r="J30" s="3">
        <f>'FORM - III'!K148</f>
        <v>196.69</v>
      </c>
      <c r="K30" s="3">
        <f>'FORM - III'!L148</f>
        <v>433.35</v>
      </c>
      <c r="L30" s="3">
        <f>'FORM - III'!M148</f>
        <v>415.87</v>
      </c>
      <c r="M30" s="3">
        <f>'FORM - III'!N148</f>
        <v>568.33000000000004</v>
      </c>
      <c r="N30" s="3">
        <f>'FORM - III'!O148</f>
        <v>611.53</v>
      </c>
      <c r="O30" s="3">
        <f>'FORM - III'!P148</f>
        <v>701.62</v>
      </c>
      <c r="P30" s="3">
        <f>'FORM - III'!Q148</f>
        <v>537.16</v>
      </c>
      <c r="Q30" s="3">
        <f>'FORM - III'!R148</f>
        <v>586.76</v>
      </c>
      <c r="R30" s="3">
        <f>'FORM - III'!S148</f>
        <v>643.22</v>
      </c>
      <c r="S30" s="3">
        <f>'FORM - III'!T148</f>
        <v>1101.1400000000001</v>
      </c>
      <c r="T30" s="3">
        <f>'FORM - III'!U148</f>
        <v>1242.49</v>
      </c>
      <c r="U30" s="3">
        <f>'FORM - III'!V148</f>
        <v>1323</v>
      </c>
      <c r="V30" s="3">
        <v>900</v>
      </c>
      <c r="W30" s="3">
        <v>1050</v>
      </c>
      <c r="X30" s="3">
        <v>1050</v>
      </c>
      <c r="Y30" s="3">
        <v>1050</v>
      </c>
      <c r="Z30" s="3">
        <v>1050</v>
      </c>
      <c r="AA30" s="3">
        <v>1050</v>
      </c>
      <c r="AB30" s="3">
        <v>1050</v>
      </c>
      <c r="AC30" s="3">
        <v>1050</v>
      </c>
    </row>
    <row r="31" spans="2:29" x14ac:dyDescent="0.2">
      <c r="B31" s="51"/>
      <c r="C31" s="52" t="s">
        <v>167</v>
      </c>
      <c r="D31" s="51">
        <v>-0.32</v>
      </c>
      <c r="E31" s="51">
        <v>-0.21</v>
      </c>
      <c r="F31" s="10">
        <f>F30/('FORM - II'!G66/12)</f>
        <v>0.27953476747092293</v>
      </c>
      <c r="G31" s="10">
        <f>G30/('FORM - II'!H66/12)</f>
        <v>0.29411697433191253</v>
      </c>
      <c r="H31" s="10">
        <f>H30/('FORM - II'!I66/12)</f>
        <v>0.27977778205638981</v>
      </c>
      <c r="I31" s="10">
        <f>-I30/('FORM - II'!J66/12)</f>
        <v>-0.36594838701145854</v>
      </c>
      <c r="J31" s="10">
        <f>-J30/('FORM - II'!K66/12)</f>
        <v>-0.29101857982518758</v>
      </c>
      <c r="K31" s="10">
        <f>-K30/('FORM - II'!L66/12)</f>
        <v>-0.54263088640563639</v>
      </c>
      <c r="L31" s="10">
        <f>-L30/('FORM - II'!M66/12)</f>
        <v>-0.47478125359741147</v>
      </c>
      <c r="M31" s="10">
        <f>-M30/('FORM - II'!N66/12)</f>
        <v>-0.65400962032696852</v>
      </c>
      <c r="N31" s="10">
        <f>-N30/('FORM - II'!O66/12)</f>
        <v>-0.68535981493017373</v>
      </c>
      <c r="O31" s="10">
        <f>-O30/('FORM - II'!P66/12)</f>
        <v>-0.62619064087660625</v>
      </c>
      <c r="P31" s="7">
        <f>-P30/('FORM - II'!Q66/12)</f>
        <v>-0.46556065147520848</v>
      </c>
      <c r="Q31" s="7">
        <f>-Q30/('FORM - II'!R66/12)</f>
        <v>-0.65172443476063591</v>
      </c>
      <c r="R31" s="7">
        <f>-R30/('FORM - II'!S66/12)</f>
        <v>-0.64845083674978143</v>
      </c>
      <c r="S31" s="7">
        <f>-S30/('FORM - II'!T66/12)</f>
        <v>-0.96429173486954323</v>
      </c>
      <c r="T31" s="7">
        <f>-T30/('FORM - II'!U66/12)</f>
        <v>-1.9979176465385897</v>
      </c>
      <c r="U31" s="7">
        <f>-U30/('FORM - II'!V66/12)</f>
        <v>-2.3136718829698242</v>
      </c>
      <c r="V31" s="7">
        <f>-V30/('FORM - II'!W66/12)</f>
        <v>-1.1741338316879153</v>
      </c>
      <c r="W31" s="7">
        <f>-W30/('FORM - II'!X66/12)</f>
        <v>-1.2393117354411733</v>
      </c>
      <c r="X31" s="7">
        <f>-X30/('FORM - II'!Y66/12)</f>
        <v>-1.0827506351814813</v>
      </c>
      <c r="Y31" s="7">
        <f>-Y30/('FORM - II'!Z66/12)</f>
        <v>-1.0827506351814813</v>
      </c>
      <c r="Z31" s="7">
        <f>-Z30/('FORM - II'!AA66/12)</f>
        <v>-1.0827506351814813</v>
      </c>
      <c r="AA31" s="7">
        <f>-AA30/('FORM - II'!AB66/12)</f>
        <v>-1.0827506351814813</v>
      </c>
      <c r="AB31" s="7">
        <f>-AB30/('FORM - II'!AC66/12)</f>
        <v>-1.0827506351814813</v>
      </c>
      <c r="AC31" s="7">
        <f>-AC30/('FORM - II'!AD66/12)</f>
        <v>-1.0827506351814813</v>
      </c>
    </row>
    <row r="32" spans="2:29" x14ac:dyDescent="0.2">
      <c r="B32" s="51"/>
      <c r="C32" s="51"/>
      <c r="D32" s="51"/>
      <c r="E32" s="51"/>
      <c r="F32" s="10"/>
      <c r="G32" s="9"/>
      <c r="H32" s="9"/>
      <c r="I32" s="9"/>
      <c r="J32" s="9"/>
      <c r="K32" s="9"/>
      <c r="L32" s="9"/>
      <c r="M32" s="9"/>
    </row>
    <row r="33" spans="2:41" x14ac:dyDescent="0.2">
      <c r="B33" s="52" t="s">
        <v>13</v>
      </c>
      <c r="C33" s="52" t="s">
        <v>168</v>
      </c>
      <c r="D33" s="51"/>
      <c r="E33" s="51"/>
      <c r="F33" s="10"/>
      <c r="G33" s="9"/>
      <c r="H33" s="9"/>
      <c r="I33" s="9"/>
      <c r="J33" s="9"/>
      <c r="K33" s="9"/>
      <c r="L33" s="9"/>
      <c r="M33" s="9"/>
    </row>
    <row r="34" spans="2:41" x14ac:dyDescent="0.2">
      <c r="B34" s="51"/>
      <c r="C34" s="52" t="s">
        <v>169</v>
      </c>
      <c r="D34" s="51"/>
      <c r="E34" s="51"/>
      <c r="F34" s="10"/>
      <c r="G34" s="9"/>
      <c r="H34" s="9"/>
      <c r="I34" s="9"/>
      <c r="J34" s="9"/>
      <c r="K34" s="9"/>
      <c r="L34" s="9"/>
      <c r="M34" s="9"/>
    </row>
    <row r="35" spans="2:41" x14ac:dyDescent="0.2">
      <c r="B35" s="51"/>
      <c r="C35" s="52" t="s">
        <v>170</v>
      </c>
      <c r="D35" s="51">
        <v>817.43</v>
      </c>
      <c r="E35" s="51">
        <v>885.44</v>
      </c>
      <c r="F35" s="10">
        <f>'FORM - III'!G128</f>
        <v>588.77</v>
      </c>
      <c r="G35" s="57">
        <f>'FORM - III'!H128</f>
        <v>1040.83</v>
      </c>
      <c r="H35" s="66">
        <f>'FORM - III'!I128</f>
        <v>1221.6999999999998</v>
      </c>
      <c r="I35" s="66">
        <f>'FORM - III'!J128</f>
        <v>1185.6000000000001</v>
      </c>
      <c r="J35" s="66">
        <f>'FORM - III'!K128</f>
        <v>1355.85</v>
      </c>
      <c r="K35" s="66">
        <f>'FORM - III'!L128</f>
        <v>1855.77</v>
      </c>
      <c r="L35" s="66">
        <f>'FORM - III'!M128</f>
        <v>2913.43</v>
      </c>
      <c r="M35" s="66">
        <f>'FORM - III'!N128</f>
        <v>2370.64</v>
      </c>
      <c r="N35" s="66">
        <f>'FORM - III'!O128</f>
        <v>2313.2600000000002</v>
      </c>
      <c r="O35" s="66">
        <f>'FORM - III'!P128</f>
        <v>2139.37</v>
      </c>
      <c r="P35" s="66">
        <f>'FORM - III'!Q128</f>
        <v>2767.46</v>
      </c>
      <c r="Q35" s="66">
        <f>'FORM - III'!R128</f>
        <v>2507.5700000000002</v>
      </c>
      <c r="R35" s="66">
        <f>'FORM - III'!S128</f>
        <v>2679.19</v>
      </c>
      <c r="S35" s="66">
        <f>'FORM - III'!T128</f>
        <v>2303.39</v>
      </c>
      <c r="T35" s="66">
        <f>'FORM - III'!U128</f>
        <v>1983.6299999999999</v>
      </c>
      <c r="U35" s="66">
        <f>'FORM - III'!V128</f>
        <v>1681.61</v>
      </c>
      <c r="V35" s="66">
        <v>1400</v>
      </c>
      <c r="W35" s="66">
        <v>1700</v>
      </c>
      <c r="X35" s="66">
        <v>1700</v>
      </c>
      <c r="Y35" s="66">
        <v>1650</v>
      </c>
      <c r="Z35" s="66">
        <v>1650</v>
      </c>
      <c r="AA35" s="66">
        <v>1650</v>
      </c>
      <c r="AB35" s="66">
        <v>1650</v>
      </c>
      <c r="AC35" s="66">
        <v>1650</v>
      </c>
      <c r="AE35" s="105"/>
    </row>
    <row r="36" spans="2:41" x14ac:dyDescent="0.2">
      <c r="B36" s="51"/>
      <c r="C36" s="52" t="s">
        <v>171</v>
      </c>
      <c r="D36" s="51">
        <f>D35/('FORM - II'!G11/12)</f>
        <v>1.579602859309907</v>
      </c>
      <c r="E36" s="51" t="e">
        <f>E35/('FORM - II'!#REF!/12)</f>
        <v>#REF!</v>
      </c>
      <c r="F36" s="10">
        <f>F35/('FORM - II'!G11/12)</f>
        <v>1.1377399599670845</v>
      </c>
      <c r="G36" s="10">
        <f>G35/('FORM - II'!H11/12)</f>
        <v>1.6202231478610778</v>
      </c>
      <c r="H36" s="10">
        <f>H35/('FORM - II'!I11/12)</f>
        <v>1.6411195577829591</v>
      </c>
      <c r="I36" s="10">
        <f>-I35/('FORM - II'!J11/12)</f>
        <v>-1.5210644200802912</v>
      </c>
      <c r="J36" s="10">
        <f>-J35/('FORM - II'!K11/12)</f>
        <v>-1.5607535267607902</v>
      </c>
      <c r="K36" s="10">
        <f>-K35/('FORM - II'!L11/12)</f>
        <v>-1.8034562430302987</v>
      </c>
      <c r="L36" s="10">
        <f>-L35/('FORM - II'!M11/12)</f>
        <v>-2.5517828312171367</v>
      </c>
      <c r="M36" s="10">
        <f>-M35/('FORM - II'!N11/12)</f>
        <v>-2.124449894366276</v>
      </c>
      <c r="N36" s="10">
        <f>-N35/('FORM - II'!O11/12)</f>
        <v>-2.0079612109778777</v>
      </c>
      <c r="O36" s="10">
        <f>-O35/('FORM - II'!P11/12)</f>
        <v>-1.5391769333660281</v>
      </c>
      <c r="P36" s="7">
        <f>-P35/('FORM - II'!Q11/12)</f>
        <v>-1.8460276202186581</v>
      </c>
      <c r="Q36" s="7">
        <f>-Q35/('FORM - II'!R11/12)</f>
        <v>-2.2694156323604058</v>
      </c>
      <c r="R36" s="7">
        <f>-R35/('FORM - II'!S11/12)</f>
        <v>-2.1004564778101611</v>
      </c>
      <c r="S36" s="7">
        <f>-S35/('FORM - II'!T11/12)</f>
        <v>-1.4932505546878756</v>
      </c>
      <c r="T36" s="7">
        <f>-T35/('FORM - II'!U11/12)</f>
        <v>-2.380191766768093</v>
      </c>
      <c r="U36" s="7">
        <f>-U35/('FORM - II'!V11/12)</f>
        <v>-2.159772927222404</v>
      </c>
      <c r="V36" s="7">
        <f>-V35/('FORM - II'!W11/12)</f>
        <v>-1.4343282562666486</v>
      </c>
      <c r="W36" s="7">
        <f>-W35/('FORM - II'!X11/12)</f>
        <v>-1.4724457757407339</v>
      </c>
      <c r="X36" s="7">
        <f>-X35/('FORM - II'!Y11/12)</f>
        <v>-1.2845336481700118</v>
      </c>
      <c r="Y36" s="7">
        <f>-Y35/('FORM - II'!Z11/12)</f>
        <v>-1.2467532467532467</v>
      </c>
      <c r="Z36" s="7">
        <f>-Z35/('FORM - II'!AA11/12)</f>
        <v>-1.2467532467532467</v>
      </c>
      <c r="AA36" s="7">
        <f>-AA35/('FORM - II'!AB11/12)</f>
        <v>-1.2467532467532467</v>
      </c>
      <c r="AB36" s="7">
        <f>-AB35/('FORM - II'!AC11/12)</f>
        <v>-1.2467532467532467</v>
      </c>
      <c r="AC36" s="7">
        <f>-AC35/('FORM - II'!AD11/12)</f>
        <v>-1.2467532467532467</v>
      </c>
      <c r="AE36" s="105"/>
    </row>
    <row r="37" spans="2:41" x14ac:dyDescent="0.2">
      <c r="B37" s="51"/>
      <c r="C37" s="52" t="s">
        <v>172</v>
      </c>
      <c r="D37" s="51"/>
      <c r="E37" s="51"/>
      <c r="F37" s="10"/>
      <c r="G37" s="9"/>
      <c r="H37" s="9"/>
      <c r="I37" s="9"/>
      <c r="J37" s="9"/>
      <c r="K37" s="9"/>
      <c r="L37" s="9"/>
      <c r="M37" s="9"/>
      <c r="AG37" s="92"/>
      <c r="AK37" s="92"/>
      <c r="AO37" s="92"/>
    </row>
    <row r="38" spans="2:41" x14ac:dyDescent="0.2">
      <c r="B38" s="51"/>
      <c r="C38" s="51"/>
      <c r="D38" s="51"/>
      <c r="E38" s="51"/>
      <c r="F38" s="10"/>
      <c r="G38" s="9"/>
      <c r="H38" s="9"/>
      <c r="I38" s="9"/>
      <c r="J38" s="9"/>
      <c r="K38" s="9"/>
      <c r="L38" s="9"/>
      <c r="M38" s="9"/>
    </row>
    <row r="39" spans="2:41" x14ac:dyDescent="0.2">
      <c r="B39" s="52" t="s">
        <v>27</v>
      </c>
      <c r="C39" s="52" t="s">
        <v>173</v>
      </c>
      <c r="D39" s="51">
        <v>139.15</v>
      </c>
      <c r="E39" s="51">
        <v>103.36</v>
      </c>
      <c r="F39" s="10">
        <f>'FORM - III'!G132</f>
        <v>256.58</v>
      </c>
      <c r="G39" s="10">
        <f>'FORM - III'!H132</f>
        <v>220.44</v>
      </c>
      <c r="H39" s="10">
        <f>'FORM - III'!I132</f>
        <v>163.13</v>
      </c>
      <c r="I39" s="10">
        <f>'FORM - III'!J132</f>
        <v>208.12</v>
      </c>
      <c r="J39" s="10">
        <f>'FORM - III'!K132</f>
        <v>270.93</v>
      </c>
      <c r="K39" s="10">
        <f>'FORM - III'!L132</f>
        <v>279.02</v>
      </c>
      <c r="L39" s="10">
        <f>'FORM - III'!M132</f>
        <v>365.16</v>
      </c>
      <c r="M39" s="10">
        <f>'FORM - III'!N132</f>
        <v>369.23</v>
      </c>
      <c r="N39" s="10">
        <f>'FORM - III'!O132</f>
        <v>307.26</v>
      </c>
      <c r="O39" s="10">
        <f>'FORM - III'!P132</f>
        <v>306.43</v>
      </c>
      <c r="P39" s="10">
        <f>'FORM - III'!Q132</f>
        <v>272.54000000000002</v>
      </c>
      <c r="Q39" s="10">
        <f>'FORM - III'!R132</f>
        <v>204.98</v>
      </c>
      <c r="R39" s="10">
        <f>'FORM - III'!S132</f>
        <v>254.32</v>
      </c>
      <c r="S39" s="10">
        <f>'FORM - III'!T132</f>
        <v>155.91999999999999</v>
      </c>
      <c r="T39" s="10">
        <f>'FORM - III'!U132</f>
        <v>85.8</v>
      </c>
      <c r="U39" s="10">
        <f>'FORM - III'!V132</f>
        <v>84.92</v>
      </c>
      <c r="V39" s="10">
        <v>200</v>
      </c>
      <c r="W39" s="10">
        <v>250</v>
      </c>
      <c r="X39" s="10">
        <v>250</v>
      </c>
      <c r="Y39" s="10">
        <v>250</v>
      </c>
      <c r="Z39" s="10">
        <v>250</v>
      </c>
      <c r="AA39" s="10">
        <v>250</v>
      </c>
      <c r="AB39" s="10">
        <v>250</v>
      </c>
      <c r="AC39" s="10">
        <v>250</v>
      </c>
    </row>
    <row r="40" spans="2:41" x14ac:dyDescent="0.2">
      <c r="B40" s="51"/>
      <c r="C40" s="52" t="s">
        <v>174</v>
      </c>
      <c r="D40" s="51"/>
      <c r="E40" s="51"/>
      <c r="F40" s="10"/>
      <c r="G40" s="9"/>
      <c r="H40" s="9"/>
      <c r="I40" s="9"/>
      <c r="J40" s="9"/>
      <c r="K40" s="9"/>
      <c r="L40" s="9"/>
      <c r="M40" s="9"/>
      <c r="AG40" s="92"/>
    </row>
    <row r="41" spans="2:41" x14ac:dyDescent="0.2">
      <c r="B41" s="51"/>
      <c r="C41" s="52" t="s">
        <v>175</v>
      </c>
      <c r="D41" s="51">
        <v>-4.1500000000000004</v>
      </c>
      <c r="E41" s="51">
        <v>-2.5099999999999998</v>
      </c>
      <c r="F41" s="10">
        <f>F39/('FORM - II'!G12/12)</f>
        <v>4.4920123134382797</v>
      </c>
      <c r="G41" s="10">
        <f>G39/('FORM - II'!H12/12)</f>
        <v>3.9144679402755376</v>
      </c>
      <c r="H41" s="10">
        <f>H39/('FORM - II'!I12/12)</f>
        <v>3.6124674749487902</v>
      </c>
      <c r="I41" s="10">
        <f>-I39/('FORM - II'!J12/12)</f>
        <v>-2.2677405587992268</v>
      </c>
      <c r="J41" s="10">
        <f>-J39/('FORM - II'!K12/12)</f>
        <v>-4.2585107079703972</v>
      </c>
      <c r="K41" s="10">
        <f>-K39/('FORM - II'!L12/12)</f>
        <v>-3.7400055850321134</v>
      </c>
      <c r="L41" s="10">
        <f>-L39/('FORM - II'!M12/12)</f>
        <v>-5.2783405808448878</v>
      </c>
      <c r="M41" s="10">
        <f>-M39/('FORM - II'!N12/12)</f>
        <v>-5.9341065545228089</v>
      </c>
      <c r="N41" s="10">
        <f>-N39/('FORM - II'!O12/12)</f>
        <v>-4.3185832415844834</v>
      </c>
      <c r="O41" s="10">
        <f>-O39/('FORM - II'!P12/12)</f>
        <v>-4.6452835432483983</v>
      </c>
      <c r="P41" s="7">
        <f>-P39/('FORM - II'!Q12/12)</f>
        <v>-4.9106306306306307</v>
      </c>
      <c r="Q41" s="7">
        <f>-Q39/('FORM - II'!R12/12)</f>
        <v>-4.0257937806873976</v>
      </c>
      <c r="R41" s="7">
        <f>-R39/('FORM - II'!S12/12)</f>
        <v>-5.058829379879656</v>
      </c>
      <c r="S41" s="7">
        <f>-S39/('FORM - II'!T12/12)</f>
        <v>-5.9241997277016116</v>
      </c>
      <c r="T41" s="7">
        <f>-T39/('FORM - II'!U12/12)</f>
        <v>-3.5817157169693177</v>
      </c>
      <c r="U41" s="7">
        <f>-U39/('FORM - II'!V12/12)</f>
        <v>-6.9540057322232842</v>
      </c>
      <c r="V41" s="7">
        <f>-V39/('FORM - II'!W12/12)</f>
        <v>-6.4</v>
      </c>
      <c r="W41" s="7">
        <f>-W39/('FORM - II'!X12/12)</f>
        <v>-6.25</v>
      </c>
      <c r="X41" s="7">
        <f>-X39/('FORM - II'!Y12/12)</f>
        <v>-5</v>
      </c>
      <c r="Y41" s="7">
        <f>-Y39/('FORM - II'!Z12/12)</f>
        <v>-5</v>
      </c>
      <c r="Z41" s="7">
        <f>-Z39/('FORM - II'!AA12/12)</f>
        <v>-5</v>
      </c>
      <c r="AA41" s="7">
        <f>-AA39/('FORM - II'!AB12/12)</f>
        <v>-5</v>
      </c>
      <c r="AB41" s="7">
        <f>-AB39/('FORM - II'!AC12/12)</f>
        <v>-5</v>
      </c>
      <c r="AC41" s="7">
        <f>-AC39/('FORM - II'!AD12/12)</f>
        <v>-5</v>
      </c>
    </row>
    <row r="42" spans="2:41" x14ac:dyDescent="0.2">
      <c r="B42" s="51"/>
      <c r="C42" s="51"/>
      <c r="D42" s="51"/>
      <c r="E42" s="51"/>
      <c r="F42" s="10"/>
      <c r="G42" s="9"/>
      <c r="H42" s="9"/>
      <c r="I42" s="9"/>
      <c r="J42" s="9"/>
      <c r="K42" s="9"/>
      <c r="L42" s="9"/>
      <c r="M42" s="9"/>
    </row>
    <row r="43" spans="2:41" x14ac:dyDescent="0.2">
      <c r="B43" s="52" t="s">
        <v>29</v>
      </c>
      <c r="C43" s="52" t="s">
        <v>369</v>
      </c>
      <c r="D43" s="51"/>
      <c r="E43" s="51"/>
      <c r="F43" s="10"/>
      <c r="G43" s="9"/>
      <c r="H43" s="9"/>
      <c r="I43" s="9"/>
      <c r="J43" s="9"/>
      <c r="K43" s="9"/>
      <c r="L43" s="9"/>
      <c r="M43" s="9"/>
    </row>
    <row r="44" spans="2:41" x14ac:dyDescent="0.2">
      <c r="B44" s="51"/>
      <c r="C44" s="52" t="s">
        <v>176</v>
      </c>
      <c r="D44" s="51">
        <v>54.08</v>
      </c>
      <c r="E44" s="51">
        <v>48.92</v>
      </c>
      <c r="F44" s="10">
        <f>'FORM - III'!G155</f>
        <v>82.18</v>
      </c>
      <c r="G44" s="10">
        <f>'FORM - III'!H155</f>
        <v>87.38</v>
      </c>
      <c r="H44" s="10">
        <f>'FORM - III'!I155</f>
        <v>102.81</v>
      </c>
      <c r="I44" s="10">
        <f>'FORM - III'!J155</f>
        <v>60.13</v>
      </c>
      <c r="J44" s="10">
        <f>'FORM - III'!K155</f>
        <v>70.02</v>
      </c>
      <c r="K44" s="10">
        <f>'FORM - III'!L155</f>
        <v>54.32</v>
      </c>
      <c r="L44" s="10">
        <f>'FORM - III'!M155</f>
        <v>39.57</v>
      </c>
      <c r="M44" s="10">
        <f>'FORM - III'!N155</f>
        <v>38.08</v>
      </c>
      <c r="N44" s="10">
        <f>'FORM - III'!O155</f>
        <v>89.6</v>
      </c>
      <c r="O44" s="10">
        <f>'FORM - III'!P155</f>
        <v>92.67</v>
      </c>
      <c r="P44" s="10">
        <f>'FORM - III'!Q155</f>
        <v>75.2</v>
      </c>
      <c r="Q44" s="10">
        <f>'FORM - III'!R155</f>
        <v>112.98</v>
      </c>
      <c r="R44" s="10">
        <f>'FORM - III'!S155</f>
        <v>28</v>
      </c>
      <c r="S44" s="10">
        <f>'FORM - III'!T155</f>
        <v>130.62</v>
      </c>
      <c r="T44" s="10">
        <f>'FORM - III'!U155</f>
        <v>105.16</v>
      </c>
      <c r="U44" s="10">
        <f>'FORM - III'!V155</f>
        <v>80.28</v>
      </c>
      <c r="V44" s="10">
        <v>85</v>
      </c>
      <c r="W44" s="10">
        <v>100</v>
      </c>
      <c r="X44" s="10">
        <v>100</v>
      </c>
      <c r="Y44" s="10">
        <v>100</v>
      </c>
      <c r="Z44" s="10">
        <v>100</v>
      </c>
      <c r="AA44" s="10">
        <v>100</v>
      </c>
      <c r="AB44" s="10">
        <v>100</v>
      </c>
      <c r="AC44" s="10">
        <v>100</v>
      </c>
    </row>
    <row r="45" spans="2:41" x14ac:dyDescent="0.2">
      <c r="B45" s="51"/>
      <c r="C45" s="51"/>
      <c r="D45" s="51"/>
      <c r="E45" s="51"/>
      <c r="F45" s="10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spans="2:41" x14ac:dyDescent="0.2">
      <c r="B46" s="52" t="s">
        <v>31</v>
      </c>
      <c r="C46" s="52" t="s">
        <v>177</v>
      </c>
      <c r="D46" s="51"/>
      <c r="E46" s="51"/>
      <c r="F46" s="10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 spans="2:41" x14ac:dyDescent="0.2">
      <c r="B47" s="51"/>
      <c r="C47" s="52" t="s">
        <v>178</v>
      </c>
      <c r="D47" s="51">
        <v>246.4</v>
      </c>
      <c r="E47" s="51">
        <v>239.96</v>
      </c>
      <c r="F47" s="10">
        <f>SUM('FORM - III'!G119+'FORM - III'!G126+'FORM - III'!G158+'FORM - III'!G160)</f>
        <v>367.09000000000003</v>
      </c>
      <c r="G47" s="10">
        <f>SUM('FORM - III'!H119+'FORM - III'!H158+'FORM - III'!H160)</f>
        <v>210.54</v>
      </c>
      <c r="H47" s="10">
        <f>SUM('FORM - III'!I119+'FORM - III'!I158+'FORM - III'!I160+'FORM - III'!I126)</f>
        <v>390.03999999999996</v>
      </c>
      <c r="I47" s="10">
        <f>SUM('FORM - III'!J119+'FORM - III'!J158+'FORM - III'!J160+'FORM - III'!J126)</f>
        <v>650.83000000000004</v>
      </c>
      <c r="J47" s="10">
        <f>SUM('FORM - III'!K119+'FORM - III'!K158+'FORM - III'!K160+'FORM - III'!K126)</f>
        <v>709.73</v>
      </c>
      <c r="K47" s="7">
        <f>SUM('FORM - III'!L119+'FORM - III'!L158+'FORM - III'!L160+'FORM - III'!L126)</f>
        <v>1183.4199999999996</v>
      </c>
      <c r="L47" s="7">
        <f>SUM('FORM - III'!M119+'FORM - III'!M158+'FORM - III'!M160+'FORM - III'!M126)</f>
        <v>2641.9300000000003</v>
      </c>
      <c r="M47" s="7">
        <f>SUM('FORM - III'!N119+'FORM - III'!N158+'FORM - III'!N160+'FORM - III'!N126+'FORM - III'!N124)</f>
        <v>2206.71</v>
      </c>
      <c r="N47" s="7">
        <f>SUM('FORM - III'!O119+'FORM - III'!O158+'FORM - III'!O160+'FORM - III'!O126)</f>
        <v>1773.51</v>
      </c>
      <c r="O47" s="7">
        <f>SUM('FORM - III'!P119+'FORM - III'!P158+'FORM - III'!P160+'FORM - III'!P126)</f>
        <v>1472.8600000000001</v>
      </c>
      <c r="P47" s="7">
        <f>SUM('FORM - III'!Q119+'FORM - III'!Q158+'FORM - III'!Q160+'FORM - III'!Q126)</f>
        <v>1334.15</v>
      </c>
      <c r="Q47" s="7">
        <f>SUM('FORM - III'!R119+'FORM - III'!R158+'FORM - III'!R160+'FORM - III'!R126)</f>
        <v>1380.63</v>
      </c>
      <c r="R47" s="7">
        <f>SUM('FORM - III'!S119+'FORM - III'!S158+'FORM - III'!S160+'FORM - III'!S126)</f>
        <v>855.3900000000001</v>
      </c>
      <c r="S47" s="7">
        <f>SUM('FORM - III'!T119+'FORM - III'!T158+'FORM - III'!T160+'FORM - III'!T126)</f>
        <v>599.48</v>
      </c>
      <c r="T47" s="7">
        <f>'FORM - III'!U160+'FORM - III'!U158+'FORM - III'!U119+'FORM - III'!U126</f>
        <v>520.76</v>
      </c>
      <c r="U47" s="7">
        <f>'FORM - III'!V160+'FORM - III'!V158+'FORM - III'!V119+'FORM - III'!V126</f>
        <v>595.39</v>
      </c>
      <c r="V47" s="7">
        <f>SUM('FORM - III'!W119+'FORM - III'!W158+'FORM - III'!W160+'FORM - III'!W126)</f>
        <v>588.44000000000005</v>
      </c>
      <c r="W47" s="7">
        <f>SUM('FORM - III'!X119+'FORM - III'!X158+'FORM - III'!X160+'FORM - III'!X126)</f>
        <v>596.70000000000005</v>
      </c>
      <c r="X47" s="7">
        <f>SUM('FORM - III'!Y119+'FORM - III'!Y158+'FORM - III'!Y160+'FORM - III'!Y126)</f>
        <v>618.94000000000005</v>
      </c>
      <c r="Y47" s="7">
        <f>SUM('FORM - III'!Z119+'FORM - III'!Z158+'FORM - III'!Z160+'FORM - III'!Z126)</f>
        <v>633.18000000000006</v>
      </c>
      <c r="Z47" s="7">
        <f>SUM('FORM - III'!AA119+'FORM - III'!AA158+'FORM - III'!AA160+'FORM - III'!AA126)</f>
        <v>635.5</v>
      </c>
      <c r="AA47" s="7">
        <f>SUM('FORM - III'!AB119+'FORM - III'!AB158+'FORM - III'!AB160+'FORM - III'!AB126)</f>
        <v>685.09</v>
      </c>
      <c r="AB47" s="7">
        <f>SUM('FORM - III'!AC119+'FORM - III'!AC158+'FORM - III'!AC160+'FORM - III'!AC126)</f>
        <v>690.88</v>
      </c>
      <c r="AC47" s="7">
        <f>SUM('FORM - III'!AD119+'FORM - III'!AD158+'FORM - III'!AD160+'FORM - III'!AD126)</f>
        <v>636.54999999999995</v>
      </c>
    </row>
    <row r="48" spans="2:41" x14ac:dyDescent="0.2">
      <c r="B48" s="51"/>
      <c r="C48" s="52" t="s">
        <v>179</v>
      </c>
      <c r="D48" s="51"/>
      <c r="E48" s="51"/>
      <c r="F48" s="10"/>
      <c r="G48" s="9"/>
      <c r="H48" s="9"/>
      <c r="I48" s="9"/>
      <c r="J48" s="9"/>
      <c r="K48" s="9"/>
      <c r="L48" s="9"/>
      <c r="M48" s="9"/>
    </row>
    <row r="49" spans="2:29" x14ac:dyDescent="0.2">
      <c r="B49" s="51"/>
      <c r="C49" s="52" t="s">
        <v>180</v>
      </c>
      <c r="D49" s="51"/>
      <c r="E49" s="51"/>
      <c r="F49" s="10"/>
      <c r="G49" s="9"/>
      <c r="H49" s="9"/>
      <c r="I49" s="9"/>
      <c r="J49" s="9"/>
      <c r="K49" s="9"/>
      <c r="L49" s="9"/>
      <c r="M49" s="9"/>
    </row>
    <row r="50" spans="2:29" ht="13.5" thickBot="1" x14ac:dyDescent="0.25">
      <c r="B50" s="29" t="s">
        <v>32</v>
      </c>
      <c r="C50" s="29" t="s">
        <v>129</v>
      </c>
      <c r="D50" s="31">
        <f>D16+D19+D24+D27+D30+D35+D39+D44+D47</f>
        <v>1581.47</v>
      </c>
      <c r="E50" s="31">
        <f>E16+E19+E24+E27+E30+E35+E39+E44+E47</f>
        <v>1694.91</v>
      </c>
      <c r="F50" s="46">
        <f>F19+F24+F27+F30+F35+F39+F44+F47</f>
        <v>1888.5099999999998</v>
      </c>
      <c r="G50" s="47">
        <f t="shared" ref="G50:AC50" si="0">G16+G19+G24+G27+G30+G35+G39+G44+G47</f>
        <v>2148.6</v>
      </c>
      <c r="H50" s="47">
        <f t="shared" si="0"/>
        <v>2785.4199999999996</v>
      </c>
      <c r="I50" s="47">
        <f t="shared" si="0"/>
        <v>2838.46</v>
      </c>
      <c r="J50" s="47">
        <f t="shared" si="0"/>
        <v>3229.99</v>
      </c>
      <c r="K50" s="47">
        <f t="shared" si="0"/>
        <v>4667.2299999999996</v>
      </c>
      <c r="L50" s="47">
        <f t="shared" si="0"/>
        <v>7360.3899999999994</v>
      </c>
      <c r="M50" s="47">
        <f t="shared" si="0"/>
        <v>6690.19</v>
      </c>
      <c r="N50" s="47">
        <f t="shared" si="0"/>
        <v>6159.0100000000011</v>
      </c>
      <c r="O50" s="47">
        <f t="shared" si="0"/>
        <v>6072.83</v>
      </c>
      <c r="P50" s="47">
        <f t="shared" si="0"/>
        <v>6038.43</v>
      </c>
      <c r="Q50" s="47">
        <f t="shared" si="0"/>
        <v>5782.7599999999993</v>
      </c>
      <c r="R50" s="47">
        <f t="shared" si="0"/>
        <v>5673.2300000000005</v>
      </c>
      <c r="S50" s="47">
        <f t="shared" si="0"/>
        <v>5351.93</v>
      </c>
      <c r="T50" s="261">
        <f t="shared" si="0"/>
        <v>5158.7000000000007</v>
      </c>
      <c r="U50" s="47">
        <f t="shared" si="0"/>
        <v>5338.98</v>
      </c>
      <c r="V50" s="47">
        <f t="shared" si="0"/>
        <v>4673.4400000000005</v>
      </c>
      <c r="W50" s="47">
        <f t="shared" si="0"/>
        <v>5346.7</v>
      </c>
      <c r="X50" s="47">
        <f t="shared" si="0"/>
        <v>5518.9400000000005</v>
      </c>
      <c r="Y50" s="47">
        <f t="shared" si="0"/>
        <v>5483.18</v>
      </c>
      <c r="Z50" s="47">
        <f t="shared" si="0"/>
        <v>5585.5</v>
      </c>
      <c r="AA50" s="47">
        <f t="shared" si="0"/>
        <v>5635.09</v>
      </c>
      <c r="AB50" s="47">
        <f t="shared" si="0"/>
        <v>5640.88</v>
      </c>
      <c r="AC50" s="47">
        <f t="shared" si="0"/>
        <v>5586.55</v>
      </c>
    </row>
    <row r="51" spans="2:29" ht="13.5" thickTop="1" x14ac:dyDescent="0.2">
      <c r="B51" s="51"/>
      <c r="C51" s="29" t="s">
        <v>181</v>
      </c>
      <c r="D51" s="63" t="s">
        <v>0</v>
      </c>
      <c r="E51" s="63" t="s">
        <v>0</v>
      </c>
      <c r="F51" s="10"/>
      <c r="G51" s="10"/>
      <c r="H51" s="10"/>
      <c r="I51" s="10"/>
      <c r="J51" s="10"/>
      <c r="K51" s="10"/>
      <c r="L51" s="10"/>
    </row>
    <row r="52" spans="2:29" x14ac:dyDescent="0.2">
      <c r="B52" s="51"/>
      <c r="C52" s="280"/>
      <c r="D52" s="280"/>
      <c r="E52" s="280"/>
      <c r="F52" s="280"/>
      <c r="G52" s="16"/>
      <c r="H52" s="16"/>
      <c r="I52" s="16"/>
      <c r="J52" s="9"/>
      <c r="K52" s="9"/>
      <c r="L52" s="9"/>
    </row>
    <row r="53" spans="2:29" x14ac:dyDescent="0.2">
      <c r="B53" s="49"/>
      <c r="C53" s="49"/>
      <c r="D53" s="20" t="s">
        <v>1</v>
      </c>
      <c r="E53" s="21" t="s">
        <v>2</v>
      </c>
      <c r="F53" s="22">
        <v>38442</v>
      </c>
      <c r="G53" s="23"/>
      <c r="H53" s="23">
        <v>39538</v>
      </c>
      <c r="I53" s="24">
        <v>39903</v>
      </c>
      <c r="J53" s="24">
        <v>40268</v>
      </c>
      <c r="K53" s="24">
        <v>40633</v>
      </c>
      <c r="L53" s="24">
        <v>40999</v>
      </c>
      <c r="M53" s="24">
        <v>41364</v>
      </c>
      <c r="N53" s="24">
        <v>41729</v>
      </c>
      <c r="O53" s="24">
        <v>42094</v>
      </c>
      <c r="P53" s="24">
        <v>42460</v>
      </c>
      <c r="Q53" s="24">
        <v>42825</v>
      </c>
      <c r="R53" s="24">
        <v>43190</v>
      </c>
      <c r="S53" s="24">
        <v>43555</v>
      </c>
      <c r="T53" s="24">
        <v>43921</v>
      </c>
      <c r="U53" s="24">
        <v>44286</v>
      </c>
      <c r="V53" s="24">
        <v>44651</v>
      </c>
      <c r="W53" s="24">
        <v>44651</v>
      </c>
      <c r="X53" s="24">
        <v>45382</v>
      </c>
      <c r="Y53" s="24">
        <v>45747</v>
      </c>
      <c r="Z53" s="24">
        <v>46112</v>
      </c>
      <c r="AA53" s="24">
        <v>46477</v>
      </c>
      <c r="AB53" s="24">
        <v>46843</v>
      </c>
      <c r="AC53" s="24">
        <v>47208</v>
      </c>
    </row>
    <row r="54" spans="2:29" x14ac:dyDescent="0.2">
      <c r="B54" s="50"/>
      <c r="C54" s="50"/>
      <c r="D54" s="25" t="s">
        <v>3</v>
      </c>
      <c r="E54" s="26" t="s">
        <v>3</v>
      </c>
      <c r="F54" s="26" t="str">
        <f>E54</f>
        <v>Audited</v>
      </c>
      <c r="G54" s="27"/>
      <c r="H54" s="27" t="s">
        <v>3</v>
      </c>
      <c r="I54" s="27" t="s">
        <v>3</v>
      </c>
      <c r="J54" s="27" t="s">
        <v>3</v>
      </c>
      <c r="K54" s="27" t="s">
        <v>3</v>
      </c>
      <c r="L54" s="27" t="s">
        <v>3</v>
      </c>
      <c r="M54" s="27"/>
      <c r="N54" s="27" t="s">
        <v>3</v>
      </c>
      <c r="O54" s="27" t="s">
        <v>3</v>
      </c>
      <c r="P54" s="27"/>
      <c r="Q54" s="27" t="s">
        <v>3</v>
      </c>
      <c r="R54" s="27" t="s">
        <v>3</v>
      </c>
      <c r="S54" s="27" t="s">
        <v>3</v>
      </c>
      <c r="T54" s="27" t="s">
        <v>3</v>
      </c>
      <c r="U54" s="27" t="s">
        <v>303</v>
      </c>
      <c r="V54" s="27" t="s">
        <v>303</v>
      </c>
      <c r="W54" s="27" t="s">
        <v>303</v>
      </c>
      <c r="X54" s="27" t="s">
        <v>303</v>
      </c>
      <c r="Y54" s="27" t="s">
        <v>303</v>
      </c>
      <c r="Z54" s="27" t="s">
        <v>303</v>
      </c>
      <c r="AA54" s="27" t="s">
        <v>303</v>
      </c>
      <c r="AB54" s="27" t="s">
        <v>303</v>
      </c>
      <c r="AC54" s="27" t="s">
        <v>303</v>
      </c>
    </row>
    <row r="55" spans="2:29" x14ac:dyDescent="0.2">
      <c r="B55" s="29" t="s">
        <v>182</v>
      </c>
      <c r="C55" s="29" t="s">
        <v>183</v>
      </c>
      <c r="D55" s="51"/>
      <c r="E55" s="51"/>
      <c r="F55" s="10"/>
      <c r="G55" s="9"/>
      <c r="H55" s="9"/>
      <c r="I55" s="9"/>
      <c r="J55" s="9"/>
      <c r="K55" s="9"/>
      <c r="L55" s="9"/>
    </row>
    <row r="56" spans="2:29" x14ac:dyDescent="0.2">
      <c r="B56" s="51"/>
      <c r="C56" s="29" t="s">
        <v>184</v>
      </c>
      <c r="D56" s="51"/>
      <c r="E56" s="51"/>
      <c r="F56" s="10"/>
      <c r="G56" s="9"/>
      <c r="H56" s="9"/>
      <c r="I56" s="9"/>
      <c r="J56" s="9"/>
      <c r="K56" s="9"/>
      <c r="L56" s="9"/>
    </row>
    <row r="57" spans="2:29" x14ac:dyDescent="0.2">
      <c r="B57" s="51"/>
      <c r="C57" s="75" t="s">
        <v>185</v>
      </c>
      <c r="D57" s="51"/>
      <c r="E57" s="51"/>
      <c r="F57" s="10"/>
      <c r="G57" s="9"/>
      <c r="H57" s="9"/>
      <c r="I57" s="9"/>
      <c r="J57" s="9"/>
      <c r="K57" s="9"/>
      <c r="L57" s="9"/>
    </row>
    <row r="58" spans="2:29" x14ac:dyDescent="0.2">
      <c r="B58" s="52" t="s">
        <v>34</v>
      </c>
      <c r="C58" s="52" t="s">
        <v>186</v>
      </c>
      <c r="D58" s="51">
        <v>431.06</v>
      </c>
      <c r="E58" s="51">
        <v>532.73</v>
      </c>
      <c r="F58" s="10">
        <f>'FORM - III'!G24</f>
        <v>872.88</v>
      </c>
      <c r="G58" s="3">
        <f>'FORM - III'!H24</f>
        <v>699.91</v>
      </c>
      <c r="H58" s="3">
        <f>'FORM - III'!I24</f>
        <v>1008.59</v>
      </c>
      <c r="I58" s="3">
        <f>'FORM - III'!J24</f>
        <v>694.21</v>
      </c>
      <c r="J58" s="3">
        <f>'FORM - III'!K24</f>
        <v>828.47</v>
      </c>
      <c r="K58" s="3">
        <f>'FORM - III'!L24</f>
        <v>1137.6300000000001</v>
      </c>
      <c r="L58" s="3">
        <f>'FORM - III'!M24</f>
        <v>1412.54</v>
      </c>
      <c r="M58" s="3">
        <f>'FORM - III'!N24</f>
        <v>811.09</v>
      </c>
      <c r="N58" s="3">
        <f>'FORM - III'!O24</f>
        <v>865.5</v>
      </c>
      <c r="O58" s="3">
        <f>'FORM - III'!P24</f>
        <v>699.12</v>
      </c>
      <c r="P58" s="3">
        <f>'FORM - III'!Q24</f>
        <v>1164.7</v>
      </c>
      <c r="Q58" s="3">
        <f>'FORM - III'!R24</f>
        <v>1307.8499999999999</v>
      </c>
      <c r="R58" s="3">
        <f>'FORM - III'!S24</f>
        <v>1692.37</v>
      </c>
      <c r="S58" s="3">
        <f>'FORM - III'!T24</f>
        <v>1201.6500000000001</v>
      </c>
      <c r="T58" s="3">
        <f>'FORM - III'!U24</f>
        <v>1151.31</v>
      </c>
      <c r="U58" s="3">
        <f>'FORM - III'!V24</f>
        <v>899.49</v>
      </c>
      <c r="V58" s="3">
        <v>625</v>
      </c>
      <c r="W58" s="3">
        <v>625</v>
      </c>
      <c r="X58" s="3">
        <v>625</v>
      </c>
      <c r="Y58" s="3">
        <v>625</v>
      </c>
      <c r="Z58" s="3">
        <v>400</v>
      </c>
      <c r="AA58" s="3">
        <v>300</v>
      </c>
      <c r="AB58" s="3">
        <v>300</v>
      </c>
      <c r="AC58" s="3">
        <v>300</v>
      </c>
    </row>
    <row r="59" spans="2:29" x14ac:dyDescent="0.2">
      <c r="B59" s="52"/>
      <c r="C59" s="52" t="s">
        <v>325</v>
      </c>
      <c r="D59" s="51"/>
      <c r="E59" s="51"/>
      <c r="F59" s="10"/>
      <c r="G59" s="3"/>
      <c r="H59" s="3"/>
      <c r="I59" s="3"/>
      <c r="J59" s="3"/>
      <c r="K59" s="3"/>
      <c r="L59" s="3"/>
      <c r="M59" s="3"/>
      <c r="N59" s="3">
        <f>'FORM - III'!O25</f>
        <v>79.59</v>
      </c>
      <c r="O59" s="3">
        <f>'FORM - III'!P25</f>
        <v>190.49</v>
      </c>
      <c r="P59" s="3">
        <f>'FORM - III'!Q25</f>
        <v>255.16</v>
      </c>
      <c r="Q59" s="3">
        <f>'FORM - III'!R25</f>
        <v>374.95</v>
      </c>
      <c r="R59" s="3">
        <f>'FORM - III'!S25</f>
        <v>301.94</v>
      </c>
      <c r="S59" s="3">
        <f>'FORM - III'!T25</f>
        <v>402.88</v>
      </c>
      <c r="T59" s="3">
        <f>'FORM - III'!U25</f>
        <v>425</v>
      </c>
      <c r="U59" s="3">
        <f>'FORM - III'!V25</f>
        <v>460</v>
      </c>
      <c r="V59" s="3">
        <f>U59</f>
        <v>460</v>
      </c>
      <c r="W59" s="3">
        <f>V59</f>
        <v>460</v>
      </c>
      <c r="X59" s="3">
        <f t="shared" ref="X59:AC59" si="1">W59</f>
        <v>460</v>
      </c>
      <c r="Y59" s="3">
        <f t="shared" si="1"/>
        <v>460</v>
      </c>
      <c r="Z59" s="3">
        <f t="shared" si="1"/>
        <v>460</v>
      </c>
      <c r="AA59" s="3">
        <f t="shared" si="1"/>
        <v>460</v>
      </c>
      <c r="AB59" s="3">
        <f t="shared" si="1"/>
        <v>460</v>
      </c>
      <c r="AC59" s="3">
        <f t="shared" si="1"/>
        <v>460</v>
      </c>
    </row>
    <row r="60" spans="2:29" x14ac:dyDescent="0.2">
      <c r="B60" s="51"/>
      <c r="C60" s="52" t="s">
        <v>187</v>
      </c>
      <c r="D60" s="51">
        <v>-3.02</v>
      </c>
      <c r="E60" s="51">
        <v>-3.09</v>
      </c>
      <c r="F60" s="10">
        <f>F58/('FORM - II'!G30/12)</f>
        <v>3.4165160835785064</v>
      </c>
      <c r="G60" s="10">
        <v>2.29</v>
      </c>
      <c r="H60" s="10">
        <v>2.5099999999999998</v>
      </c>
      <c r="I60" s="10">
        <v>-1.51</v>
      </c>
      <c r="J60" s="10">
        <v>-1.57</v>
      </c>
      <c r="K60" s="10">
        <f>-SUM(K58/('FORM - II'!L30+'FORM - II'!L34+'FORM - III'!L144+'FORM - III'!L153-'FORM - III'!K144-'FORM - III'!K153))*12</f>
        <v>-1.756559646720949</v>
      </c>
      <c r="L60" s="10">
        <f>-SUM(L58/('FORM - II'!M30+'FORM - II'!M34+'FORM - III'!M144+'FORM - III'!M153-'FORM - III'!L144-'FORM - III'!L153))*12</f>
        <v>-2.0838482362168715</v>
      </c>
      <c r="M60" s="10">
        <f>-SUM(M58/('FORM - II'!N30+'FORM - II'!N34+'FORM - III'!N144+'FORM - III'!N153-'FORM - III'!M144-'FORM - III'!M153))*12</f>
        <v>-1.4341043809591167</v>
      </c>
      <c r="N60" s="10">
        <f>-SUM((N58+N59)/('FORM - II'!O30+'FORM - II'!O34+'FORM - III'!O144+'FORM - III'!O153-'FORM - III'!N144-'FORM - III'!N153))*12</f>
        <v>-1.7871704725780551</v>
      </c>
      <c r="O60" s="10">
        <f>-SUM((O58+O59)/('FORM - II'!P30+'FORM - II'!P34+'FORM - III'!P144+'FORM - III'!P153-'FORM - III'!O144-'FORM - III'!O153))*12</f>
        <v>-1.2975641773628941</v>
      </c>
      <c r="P60" s="7">
        <f>-SUM((P58+P59)/('FORM - II'!Q30+'FORM - II'!Q34+'FORM - III'!Q144+'FORM - III'!Q153-'FORM - III'!P144-'FORM - III'!P153))*12</f>
        <v>-2.1032781785592611</v>
      </c>
      <c r="Q60" s="7">
        <f>-SUM((Q58+Q59)/('FORM - II'!R30+'FORM - II'!R34+'FORM - III'!R144+'FORM - III'!R153-'FORM - III'!Q144-'FORM - III'!Q153))*12</f>
        <v>-3.2155567622138315</v>
      </c>
      <c r="R60" s="7">
        <f>-SUM((R58+R59)/('FORM - II'!S30+'FORM - II'!S34+'FORM - III'!S144+'FORM - III'!S153-'FORM - III'!R144-'FORM - III'!R153))*12</f>
        <v>-3.2023004593693001</v>
      </c>
      <c r="S60" s="7">
        <f>-SUM((S58+S59)/('FORM - II'!T30+'FORM - II'!T34+'FORM - III'!T144+'FORM - III'!T153-'FORM - III'!S144-'FORM - III'!S153))*12+0.02</f>
        <v>-2.0471028250091794</v>
      </c>
      <c r="T60" s="7">
        <f>-SUM((T58+T59)/('FORM - II'!U30+'FORM - II'!U34+'FORM - III'!U144+'FORM - III'!U153-'FORM - III'!T144-'FORM - III'!T153))*12-0.01</f>
        <v>-4.1625006256503472</v>
      </c>
      <c r="U60" s="7">
        <f>-SUM((U58+U59)/('FORM - II'!V30+'FORM - II'!V34+'FORM - III'!V144+'FORM - III'!V153-'FORM - III'!U144-'FORM - III'!U153))*12-0.01</f>
        <v>-3.7479433599120142</v>
      </c>
      <c r="V60" s="7">
        <f>-SUM((V58+V59)/('FORM - II'!W30+'FORM - II'!W34+'FORM - III'!W144+'FORM - III'!W153-'FORM - III'!V144-'FORM - III'!V153))*12-0.01</f>
        <v>-2.4188316426492711</v>
      </c>
      <c r="W60" s="7">
        <f>-SUM((W58+W59)/('FORM - II'!X30+'FORM - II'!X34+'FORM - III'!X144+'FORM - III'!X153-'FORM - III'!W144-'FORM - III'!W153))*12-0.01</f>
        <v>-2.0301111216271357</v>
      </c>
      <c r="X60" s="7">
        <f>-SUM((X58+X59)/('FORM - II'!Y30+'FORM - II'!Y34+'FORM - III'!AE144+'FORM - III'!AE153-'FORM - III'!X144-'FORM - III'!X153))*12-0.01</f>
        <v>-2.1203440898209123</v>
      </c>
      <c r="Y60" s="7">
        <f>-SUM((Y58+Y59)/('FORM - II'!Z30+'FORM - II'!Z34+'FORM - III'!AF144+'FORM - III'!AF153-'FORM - III'!AE144-'FORM - III'!AE153))*12-0.01</f>
        <v>-1.8516857506991193</v>
      </c>
      <c r="Z60" s="7">
        <f>-SUM((Z58+Z59)/('FORM - II'!AA30+'FORM - II'!AA34+'FORM - III'!AG144+'FORM - III'!AG153-'FORM - III'!AF144-'FORM - III'!AF153))*12-0.01</f>
        <v>-1.4697693507845553</v>
      </c>
      <c r="AA60" s="7">
        <f>-SUM((AA58+AA59)/('FORM - II'!AB30+'FORM - II'!AB34+'FORM - III'!AH144+'FORM - III'!AH153-'FORM - III'!AG144-'FORM - III'!AG153))*12-0.01</f>
        <v>-1.3000287286003049</v>
      </c>
      <c r="AB60" s="7">
        <f>-SUM((AB58+AB59)/('FORM - II'!AC30+'FORM - II'!AC34+'FORM - III'!AI144+'FORM - III'!AI153-'FORM - III'!AH144-'FORM - III'!AH153))*12-0.01</f>
        <v>-1.3000287286003049</v>
      </c>
      <c r="AC60" s="7">
        <f>-SUM((AC58+AC59)/('FORM - II'!AD30+'FORM - II'!AD34+'FORM - III'!AJ144+'FORM - III'!AJ153-'FORM - III'!AI144-'FORM - III'!AI153))*12-0.01</f>
        <v>-1.3000287286003049</v>
      </c>
    </row>
    <row r="61" spans="2:29" x14ac:dyDescent="0.2">
      <c r="B61" s="51"/>
      <c r="C61" s="51"/>
      <c r="D61" s="51"/>
      <c r="E61" s="51"/>
      <c r="F61" s="10"/>
      <c r="G61" s="9"/>
      <c r="H61" s="9"/>
      <c r="I61" s="9"/>
      <c r="J61" s="9"/>
      <c r="K61" s="9"/>
      <c r="L61" s="9"/>
      <c r="M61" s="9"/>
    </row>
    <row r="62" spans="2:29" x14ac:dyDescent="0.2">
      <c r="B62" s="52" t="s">
        <v>35</v>
      </c>
      <c r="C62" s="52" t="s">
        <v>188</v>
      </c>
      <c r="D62" s="51">
        <v>12.77</v>
      </c>
      <c r="E62" s="51">
        <v>9.31</v>
      </c>
      <c r="F62" s="10">
        <f>+'FORM - III'!G26</f>
        <v>0</v>
      </c>
      <c r="G62" s="10">
        <f>'FORM - III'!H26</f>
        <v>11</v>
      </c>
      <c r="H62" s="10">
        <f>'FORM - III'!I26</f>
        <v>7.43</v>
      </c>
      <c r="I62" s="10">
        <f>'FORM - III'!J26</f>
        <v>6.89</v>
      </c>
      <c r="J62" s="10">
        <f>'FORM - III'!K26</f>
        <v>11.44</v>
      </c>
      <c r="K62" s="10">
        <f>'FORM - III'!L26</f>
        <v>14.82</v>
      </c>
      <c r="L62" s="10">
        <f>'FORM - III'!M26</f>
        <v>81.09</v>
      </c>
      <c r="M62" s="10">
        <f>'FORM - III'!N26</f>
        <v>96.39</v>
      </c>
      <c r="N62" s="10">
        <f>'FORM - III'!O26</f>
        <v>135.30000000000001</v>
      </c>
      <c r="O62" s="10">
        <f>'FORM - III'!P26</f>
        <v>80.52</v>
      </c>
      <c r="P62" s="10">
        <f>'FORM - III'!Q26</f>
        <v>111.66</v>
      </c>
      <c r="Q62" s="10">
        <f>'FORM - III'!R26</f>
        <v>147.1</v>
      </c>
      <c r="R62" s="10">
        <f>'FORM - III'!S26</f>
        <v>119.54</v>
      </c>
      <c r="S62" s="10">
        <f>'FORM - III'!T26</f>
        <v>159.62</v>
      </c>
      <c r="T62" s="10">
        <f>'FORM - III'!U26</f>
        <v>247.59</v>
      </c>
      <c r="U62" s="10">
        <f>'FORM - III'!V26</f>
        <v>128.97999999999999</v>
      </c>
      <c r="V62" s="10">
        <v>100</v>
      </c>
      <c r="W62" s="10">
        <v>100</v>
      </c>
      <c r="X62" s="10">
        <v>100</v>
      </c>
      <c r="Y62" s="10">
        <v>100</v>
      </c>
      <c r="Z62" s="10">
        <v>100</v>
      </c>
      <c r="AA62" s="10">
        <v>100</v>
      </c>
      <c r="AB62" s="10">
        <v>100</v>
      </c>
      <c r="AC62" s="10">
        <v>100</v>
      </c>
    </row>
    <row r="63" spans="2:29" x14ac:dyDescent="0.2">
      <c r="B63" s="51"/>
      <c r="C63" s="51"/>
      <c r="D63" s="51"/>
      <c r="E63" s="51"/>
      <c r="F63" s="10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spans="2:29" x14ac:dyDescent="0.2">
      <c r="B64" s="52" t="s">
        <v>41</v>
      </c>
      <c r="C64" s="52" t="s">
        <v>189</v>
      </c>
      <c r="D64" s="51">
        <v>74.540000000000006</v>
      </c>
      <c r="E64" s="51">
        <v>82.65</v>
      </c>
      <c r="F64" s="10">
        <f>'FORM - III'!G32</f>
        <v>7.73</v>
      </c>
      <c r="G64" s="10">
        <f>'FORM - III'!H32</f>
        <v>73.319999999999993</v>
      </c>
      <c r="H64" s="10">
        <f>'FORM - III'!I32</f>
        <v>78.540000000000006</v>
      </c>
      <c r="I64" s="10">
        <f>'FORM - III'!J32</f>
        <v>67.77</v>
      </c>
      <c r="J64" s="10">
        <f>'FORM - III'!K32</f>
        <v>55.99</v>
      </c>
      <c r="K64" s="10">
        <f>'FORM - III'!L32</f>
        <v>68.3</v>
      </c>
      <c r="L64" s="10">
        <f>'FORM - III'!M32</f>
        <v>83.28</v>
      </c>
      <c r="M64" s="10">
        <f>'FORM - III'!N32</f>
        <v>131.22999999999999</v>
      </c>
      <c r="N64" s="10">
        <f>'FORM - III'!O32</f>
        <v>182.36</v>
      </c>
      <c r="O64" s="10">
        <f>'FORM - III'!P32</f>
        <v>59.78</v>
      </c>
      <c r="P64" s="10">
        <f>'FORM - III'!Q32</f>
        <v>93.44</v>
      </c>
      <c r="Q64" s="10">
        <f>'FORM - III'!R32</f>
        <v>446.36</v>
      </c>
      <c r="R64" s="10">
        <f>'FORM - III'!S32</f>
        <v>432.68</v>
      </c>
      <c r="S64" s="10">
        <f>'FORM - III'!T32</f>
        <v>654.95000000000005</v>
      </c>
      <c r="T64" s="10">
        <f>'FORM - III'!U32</f>
        <v>265.77</v>
      </c>
      <c r="U64" s="10">
        <f>'FORM - III'!V32</f>
        <v>122</v>
      </c>
      <c r="V64" s="10">
        <v>75</v>
      </c>
      <c r="W64" s="10">
        <v>75</v>
      </c>
      <c r="X64" s="10">
        <v>75</v>
      </c>
      <c r="Y64" s="10">
        <v>75</v>
      </c>
      <c r="Z64" s="10">
        <v>75</v>
      </c>
      <c r="AA64" s="10">
        <v>75</v>
      </c>
      <c r="AB64" s="10">
        <v>75</v>
      </c>
      <c r="AC64" s="10">
        <v>75</v>
      </c>
    </row>
    <row r="65" spans="2:30" x14ac:dyDescent="0.2">
      <c r="B65" s="51"/>
      <c r="C65" s="51"/>
      <c r="D65" s="51"/>
      <c r="E65" s="51"/>
      <c r="F65" s="10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</row>
    <row r="66" spans="2:30" x14ac:dyDescent="0.2">
      <c r="B66" s="52" t="s">
        <v>42</v>
      </c>
      <c r="C66" s="52" t="s">
        <v>190</v>
      </c>
      <c r="D66" s="51">
        <v>312.44</v>
      </c>
      <c r="E66" s="51">
        <v>340.09</v>
      </c>
      <c r="F66" s="10">
        <f>'FORM - III'!G39+'FORM - III'!G26</f>
        <v>472.76</v>
      </c>
      <c r="G66" s="10">
        <f>SUM('FORM - III'!H36+'FORM - III'!H39)</f>
        <v>255.16</v>
      </c>
      <c r="H66" s="10">
        <f>SUM('FORM - III'!I36+'FORM - III'!I39)</f>
        <v>333.75</v>
      </c>
      <c r="I66" s="10">
        <f>SUM('FORM - III'!J22+'FORM - III'!J28+'FORM - III'!J30+'FORM - III'!J36+'FORM - III'!J39)</f>
        <v>419.08</v>
      </c>
      <c r="J66" s="10">
        <f>SUM('FORM - III'!K22+'FORM - III'!K28+'FORM - III'!K30+'FORM - III'!K36+'FORM - III'!K39)</f>
        <v>525.62</v>
      </c>
      <c r="K66" s="10">
        <f>SUM('FORM - III'!L22+'FORM - III'!L28+'FORM - III'!L30+'FORM - III'!L36+'FORM - III'!L39)</f>
        <v>634.66000000000008</v>
      </c>
      <c r="L66" s="10">
        <f>SUM('FORM - III'!M22+'FORM - III'!M28+'FORM - III'!M30+'FORM - III'!M36+'FORM - III'!M39)</f>
        <v>792.68000000000006</v>
      </c>
      <c r="M66" s="10">
        <f>SUM('FORM - III'!N22+'FORM - III'!N28+'FORM - III'!N30+'FORM - III'!N36+'FORM - III'!N39)</f>
        <v>728.42000000000007</v>
      </c>
      <c r="N66" s="10">
        <f>SUM('FORM - III'!O22+'FORM - III'!O28+'FORM - III'!O30+'FORM - III'!O36+'FORM - III'!O39)</f>
        <v>514.71</v>
      </c>
      <c r="O66" s="7">
        <f>SUM('FORM - III'!P22+'FORM - III'!P28+'FORM - III'!P30+'FORM - III'!P36+'FORM - III'!P39)</f>
        <v>1499.08</v>
      </c>
      <c r="P66" s="7">
        <f>SUM('FORM - III'!Q22+'FORM - III'!Q28+'FORM - III'!Q30+'FORM - III'!Q36+'FORM - III'!Q39)</f>
        <v>2251.8500000000004</v>
      </c>
      <c r="Q66" s="7">
        <f>SUM('FORM - III'!R22+'FORM - III'!R28+'FORM - III'!R30+'FORM - III'!R36+'FORM - III'!R39)</f>
        <v>2593.5699999999997</v>
      </c>
      <c r="R66" s="7">
        <f>SUM('FORM - III'!S22+'FORM - III'!S28+'FORM - III'!S30+'FORM - III'!S36+'FORM - III'!S39)</f>
        <v>3094.52</v>
      </c>
      <c r="S66" s="7">
        <f>SUM('FORM - III'!T22+'FORM - III'!T28+'FORM - III'!T30+'FORM - III'!T36+'FORM - III'!T39)</f>
        <v>973.31000000000006</v>
      </c>
      <c r="T66" s="7">
        <f>'FORM - III'!U39+'FORM - III'!U36</f>
        <v>1083.2900000000002</v>
      </c>
      <c r="U66" s="7">
        <f>'FORM - III'!V39+'FORM - III'!V36</f>
        <v>1342.61</v>
      </c>
      <c r="V66" s="7">
        <f>SUM('FORM - III'!W22+'FORM - III'!W28+'FORM - III'!W30+'FORM - III'!W36+'FORM - III'!W39)</f>
        <v>578.23</v>
      </c>
      <c r="W66" s="7">
        <f>SUM('FORM - III'!X22+'FORM - III'!X28+'FORM - III'!X30+'FORM - III'!X36+'FORM - III'!X39)</f>
        <v>805.08</v>
      </c>
      <c r="X66" s="7">
        <f>SUM('FORM - III'!Y22+'FORM - III'!Y28+'FORM - III'!Y30+'FORM - III'!Y36+'FORM - III'!Y39)</f>
        <v>904.9</v>
      </c>
      <c r="Y66" s="7">
        <f>SUM('FORM - III'!Z22+'FORM - III'!Z28+'FORM - III'!Z30+'FORM - III'!Z36+'FORM - III'!Z39)</f>
        <v>664.18000000000006</v>
      </c>
      <c r="Z66" s="7">
        <f>SUM('FORM - III'!AA22+'FORM - III'!AA28+'FORM - III'!AA30+'FORM - III'!AA36+'FORM - III'!AA39)</f>
        <v>617.48</v>
      </c>
      <c r="AA66" s="7">
        <f>SUM('FORM - III'!AB22+'FORM - III'!AB28+'FORM - III'!AB30+'FORM - III'!AB36+'FORM - III'!AB39)</f>
        <v>594.96</v>
      </c>
      <c r="AB66" s="7">
        <f>SUM('FORM - III'!AC22+'FORM - III'!AC28+'FORM - III'!AC30+'FORM - III'!AC36+'FORM - III'!AC39)</f>
        <v>486.44</v>
      </c>
      <c r="AC66" s="7">
        <f>SUM('FORM - III'!AD22+'FORM - III'!AD28+'FORM - III'!AD30+'FORM - III'!AD36+'FORM - III'!AD39)</f>
        <v>450</v>
      </c>
    </row>
    <row r="67" spans="2:30" x14ac:dyDescent="0.2">
      <c r="B67" s="51"/>
      <c r="C67" s="52" t="s">
        <v>191</v>
      </c>
      <c r="D67" s="51"/>
      <c r="E67" s="51"/>
      <c r="F67" s="10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</row>
    <row r="68" spans="2:30" x14ac:dyDescent="0.2">
      <c r="B68" s="51"/>
      <c r="C68" s="52" t="s">
        <v>192</v>
      </c>
      <c r="D68" s="51">
        <v>0</v>
      </c>
      <c r="E68" s="51">
        <v>0</v>
      </c>
      <c r="F68" s="10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</row>
    <row r="69" spans="2:30" x14ac:dyDescent="0.2">
      <c r="B69" s="51"/>
      <c r="C69" s="52" t="s">
        <v>193</v>
      </c>
      <c r="D69" s="51"/>
      <c r="E69" s="51"/>
      <c r="F69" s="10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 spans="2:30" x14ac:dyDescent="0.2">
      <c r="B70" s="51"/>
      <c r="C70" s="52" t="s">
        <v>194</v>
      </c>
      <c r="D70" s="51"/>
      <c r="E70" s="51"/>
      <c r="F70" s="10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</row>
    <row r="71" spans="2:30" x14ac:dyDescent="0.2">
      <c r="B71" s="51"/>
      <c r="C71" s="52" t="s">
        <v>195</v>
      </c>
      <c r="D71" s="51"/>
      <c r="E71" s="51"/>
      <c r="F71" s="10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2:30" x14ac:dyDescent="0.2">
      <c r="B72" s="51"/>
      <c r="C72" s="51"/>
      <c r="D72" s="63" t="s">
        <v>0</v>
      </c>
      <c r="E72" s="63" t="s">
        <v>0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</row>
    <row r="73" spans="2:30" ht="13.5" thickBot="1" x14ac:dyDescent="0.25">
      <c r="B73" s="29" t="s">
        <v>43</v>
      </c>
      <c r="C73" s="29" t="s">
        <v>196</v>
      </c>
      <c r="D73" s="31" t="e">
        <f>D58+D62+D64+D66+D68+D67+#REF!</f>
        <v>#REF!</v>
      </c>
      <c r="E73" s="31" t="e">
        <f>E58+E62+E64+E66+E68+E67+#REF!</f>
        <v>#REF!</v>
      </c>
      <c r="F73" s="46">
        <f>F66+F64+F58</f>
        <v>1353.37</v>
      </c>
      <c r="G73" s="46" t="e">
        <f>G58+G62+G64+G66+G68+G67+#REF!</f>
        <v>#REF!</v>
      </c>
      <c r="H73" s="46" t="e">
        <f>H58+H62+H64+H66+H68+H67+#REF!</f>
        <v>#REF!</v>
      </c>
      <c r="I73" s="47" t="e">
        <f>I58+I62+I64+I66+I68+I67+#REF!</f>
        <v>#REF!</v>
      </c>
      <c r="J73" s="47" t="e">
        <f>J58+J62+J64+J66+J68+J67+#REF!</f>
        <v>#REF!</v>
      </c>
      <c r="K73" s="47" t="e">
        <f>K58+K62+K64+K66+K68+K67+#REF!</f>
        <v>#REF!</v>
      </c>
      <c r="L73" s="47" t="e">
        <f>L58+L62+L64+L66+L68+L67+#REF!</f>
        <v>#REF!</v>
      </c>
      <c r="M73" s="47" t="e">
        <f>M58+M62+M64+M66+M68+M67+#REF!</f>
        <v>#REF!</v>
      </c>
      <c r="N73" s="47">
        <f>SUM(N58+N59+N62+N64+N66)</f>
        <v>1777.46</v>
      </c>
      <c r="O73" s="47">
        <f t="shared" ref="O73:T73" si="2">SUM(O58+O59+O62+O64+O66)</f>
        <v>2528.9899999999998</v>
      </c>
      <c r="P73" s="47">
        <f t="shared" si="2"/>
        <v>3876.8100000000004</v>
      </c>
      <c r="Q73" s="47">
        <f t="shared" si="2"/>
        <v>4869.83</v>
      </c>
      <c r="R73" s="47">
        <f t="shared" si="2"/>
        <v>5641.0499999999993</v>
      </c>
      <c r="S73" s="47">
        <f t="shared" si="2"/>
        <v>3392.4100000000003</v>
      </c>
      <c r="T73" s="47">
        <f t="shared" si="2"/>
        <v>3172.96</v>
      </c>
      <c r="U73" s="47">
        <f>SUM(U58+U59+U62+U64+U66)</f>
        <v>2953.08</v>
      </c>
      <c r="V73" s="47">
        <f>SUM(V58+V59+V62+V64+V66)</f>
        <v>1838.23</v>
      </c>
      <c r="W73" s="47">
        <f>SUM(W58+W59+W62+W64+W66)</f>
        <v>2065.08</v>
      </c>
      <c r="X73" s="47">
        <f t="shared" ref="X73:AC73" si="3">SUM(X58+X59+X62+X64+X66)</f>
        <v>2164.9</v>
      </c>
      <c r="Y73" s="47">
        <f t="shared" si="3"/>
        <v>1924.18</v>
      </c>
      <c r="Z73" s="47">
        <f t="shared" si="3"/>
        <v>1652.48</v>
      </c>
      <c r="AA73" s="47">
        <f t="shared" si="3"/>
        <v>1529.96</v>
      </c>
      <c r="AB73" s="47">
        <f t="shared" si="3"/>
        <v>1421.44</v>
      </c>
      <c r="AC73" s="47">
        <f t="shared" si="3"/>
        <v>1385</v>
      </c>
    </row>
    <row r="74" spans="2:30" ht="13.5" thickTop="1" x14ac:dyDescent="0.2">
      <c r="B74" s="51"/>
      <c r="C74" s="29" t="s">
        <v>275</v>
      </c>
      <c r="D74" s="51"/>
      <c r="E74" s="51"/>
      <c r="F74" s="51"/>
      <c r="G74" s="51"/>
      <c r="H74" s="51"/>
      <c r="I74" s="51"/>
      <c r="J74" s="10"/>
      <c r="K74" s="51"/>
      <c r="L74" s="51"/>
    </row>
    <row r="75" spans="2:30" x14ac:dyDescent="0.2">
      <c r="B75" s="51"/>
      <c r="C75" s="51"/>
      <c r="D75" s="63" t="s">
        <v>0</v>
      </c>
      <c r="E75" s="63" t="s">
        <v>0</v>
      </c>
      <c r="F75" s="63"/>
      <c r="G75" s="63"/>
      <c r="H75" s="63"/>
      <c r="I75" s="63"/>
      <c r="J75" s="10"/>
      <c r="K75" s="63"/>
      <c r="L75" s="63"/>
      <c r="U75" s="92"/>
    </row>
    <row r="76" spans="2:30" x14ac:dyDescent="0.2">
      <c r="J76" s="9"/>
      <c r="U76" s="92"/>
      <c r="V76" s="92"/>
      <c r="W76" s="92"/>
      <c r="X76" s="92"/>
      <c r="Y76" s="92"/>
      <c r="Z76" s="92"/>
      <c r="AA76" s="92"/>
      <c r="AB76" s="92"/>
      <c r="AC76" s="92"/>
    </row>
    <row r="77" spans="2:30" x14ac:dyDescent="0.2">
      <c r="J77" s="9"/>
    </row>
    <row r="78" spans="2:30" x14ac:dyDescent="0.2">
      <c r="J78" s="9"/>
      <c r="U78" s="92"/>
      <c r="V78" s="92"/>
      <c r="W78" s="92"/>
      <c r="X78" s="92"/>
      <c r="Y78" s="92"/>
      <c r="Z78" s="92"/>
      <c r="AA78" s="92"/>
      <c r="AB78" s="92"/>
      <c r="AC78" s="92"/>
      <c r="AD78" s="92"/>
    </row>
    <row r="79" spans="2:30" x14ac:dyDescent="0.2">
      <c r="J79" s="9"/>
    </row>
    <row r="80" spans="2:30" x14ac:dyDescent="0.2">
      <c r="J80" s="9"/>
    </row>
    <row r="81" spans="10:10" x14ac:dyDescent="0.2">
      <c r="J81" s="9"/>
    </row>
    <row r="82" spans="10:10" x14ac:dyDescent="0.2">
      <c r="J82" s="9"/>
    </row>
    <row r="83" spans="10:10" x14ac:dyDescent="0.2">
      <c r="J83" s="9"/>
    </row>
    <row r="84" spans="10:10" x14ac:dyDescent="0.2">
      <c r="J84" s="9"/>
    </row>
    <row r="85" spans="10:10" x14ac:dyDescent="0.2">
      <c r="J85" s="9"/>
    </row>
    <row r="86" spans="10:10" x14ac:dyDescent="0.2">
      <c r="J86" s="9"/>
    </row>
    <row r="87" spans="10:10" x14ac:dyDescent="0.2">
      <c r="J87" s="9"/>
    </row>
    <row r="88" spans="10:10" x14ac:dyDescent="0.2">
      <c r="J88" s="9"/>
    </row>
    <row r="89" spans="10:10" x14ac:dyDescent="0.2">
      <c r="J89" s="9"/>
    </row>
    <row r="90" spans="10:10" x14ac:dyDescent="0.2">
      <c r="J90" s="9"/>
    </row>
    <row r="91" spans="10:10" x14ac:dyDescent="0.2">
      <c r="J91" s="9"/>
    </row>
    <row r="92" spans="10:10" x14ac:dyDescent="0.2">
      <c r="J92" s="9"/>
    </row>
    <row r="93" spans="10:10" x14ac:dyDescent="0.2">
      <c r="J93" s="9"/>
    </row>
    <row r="94" spans="10:10" x14ac:dyDescent="0.2">
      <c r="J94" s="9"/>
    </row>
    <row r="95" spans="10:10" x14ac:dyDescent="0.2">
      <c r="J95" s="9"/>
    </row>
    <row r="96" spans="10:10" x14ac:dyDescent="0.2">
      <c r="J96" s="9"/>
    </row>
    <row r="97" spans="10:10" x14ac:dyDescent="0.2">
      <c r="J97" s="9"/>
    </row>
    <row r="98" spans="10:10" x14ac:dyDescent="0.2">
      <c r="J98" s="9"/>
    </row>
    <row r="99" spans="10:10" x14ac:dyDescent="0.2">
      <c r="J99" s="9"/>
    </row>
    <row r="100" spans="10:10" x14ac:dyDescent="0.2">
      <c r="J100" s="9"/>
    </row>
    <row r="101" spans="10:10" x14ac:dyDescent="0.2">
      <c r="J101" s="9"/>
    </row>
    <row r="102" spans="10:10" x14ac:dyDescent="0.2">
      <c r="J102" s="9"/>
    </row>
    <row r="103" spans="10:10" x14ac:dyDescent="0.2">
      <c r="J103" s="9"/>
    </row>
    <row r="104" spans="10:10" x14ac:dyDescent="0.2">
      <c r="J104" s="9"/>
    </row>
    <row r="105" spans="10:10" x14ac:dyDescent="0.2">
      <c r="J105" s="9"/>
    </row>
    <row r="106" spans="10:10" x14ac:dyDescent="0.2">
      <c r="J106" s="9"/>
    </row>
    <row r="107" spans="10:10" x14ac:dyDescent="0.2">
      <c r="J107" s="9"/>
    </row>
    <row r="108" spans="10:10" x14ac:dyDescent="0.2">
      <c r="J108" s="9"/>
    </row>
    <row r="109" spans="10:10" x14ac:dyDescent="0.2">
      <c r="J109" s="9"/>
    </row>
    <row r="110" spans="10:10" x14ac:dyDescent="0.2">
      <c r="J110" s="9"/>
    </row>
    <row r="111" spans="10:10" x14ac:dyDescent="0.2">
      <c r="J111" s="9"/>
    </row>
    <row r="112" spans="10:10" x14ac:dyDescent="0.2">
      <c r="J112" s="9"/>
    </row>
    <row r="113" spans="10:10" x14ac:dyDescent="0.2">
      <c r="J113" s="9"/>
    </row>
    <row r="114" spans="10:10" x14ac:dyDescent="0.2">
      <c r="J114" s="9"/>
    </row>
    <row r="115" spans="10:10" x14ac:dyDescent="0.2">
      <c r="J115" s="9"/>
    </row>
    <row r="116" spans="10:10" x14ac:dyDescent="0.2">
      <c r="J116" s="9"/>
    </row>
    <row r="117" spans="10:10" x14ac:dyDescent="0.2">
      <c r="J117" s="9"/>
    </row>
    <row r="118" spans="10:10" x14ac:dyDescent="0.2">
      <c r="J118" s="9"/>
    </row>
  </sheetData>
  <mergeCells count="3">
    <mergeCell ref="C52:F52"/>
    <mergeCell ref="C6:F6"/>
    <mergeCell ref="Q8:T8"/>
  </mergeCells>
  <phoneticPr fontId="0" type="noConversion"/>
  <printOptions gridLines="1"/>
  <pageMargins left="0.2" right="0.2" top="0.25" bottom="0" header="0.5" footer="0.5"/>
  <pageSetup paperSize="9" fitToHeight="0" orientation="landscape" copies="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E93"/>
  <sheetViews>
    <sheetView topLeftCell="A15" workbookViewId="0">
      <selection activeCell="W12" sqref="W12"/>
    </sheetView>
  </sheetViews>
  <sheetFormatPr defaultRowHeight="12.75" x14ac:dyDescent="0.2"/>
  <cols>
    <col min="1" max="1" width="3.28515625" style="5" customWidth="1"/>
    <col min="2" max="2" width="3.5703125" style="5" customWidth="1"/>
    <col min="3" max="3" width="32.5703125" style="5" customWidth="1"/>
    <col min="4" max="5" width="0.140625" style="5" hidden="1" customWidth="1"/>
    <col min="6" max="6" width="12.7109375" style="5" hidden="1" customWidth="1"/>
    <col min="7" max="8" width="9.5703125" style="5" hidden="1" customWidth="1"/>
    <col min="9" max="9" width="10" style="5" hidden="1" customWidth="1"/>
    <col min="10" max="10" width="9.5703125" style="5" hidden="1" customWidth="1"/>
    <col min="11" max="11" width="11.140625" style="5" hidden="1" customWidth="1"/>
    <col min="12" max="12" width="0.140625" style="5" hidden="1" customWidth="1"/>
    <col min="13" max="13" width="11.28515625" style="5" hidden="1" customWidth="1"/>
    <col min="14" max="14" width="9.5703125" style="5" hidden="1" customWidth="1"/>
    <col min="15" max="15" width="10" style="5" hidden="1" customWidth="1"/>
    <col min="16" max="16" width="10.5703125" style="5" hidden="1" customWidth="1"/>
    <col min="17" max="17" width="0.140625" style="5" customWidth="1"/>
    <col min="18" max="18" width="0.5703125" style="5" customWidth="1"/>
    <col min="19" max="19" width="9.5703125" style="5" customWidth="1"/>
    <col min="20" max="20" width="9.7109375" style="5" customWidth="1"/>
    <col min="21" max="21" width="9.5703125" style="5" bestFit="1" customWidth="1"/>
    <col min="22" max="22" width="9.7109375" style="5" bestFit="1" customWidth="1"/>
    <col min="23" max="29" width="9.5703125" style="5" bestFit="1" customWidth="1"/>
    <col min="30" max="16384" width="9.140625" style="5"/>
  </cols>
  <sheetData>
    <row r="3" spans="2:29" ht="15.75" x14ac:dyDescent="0.25">
      <c r="C3" s="12" t="s">
        <v>341</v>
      </c>
      <c r="O3" s="13"/>
      <c r="P3" s="13"/>
      <c r="Q3" s="13"/>
      <c r="R3" s="13"/>
      <c r="S3" s="13"/>
      <c r="T3" s="13"/>
    </row>
    <row r="5" spans="2:29" x14ac:dyDescent="0.2">
      <c r="C5" s="28" t="s">
        <v>321</v>
      </c>
    </row>
    <row r="6" spans="2:29" x14ac:dyDescent="0.2">
      <c r="C6" s="284" t="s">
        <v>276</v>
      </c>
      <c r="D6" s="284"/>
      <c r="E6" s="284"/>
      <c r="F6" s="284"/>
      <c r="G6" s="16"/>
      <c r="H6" s="16"/>
      <c r="I6" s="16"/>
      <c r="J6" s="16"/>
      <c r="T6" s="285"/>
      <c r="U6" s="285"/>
      <c r="V6" s="285"/>
    </row>
    <row r="7" spans="2:29" x14ac:dyDescent="0.2">
      <c r="C7" s="16"/>
      <c r="D7" s="16"/>
      <c r="E7" s="16"/>
      <c r="F7" s="16"/>
      <c r="G7" s="16"/>
      <c r="H7" s="16"/>
      <c r="I7" s="16"/>
      <c r="J7" s="16"/>
    </row>
    <row r="8" spans="2:29" x14ac:dyDescent="0.2">
      <c r="C8" s="74" t="s">
        <v>322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AA8" s="285" t="s">
        <v>441</v>
      </c>
      <c r="AB8" s="285"/>
      <c r="AC8" s="285"/>
    </row>
    <row r="9" spans="2:29" x14ac:dyDescent="0.2">
      <c r="B9" s="49"/>
      <c r="C9" s="49"/>
      <c r="D9" s="20" t="s">
        <v>1</v>
      </c>
      <c r="E9" s="21" t="s">
        <v>2</v>
      </c>
      <c r="F9" s="22">
        <v>38442</v>
      </c>
      <c r="G9" s="23"/>
      <c r="H9" s="23">
        <v>39538</v>
      </c>
      <c r="I9" s="24">
        <v>39903</v>
      </c>
      <c r="J9" s="24">
        <v>40268</v>
      </c>
      <c r="K9" s="24">
        <v>40633</v>
      </c>
      <c r="L9" s="24">
        <v>40999</v>
      </c>
      <c r="M9" s="24">
        <v>41364</v>
      </c>
      <c r="N9" s="24">
        <v>41729</v>
      </c>
      <c r="O9" s="24">
        <v>42094</v>
      </c>
      <c r="P9" s="24">
        <v>42460</v>
      </c>
      <c r="Q9" s="24">
        <v>42825</v>
      </c>
      <c r="R9" s="24">
        <v>43190</v>
      </c>
      <c r="S9" s="24">
        <v>43555</v>
      </c>
      <c r="T9" s="24">
        <v>43921</v>
      </c>
      <c r="U9" s="24">
        <v>44286</v>
      </c>
      <c r="V9" s="24">
        <v>44651</v>
      </c>
      <c r="W9" s="24">
        <v>45016</v>
      </c>
      <c r="X9" s="24">
        <v>45382</v>
      </c>
      <c r="Y9" s="24">
        <v>45747</v>
      </c>
      <c r="Z9" s="24">
        <v>46112</v>
      </c>
      <c r="AA9" s="24">
        <v>46477</v>
      </c>
      <c r="AB9" s="24">
        <v>46843</v>
      </c>
      <c r="AC9" s="24">
        <v>47208</v>
      </c>
    </row>
    <row r="10" spans="2:29" x14ac:dyDescent="0.2">
      <c r="B10" s="50"/>
      <c r="C10" s="50"/>
      <c r="D10" s="25" t="s">
        <v>3</v>
      </c>
      <c r="E10" s="26" t="s">
        <v>3</v>
      </c>
      <c r="F10" s="26" t="str">
        <f>E10</f>
        <v>Audited</v>
      </c>
      <c r="G10" s="27"/>
      <c r="H10" s="27" t="s">
        <v>3</v>
      </c>
      <c r="I10" s="27" t="s">
        <v>3</v>
      </c>
      <c r="J10" s="27" t="s">
        <v>3</v>
      </c>
      <c r="K10" s="27"/>
      <c r="L10" s="27"/>
      <c r="M10" s="27"/>
      <c r="N10" s="27"/>
      <c r="O10" s="27" t="s">
        <v>3</v>
      </c>
      <c r="P10" s="27" t="s">
        <v>3</v>
      </c>
      <c r="Q10" s="27" t="s">
        <v>3</v>
      </c>
      <c r="R10" s="27" t="s">
        <v>3</v>
      </c>
      <c r="S10" s="27" t="s">
        <v>3</v>
      </c>
      <c r="T10" s="27" t="s">
        <v>3</v>
      </c>
      <c r="U10" s="27" t="s">
        <v>303</v>
      </c>
      <c r="V10" s="27" t="s">
        <v>303</v>
      </c>
      <c r="W10" s="27" t="s">
        <v>303</v>
      </c>
      <c r="X10" s="27" t="s">
        <v>303</v>
      </c>
      <c r="Y10" s="27" t="s">
        <v>303</v>
      </c>
      <c r="Z10" s="27" t="s">
        <v>303</v>
      </c>
      <c r="AA10" s="27" t="s">
        <v>303</v>
      </c>
      <c r="AB10" s="27" t="s">
        <v>303</v>
      </c>
      <c r="AC10" s="27" t="s">
        <v>303</v>
      </c>
    </row>
    <row r="11" spans="2:29" x14ac:dyDescent="0.2">
      <c r="C11" s="51"/>
      <c r="D11" s="63"/>
      <c r="E11" s="76"/>
      <c r="F11" s="63"/>
      <c r="G11" s="63"/>
      <c r="H11" s="63"/>
      <c r="I11" s="63"/>
      <c r="J11" s="10"/>
      <c r="K11" s="35"/>
      <c r="L11" s="35"/>
      <c r="M11" s="35"/>
      <c r="N11" s="35"/>
    </row>
    <row r="12" spans="2:29" x14ac:dyDescent="0.2">
      <c r="B12" s="98">
        <v>1</v>
      </c>
      <c r="C12" s="52" t="s">
        <v>197</v>
      </c>
      <c r="D12" s="51">
        <v>1581.47</v>
      </c>
      <c r="E12" s="51">
        <v>1694.91</v>
      </c>
      <c r="F12" s="57">
        <f>'FORM - IV'!F50</f>
        <v>1888.5099999999998</v>
      </c>
      <c r="G12" s="66">
        <f>'FORM - IV'!G50</f>
        <v>2148.6</v>
      </c>
      <c r="H12" s="57">
        <f>'FORM - IV'!H50</f>
        <v>2785.4199999999996</v>
      </c>
      <c r="I12" s="66">
        <f>'FORM - IV'!I50</f>
        <v>2838.46</v>
      </c>
      <c r="J12" s="66">
        <f>'FORM - IV'!J50</f>
        <v>3229.99</v>
      </c>
      <c r="K12" s="66">
        <f>'FORM - IV'!K50</f>
        <v>4667.2299999999996</v>
      </c>
      <c r="L12" s="66">
        <f>'FORM - IV'!L50</f>
        <v>7360.3899999999994</v>
      </c>
      <c r="M12" s="66">
        <f>'FORM - IV'!M50</f>
        <v>6690.19</v>
      </c>
      <c r="N12" s="66">
        <f>'FORM - IV'!N50</f>
        <v>6159.0100000000011</v>
      </c>
      <c r="O12" s="66">
        <f>'FORM - IV'!O50</f>
        <v>6072.83</v>
      </c>
      <c r="P12" s="66">
        <f>'FORM - IV'!P50</f>
        <v>6038.43</v>
      </c>
      <c r="Q12" s="66">
        <f>'FORM - IV'!Q50</f>
        <v>5782.7599999999993</v>
      </c>
      <c r="R12" s="122">
        <f>'FORM - IV'!R50</f>
        <v>5673.2300000000005</v>
      </c>
      <c r="S12" s="122">
        <f>'FORM - IV'!S50</f>
        <v>5351.93</v>
      </c>
      <c r="T12" s="262">
        <f>'FORM - IV'!T50</f>
        <v>5158.7000000000007</v>
      </c>
      <c r="U12" s="122">
        <f>'FORM - IV'!U50</f>
        <v>5338.98</v>
      </c>
      <c r="V12" s="122">
        <f>'FORM - IV'!V50</f>
        <v>4673.4400000000005</v>
      </c>
      <c r="W12" s="122">
        <f>'FORM - IV'!W50</f>
        <v>5346.7</v>
      </c>
      <c r="X12" s="122">
        <f>'FORM - IV'!X50</f>
        <v>5518.9400000000005</v>
      </c>
      <c r="Y12" s="122">
        <f>'FORM - IV'!Y50</f>
        <v>5483.18</v>
      </c>
      <c r="Z12" s="122">
        <f>'FORM - IV'!Z50</f>
        <v>5585.5</v>
      </c>
      <c r="AA12" s="122">
        <f>'FORM - IV'!AA50</f>
        <v>5635.09</v>
      </c>
      <c r="AB12" s="122">
        <f>'FORM - IV'!AB50</f>
        <v>5640.88</v>
      </c>
      <c r="AC12" s="122">
        <f>'FORM - IV'!AC50</f>
        <v>5586.55</v>
      </c>
    </row>
    <row r="13" spans="2:29" x14ac:dyDescent="0.2">
      <c r="B13" s="98"/>
      <c r="C13" s="52" t="s">
        <v>198</v>
      </c>
      <c r="E13" s="51"/>
      <c r="F13" s="57"/>
      <c r="G13" s="10"/>
      <c r="H13" s="51"/>
      <c r="I13" s="51"/>
      <c r="J13" s="10"/>
      <c r="K13" s="35"/>
      <c r="L13" s="35"/>
      <c r="M13" s="35"/>
      <c r="N13" s="35"/>
      <c r="O13" s="35"/>
      <c r="P13" s="35"/>
      <c r="Q13" s="35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</row>
    <row r="14" spans="2:29" x14ac:dyDescent="0.2">
      <c r="B14" s="98"/>
      <c r="C14" s="51"/>
      <c r="E14" s="51"/>
      <c r="F14" s="57"/>
      <c r="G14" s="10"/>
      <c r="H14" s="51"/>
      <c r="I14" s="51"/>
      <c r="J14" s="10"/>
      <c r="K14" s="35"/>
      <c r="L14" s="35"/>
      <c r="M14" s="35"/>
      <c r="N14" s="35"/>
      <c r="O14" s="35"/>
      <c r="P14" s="35"/>
      <c r="Q14" s="35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</row>
    <row r="15" spans="2:29" x14ac:dyDescent="0.2">
      <c r="B15" s="98">
        <v>2</v>
      </c>
      <c r="C15" s="52" t="s">
        <v>199</v>
      </c>
      <c r="D15" s="51">
        <v>830.81</v>
      </c>
      <c r="E15" s="51">
        <v>964.78</v>
      </c>
      <c r="F15" s="57">
        <f>'FORM - IV'!F73</f>
        <v>1353.37</v>
      </c>
      <c r="G15" s="57" t="e">
        <f>'FORM - IV'!G73</f>
        <v>#REF!</v>
      </c>
      <c r="H15" s="57" t="e">
        <f>'FORM - IV'!H73</f>
        <v>#REF!</v>
      </c>
      <c r="I15" s="66" t="e">
        <f>'FORM - IV'!I73</f>
        <v>#REF!</v>
      </c>
      <c r="J15" s="66" t="e">
        <f>'FORM - IV'!J73</f>
        <v>#REF!</v>
      </c>
      <c r="K15" s="66" t="e">
        <f>'FORM - IV'!K73</f>
        <v>#REF!</v>
      </c>
      <c r="L15" s="66" t="e">
        <f>'FORM - IV'!L73</f>
        <v>#REF!</v>
      </c>
      <c r="M15" s="66" t="e">
        <f>'FORM - IV'!M73</f>
        <v>#REF!</v>
      </c>
      <c r="N15" s="66">
        <f>'FORM - IV'!N73</f>
        <v>1777.46</v>
      </c>
      <c r="O15" s="66">
        <f>'FORM - IV'!O73</f>
        <v>2528.9899999999998</v>
      </c>
      <c r="P15" s="66">
        <f>'FORM - IV'!P73</f>
        <v>3876.8100000000004</v>
      </c>
      <c r="Q15" s="66">
        <f>'FORM - IV'!Q73</f>
        <v>4869.83</v>
      </c>
      <c r="R15" s="122">
        <f>'FORM - IV'!R73</f>
        <v>5641.0499999999993</v>
      </c>
      <c r="S15" s="122">
        <f>'FORM - IV'!S73</f>
        <v>3392.4100000000003</v>
      </c>
      <c r="T15" s="122">
        <f>'FORM - IV'!T73</f>
        <v>3172.96</v>
      </c>
      <c r="U15" s="122">
        <f>'FORM - IV'!U73</f>
        <v>2953.08</v>
      </c>
      <c r="V15" s="122">
        <f>'FORM - IV'!V73</f>
        <v>1838.23</v>
      </c>
      <c r="W15" s="122">
        <f>'FORM - IV'!W73</f>
        <v>2065.08</v>
      </c>
      <c r="X15" s="122">
        <f>'FORM - IV'!X73</f>
        <v>2164.9</v>
      </c>
      <c r="Y15" s="122">
        <f>'FORM - IV'!Y73</f>
        <v>1924.18</v>
      </c>
      <c r="Z15" s="122">
        <f>'FORM - IV'!Z73</f>
        <v>1652.48</v>
      </c>
      <c r="AA15" s="122">
        <f>'FORM - IV'!AA73</f>
        <v>1529.96</v>
      </c>
      <c r="AB15" s="122">
        <f>'FORM - IV'!AB73</f>
        <v>1421.44</v>
      </c>
      <c r="AC15" s="122">
        <f>'FORM - IV'!AC73</f>
        <v>1385</v>
      </c>
    </row>
    <row r="16" spans="2:29" x14ac:dyDescent="0.2">
      <c r="B16" s="98"/>
      <c r="C16" s="52" t="s">
        <v>200</v>
      </c>
      <c r="E16" s="51"/>
      <c r="F16" s="10"/>
      <c r="G16" s="10"/>
      <c r="H16" s="51"/>
      <c r="I16" s="51"/>
      <c r="J16" s="10"/>
      <c r="K16" s="35"/>
      <c r="L16" s="35"/>
      <c r="M16" s="35"/>
      <c r="N16" s="35"/>
      <c r="O16" s="35"/>
      <c r="P16" s="35"/>
      <c r="Q16" s="35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</row>
    <row r="17" spans="2:31" x14ac:dyDescent="0.2">
      <c r="B17" s="98"/>
      <c r="C17" s="52" t="s">
        <v>201</v>
      </c>
      <c r="E17" s="51"/>
      <c r="F17" s="10"/>
      <c r="G17" s="10"/>
      <c r="H17" s="51"/>
      <c r="I17" s="51"/>
      <c r="J17" s="10"/>
      <c r="K17" s="35"/>
      <c r="L17" s="35"/>
      <c r="M17" s="35"/>
      <c r="N17" s="35"/>
      <c r="O17" s="35"/>
      <c r="P17" s="35"/>
      <c r="Q17" s="35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</row>
    <row r="18" spans="2:31" x14ac:dyDescent="0.2">
      <c r="B18" s="98"/>
      <c r="C18" s="51"/>
      <c r="E18" s="51"/>
      <c r="F18" s="10"/>
      <c r="G18" s="10"/>
      <c r="H18" s="51"/>
      <c r="I18" s="51"/>
      <c r="J18" s="10"/>
      <c r="K18" s="35"/>
      <c r="L18" s="35"/>
      <c r="M18" s="35"/>
      <c r="N18" s="35"/>
      <c r="O18" s="35"/>
      <c r="P18" s="35"/>
      <c r="Q18" s="35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</row>
    <row r="19" spans="2:31" x14ac:dyDescent="0.2">
      <c r="B19" s="98">
        <v>3</v>
      </c>
      <c r="C19" s="52" t="s">
        <v>202</v>
      </c>
      <c r="D19" s="51">
        <f t="shared" ref="D19:J19" si="0">D12-D15</f>
        <v>750.66000000000008</v>
      </c>
      <c r="E19" s="51">
        <f t="shared" si="0"/>
        <v>730.13000000000011</v>
      </c>
      <c r="F19" s="10">
        <f t="shared" si="0"/>
        <v>535.13999999999987</v>
      </c>
      <c r="G19" s="57" t="e">
        <f t="shared" si="0"/>
        <v>#REF!</v>
      </c>
      <c r="H19" s="66" t="e">
        <f t="shared" si="0"/>
        <v>#REF!</v>
      </c>
      <c r="I19" s="66" t="e">
        <f t="shared" si="0"/>
        <v>#REF!</v>
      </c>
      <c r="J19" s="66" t="e">
        <f t="shared" si="0"/>
        <v>#REF!</v>
      </c>
      <c r="K19" s="66" t="e">
        <f>K12-K15</f>
        <v>#REF!</v>
      </c>
      <c r="L19" s="66" t="e">
        <f>L12-L15</f>
        <v>#REF!</v>
      </c>
      <c r="M19" s="66" t="e">
        <f>M12-M15</f>
        <v>#REF!</v>
      </c>
      <c r="N19" s="66">
        <f>N12-N15</f>
        <v>4381.5500000000011</v>
      </c>
      <c r="O19" s="66">
        <f t="shared" ref="O19:T19" si="1">O12-O15</f>
        <v>3543.84</v>
      </c>
      <c r="P19" s="66">
        <f t="shared" si="1"/>
        <v>2161.62</v>
      </c>
      <c r="Q19" s="66">
        <f t="shared" si="1"/>
        <v>912.92999999999938</v>
      </c>
      <c r="R19" s="122">
        <f t="shared" si="1"/>
        <v>32.180000000001201</v>
      </c>
      <c r="S19" s="122">
        <f t="shared" si="1"/>
        <v>1959.52</v>
      </c>
      <c r="T19" s="122">
        <f t="shared" si="1"/>
        <v>1985.7400000000007</v>
      </c>
      <c r="U19" s="122">
        <f>U12-U15</f>
        <v>2385.8999999999996</v>
      </c>
      <c r="V19" s="122">
        <f>V12-V15</f>
        <v>2835.2100000000005</v>
      </c>
      <c r="W19" s="122">
        <f>W12-W15</f>
        <v>3281.62</v>
      </c>
      <c r="X19" s="122">
        <f t="shared" ref="X19:AC19" si="2">X12-X15</f>
        <v>3354.0400000000004</v>
      </c>
      <c r="Y19" s="122">
        <f t="shared" si="2"/>
        <v>3559</v>
      </c>
      <c r="Z19" s="122">
        <f t="shared" si="2"/>
        <v>3933.02</v>
      </c>
      <c r="AA19" s="122">
        <f t="shared" si="2"/>
        <v>4105.13</v>
      </c>
      <c r="AB19" s="122">
        <f t="shared" si="2"/>
        <v>4219.4400000000005</v>
      </c>
      <c r="AC19" s="122">
        <f t="shared" si="2"/>
        <v>4201.55</v>
      </c>
    </row>
    <row r="20" spans="2:31" x14ac:dyDescent="0.2">
      <c r="B20" s="98"/>
      <c r="C20" s="52" t="s">
        <v>203</v>
      </c>
      <c r="E20" s="51"/>
      <c r="F20" s="10"/>
      <c r="G20" s="10"/>
      <c r="H20" s="51"/>
      <c r="I20" s="51"/>
      <c r="J20" s="10"/>
      <c r="K20" s="35"/>
      <c r="L20" s="35"/>
      <c r="M20" s="35"/>
      <c r="N20" s="35"/>
      <c r="O20" s="35"/>
      <c r="P20" s="35"/>
      <c r="Q20" s="35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</row>
    <row r="21" spans="2:31" x14ac:dyDescent="0.2">
      <c r="B21" s="98"/>
      <c r="C21" s="51"/>
      <c r="E21" s="51"/>
      <c r="F21" s="10"/>
      <c r="G21" s="10"/>
      <c r="H21" s="51"/>
      <c r="I21" s="51"/>
      <c r="J21" s="10"/>
      <c r="K21" s="35"/>
      <c r="L21" s="35"/>
      <c r="M21" s="35"/>
      <c r="N21" s="35"/>
      <c r="O21" s="35"/>
      <c r="P21" s="35"/>
      <c r="Q21" s="35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</row>
    <row r="22" spans="2:31" x14ac:dyDescent="0.2">
      <c r="B22" s="98">
        <v>4</v>
      </c>
      <c r="C22" s="52" t="s">
        <v>204</v>
      </c>
      <c r="D22" s="51">
        <v>360.58</v>
      </c>
      <c r="E22" s="51">
        <v>397.89</v>
      </c>
      <c r="F22" s="10">
        <f>(F12-'FORM - IV'!F39)*0.25</f>
        <v>407.98249999999996</v>
      </c>
      <c r="G22" s="10">
        <f>(G12-'FORM - IV'!G39)*0.25</f>
        <v>482.03999999999996</v>
      </c>
      <c r="H22" s="10">
        <f>(H12-'FORM - IV'!H39)*0.25</f>
        <v>655.57249999999988</v>
      </c>
      <c r="I22" s="10">
        <f>(I12-'FORM - IV'!I39)*0.25</f>
        <v>657.58500000000004</v>
      </c>
      <c r="J22" s="10">
        <f>(J12-'FORM - IV'!J39)*0.25</f>
        <v>739.76499999999999</v>
      </c>
      <c r="K22" s="7">
        <f>(K12-'FORM - IV'!K39)*0.25</f>
        <v>1097.0524999999998</v>
      </c>
      <c r="L22" s="7">
        <f>(L12-'FORM - IV'!L39)*0.25</f>
        <v>1748.8074999999999</v>
      </c>
      <c r="M22" s="7">
        <f>(M12-'FORM - IV'!M39)*0.25</f>
        <v>1580.2399999999998</v>
      </c>
      <c r="N22" s="7">
        <f>(N12-'FORM - IV'!N39)*0.25</f>
        <v>1462.9375000000002</v>
      </c>
      <c r="O22" s="7">
        <f>(O12-'FORM - IV'!O39)*0.25</f>
        <v>1441.6</v>
      </c>
      <c r="P22" s="7">
        <f>(P12-'FORM - IV'!P39)*0.25</f>
        <v>1441.4725000000001</v>
      </c>
      <c r="Q22" s="7">
        <f>(Q12-'FORM - IV'!Q39)*0.25</f>
        <v>1394.4449999999999</v>
      </c>
      <c r="R22" s="123">
        <f>(R12-'FORM - IV'!R39)*0.25</f>
        <v>1354.7275000000002</v>
      </c>
      <c r="S22" s="123">
        <f>(S12-'FORM - IV'!S39)*0.25</f>
        <v>1299.0025000000001</v>
      </c>
      <c r="T22" s="123">
        <f>(T12-'FORM - IV'!T39)*0.25</f>
        <v>1268.2250000000001</v>
      </c>
      <c r="U22" s="123">
        <f>(U12-'FORM - IV'!U39)*0.25</f>
        <v>1313.5149999999999</v>
      </c>
      <c r="V22" s="123">
        <f>(V12-'FORM - IV'!V39)*0.25</f>
        <v>1118.3600000000001</v>
      </c>
      <c r="W22" s="123">
        <f>(W12-'FORM - IV'!W39)*0.25</f>
        <v>1274.175</v>
      </c>
      <c r="X22" s="123">
        <f>(X12-'FORM - IV'!X39)*0.25</f>
        <v>1317.2350000000001</v>
      </c>
      <c r="Y22" s="123">
        <f>(Y12-'FORM - IV'!Y39)*0.25</f>
        <v>1308.2950000000001</v>
      </c>
      <c r="Z22" s="123">
        <f>(Z12-'FORM - IV'!Z39)*0.25</f>
        <v>1333.875</v>
      </c>
      <c r="AA22" s="123">
        <f>(AA12-'FORM - IV'!AA39)*0.25</f>
        <v>1346.2725</v>
      </c>
      <c r="AB22" s="123">
        <f>(AB12-'FORM - IV'!AB39)*0.25</f>
        <v>1347.72</v>
      </c>
      <c r="AC22" s="123">
        <f>(AC12-'FORM - IV'!AC39)*0.25</f>
        <v>1334.1375</v>
      </c>
    </row>
    <row r="23" spans="2:31" x14ac:dyDescent="0.2">
      <c r="B23" s="98"/>
      <c r="C23" s="52" t="s">
        <v>205</v>
      </c>
      <c r="E23" s="51"/>
      <c r="F23" s="10"/>
      <c r="G23" s="10"/>
      <c r="H23" s="51"/>
      <c r="I23" s="51"/>
      <c r="J23" s="10"/>
      <c r="K23" s="35"/>
      <c r="L23" s="35"/>
      <c r="M23" s="35"/>
      <c r="N23" s="35"/>
      <c r="O23" s="35"/>
      <c r="P23" s="35"/>
      <c r="Q23" s="35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</row>
    <row r="24" spans="2:31" x14ac:dyDescent="0.2">
      <c r="B24" s="98"/>
      <c r="C24" s="52" t="s">
        <v>206</v>
      </c>
      <c r="F24" s="9"/>
      <c r="G24" s="9"/>
      <c r="J24" s="9"/>
      <c r="K24" s="35"/>
      <c r="L24" s="35"/>
      <c r="M24" s="35"/>
      <c r="N24" s="35"/>
      <c r="O24" s="35"/>
      <c r="P24" s="35"/>
      <c r="Q24" s="35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</row>
    <row r="25" spans="2:31" x14ac:dyDescent="0.2">
      <c r="B25" s="98"/>
      <c r="C25" s="52" t="s">
        <v>207</v>
      </c>
      <c r="E25" s="51"/>
      <c r="F25" s="10"/>
      <c r="G25" s="10"/>
      <c r="H25" s="51"/>
      <c r="I25" s="51"/>
      <c r="J25" s="10"/>
      <c r="K25" s="35"/>
      <c r="L25" s="35"/>
      <c r="M25" s="35"/>
      <c r="N25" s="35"/>
      <c r="O25" s="35"/>
      <c r="P25" s="35"/>
      <c r="Q25" s="35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</row>
    <row r="26" spans="2:31" x14ac:dyDescent="0.2">
      <c r="B26" s="98"/>
      <c r="C26" s="52" t="s">
        <v>208</v>
      </c>
      <c r="E26" s="51"/>
      <c r="F26" s="10"/>
      <c r="G26" s="10"/>
      <c r="H26" s="51"/>
      <c r="I26" s="51"/>
      <c r="J26" s="10"/>
      <c r="K26" s="35"/>
      <c r="L26" s="35"/>
      <c r="M26" s="35"/>
      <c r="N26" s="35"/>
      <c r="O26" s="35"/>
      <c r="P26" s="35"/>
      <c r="Q26" s="35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</row>
    <row r="27" spans="2:31" x14ac:dyDescent="0.2">
      <c r="B27" s="98"/>
      <c r="C27" s="52" t="s">
        <v>209</v>
      </c>
      <c r="E27" s="51"/>
      <c r="F27" s="10"/>
      <c r="G27" s="10"/>
      <c r="H27" s="51"/>
      <c r="I27" s="51"/>
      <c r="J27" s="10"/>
      <c r="K27" s="35"/>
      <c r="L27" s="35"/>
      <c r="M27" s="35"/>
      <c r="N27" s="35"/>
      <c r="O27" s="35"/>
      <c r="P27" s="35"/>
      <c r="Q27" s="35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</row>
    <row r="28" spans="2:31" x14ac:dyDescent="0.2">
      <c r="B28" s="98"/>
      <c r="C28" s="51"/>
      <c r="E28" s="51"/>
      <c r="F28" s="10"/>
      <c r="G28" s="10"/>
      <c r="H28" s="51"/>
      <c r="I28" s="51"/>
      <c r="J28" s="10"/>
      <c r="K28" s="35"/>
      <c r="L28" s="35"/>
      <c r="M28" s="35"/>
      <c r="N28" s="35"/>
      <c r="O28" s="35"/>
      <c r="P28" s="35"/>
      <c r="Q28" s="35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</row>
    <row r="29" spans="2:31" x14ac:dyDescent="0.2">
      <c r="B29" s="98">
        <v>5</v>
      </c>
      <c r="C29" s="52" t="s">
        <v>210</v>
      </c>
      <c r="D29" s="51">
        <v>247.83</v>
      </c>
      <c r="E29" s="51">
        <v>260.08999999999997</v>
      </c>
      <c r="F29" s="10">
        <f>'FORM - III'!G211</f>
        <v>139.27999999999997</v>
      </c>
      <c r="G29" s="10">
        <f>'FORM - III'!H211</f>
        <v>440.82999999999947</v>
      </c>
      <c r="H29" s="10">
        <f>'FORM - III'!I211</f>
        <v>663.46</v>
      </c>
      <c r="I29" s="7">
        <f>'FORM - III'!J211</f>
        <v>714.41000000000031</v>
      </c>
      <c r="J29" s="7">
        <f>'FORM - III'!K211</f>
        <v>877.04999999999973</v>
      </c>
      <c r="K29" s="7">
        <f>'FORM - III'!L211</f>
        <v>1223.6499999999996</v>
      </c>
      <c r="L29" s="7">
        <f>'FORM - III'!M211</f>
        <v>3105.6100000000006</v>
      </c>
      <c r="M29" s="7">
        <f>'FORM - III'!N211</f>
        <v>2687.7699999999995</v>
      </c>
      <c r="N29" s="7">
        <f>'FORM - III'!O211</f>
        <v>1888.2400000000016</v>
      </c>
      <c r="O29" s="7">
        <f>'FORM - III'!P211</f>
        <v>941.80999999999949</v>
      </c>
      <c r="P29" s="7">
        <f>'FORM - III'!Q211</f>
        <v>-477.64000000000124</v>
      </c>
      <c r="Q29" s="7">
        <f>'FORM - III'!R211</f>
        <v>-1740.8899999999994</v>
      </c>
      <c r="R29" s="123">
        <f>'FORM - III'!S211</f>
        <v>-2575.2599999999993</v>
      </c>
      <c r="S29" s="123">
        <f>'FORM - III'!T211</f>
        <v>-742.89999999999964</v>
      </c>
      <c r="T29" s="123">
        <f>'FORM - III'!U211</f>
        <v>-816.22999999999956</v>
      </c>
      <c r="U29" s="123">
        <f>'FORM - III'!V211</f>
        <v>-288.8700000000008</v>
      </c>
      <c r="V29" s="123">
        <f>'FORM - III'!W211</f>
        <v>835.21000000000049</v>
      </c>
      <c r="W29" s="123">
        <f>'FORM - III'!X211</f>
        <v>1281.6199999999999</v>
      </c>
      <c r="X29" s="123">
        <f>'FORM - III'!Y211</f>
        <v>1354.0400000000009</v>
      </c>
      <c r="Y29" s="123">
        <f>'FORM - III'!Z211</f>
        <v>1559</v>
      </c>
      <c r="Z29" s="123">
        <f>'FORM - III'!AA211</f>
        <v>1933.02</v>
      </c>
      <c r="AA29" s="123">
        <f>'FORM - III'!AB211</f>
        <v>2105.13</v>
      </c>
      <c r="AB29" s="123">
        <f>'FORM - III'!AC211</f>
        <v>2219.44</v>
      </c>
      <c r="AC29" s="123">
        <f>'FORM - III'!AD211</f>
        <v>2201.5500000000002</v>
      </c>
      <c r="AE29" s="123"/>
    </row>
    <row r="30" spans="2:31" x14ac:dyDescent="0.2">
      <c r="B30" s="98"/>
      <c r="C30" s="52" t="s">
        <v>211</v>
      </c>
      <c r="E30" s="51"/>
      <c r="F30" s="10"/>
      <c r="G30" s="10"/>
      <c r="H30" s="51"/>
      <c r="I30" s="51"/>
      <c r="J30" s="10"/>
      <c r="K30" s="35"/>
      <c r="L30" s="35"/>
      <c r="M30" s="35"/>
      <c r="N30" s="35"/>
      <c r="O30" s="35"/>
      <c r="P30" s="35"/>
      <c r="Q30" s="35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E30" s="109"/>
    </row>
    <row r="31" spans="2:31" x14ac:dyDescent="0.2">
      <c r="B31" s="98"/>
      <c r="C31" s="51"/>
      <c r="E31" s="51"/>
      <c r="F31" s="10"/>
      <c r="G31" s="10"/>
      <c r="H31" s="51"/>
      <c r="I31" s="51"/>
      <c r="J31" s="10"/>
      <c r="K31" s="35"/>
      <c r="L31" s="35"/>
      <c r="M31" s="35"/>
      <c r="N31" s="35"/>
      <c r="O31" s="35"/>
      <c r="P31" s="35"/>
      <c r="Q31" s="35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E31" s="109"/>
    </row>
    <row r="32" spans="2:31" x14ac:dyDescent="0.2">
      <c r="B32" s="98">
        <v>6</v>
      </c>
      <c r="C32" s="52" t="s">
        <v>212</v>
      </c>
      <c r="D32" s="51">
        <f t="shared" ref="D32:K32" si="3">D19-D22</f>
        <v>390.0800000000001</v>
      </c>
      <c r="E32" s="51">
        <f t="shared" si="3"/>
        <v>332.24000000000012</v>
      </c>
      <c r="F32" s="10">
        <f t="shared" si="3"/>
        <v>127.15749999999991</v>
      </c>
      <c r="G32" s="10" t="e">
        <f t="shared" si="3"/>
        <v>#REF!</v>
      </c>
      <c r="H32" s="10" t="e">
        <f t="shared" si="3"/>
        <v>#REF!</v>
      </c>
      <c r="I32" s="7" t="e">
        <f t="shared" si="3"/>
        <v>#REF!</v>
      </c>
      <c r="J32" s="7" t="e">
        <f t="shared" si="3"/>
        <v>#REF!</v>
      </c>
      <c r="K32" s="7" t="e">
        <f t="shared" si="3"/>
        <v>#REF!</v>
      </c>
      <c r="L32" s="7" t="e">
        <f>L19-L22</f>
        <v>#REF!</v>
      </c>
      <c r="M32" s="7" t="e">
        <f>M19-M22</f>
        <v>#REF!</v>
      </c>
      <c r="N32" s="7">
        <f>N19-N22</f>
        <v>2918.6125000000011</v>
      </c>
      <c r="O32" s="7">
        <f t="shared" ref="O32:T32" si="4">O19-O22</f>
        <v>2102.2400000000002</v>
      </c>
      <c r="P32" s="7">
        <f t="shared" si="4"/>
        <v>720.14749999999981</v>
      </c>
      <c r="Q32" s="7">
        <f t="shared" si="4"/>
        <v>-481.51500000000055</v>
      </c>
      <c r="R32" s="123">
        <f t="shared" si="4"/>
        <v>-1322.547499999999</v>
      </c>
      <c r="S32" s="123">
        <f t="shared" si="4"/>
        <v>660.51749999999993</v>
      </c>
      <c r="T32" s="123">
        <f t="shared" si="4"/>
        <v>717.51500000000055</v>
      </c>
      <c r="U32" s="123">
        <f>U19-U22</f>
        <v>1072.3849999999998</v>
      </c>
      <c r="V32" s="123">
        <f>V19-V22</f>
        <v>1716.8500000000004</v>
      </c>
      <c r="W32" s="123">
        <f>W19-W22</f>
        <v>2007.4449999999999</v>
      </c>
      <c r="X32" s="123">
        <f t="shared" ref="X32:AC32" si="5">X19-X22</f>
        <v>2036.8050000000003</v>
      </c>
      <c r="Y32" s="123">
        <f t="shared" si="5"/>
        <v>2250.7049999999999</v>
      </c>
      <c r="Z32" s="123">
        <f t="shared" si="5"/>
        <v>2599.145</v>
      </c>
      <c r="AA32" s="123">
        <f t="shared" si="5"/>
        <v>2758.8575000000001</v>
      </c>
      <c r="AB32" s="123">
        <f t="shared" si="5"/>
        <v>2871.7200000000003</v>
      </c>
      <c r="AC32" s="123">
        <f t="shared" si="5"/>
        <v>2867.4125000000004</v>
      </c>
      <c r="AE32" s="123"/>
    </row>
    <row r="33" spans="2:31" x14ac:dyDescent="0.2">
      <c r="B33" s="98"/>
      <c r="C33" s="51"/>
      <c r="E33" s="51"/>
      <c r="F33" s="10"/>
      <c r="G33" s="10"/>
      <c r="H33" s="51"/>
      <c r="I33" s="51"/>
      <c r="J33" s="10"/>
      <c r="K33" s="35"/>
      <c r="L33" s="35"/>
      <c r="M33" s="35"/>
      <c r="N33" s="35"/>
      <c r="O33" s="35"/>
      <c r="P33" s="35"/>
      <c r="Q33" s="35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E33" s="109"/>
    </row>
    <row r="34" spans="2:31" x14ac:dyDescent="0.2">
      <c r="B34" s="98">
        <v>7</v>
      </c>
      <c r="C34" s="52" t="s">
        <v>213</v>
      </c>
      <c r="D34" s="51">
        <f t="shared" ref="D34:K34" si="6">D19-D29</f>
        <v>502.83000000000004</v>
      </c>
      <c r="E34" s="51">
        <f t="shared" si="6"/>
        <v>470.04000000000013</v>
      </c>
      <c r="F34" s="10">
        <f t="shared" si="6"/>
        <v>395.8599999999999</v>
      </c>
      <c r="G34" s="10" t="e">
        <f t="shared" si="6"/>
        <v>#REF!</v>
      </c>
      <c r="H34" s="10" t="e">
        <f t="shared" si="6"/>
        <v>#REF!</v>
      </c>
      <c r="I34" s="66" t="e">
        <f t="shared" si="6"/>
        <v>#REF!</v>
      </c>
      <c r="J34" s="66" t="e">
        <f t="shared" si="6"/>
        <v>#REF!</v>
      </c>
      <c r="K34" s="66" t="e">
        <f t="shared" si="6"/>
        <v>#REF!</v>
      </c>
      <c r="L34" s="66" t="e">
        <f>L19-L29</f>
        <v>#REF!</v>
      </c>
      <c r="M34" s="66" t="e">
        <f>M19-M29</f>
        <v>#REF!</v>
      </c>
      <c r="N34" s="66">
        <f>N19-N29</f>
        <v>2493.3099999999995</v>
      </c>
      <c r="O34" s="66">
        <f t="shared" ref="O34:T34" si="7">O19-O29</f>
        <v>2602.0300000000007</v>
      </c>
      <c r="P34" s="66">
        <f t="shared" si="7"/>
        <v>2639.2600000000011</v>
      </c>
      <c r="Q34" s="66">
        <f t="shared" si="7"/>
        <v>2653.8199999999988</v>
      </c>
      <c r="R34" s="122">
        <f t="shared" si="7"/>
        <v>2607.4400000000005</v>
      </c>
      <c r="S34" s="122">
        <f t="shared" si="7"/>
        <v>2702.4199999999996</v>
      </c>
      <c r="T34" s="122">
        <f t="shared" si="7"/>
        <v>2801.9700000000003</v>
      </c>
      <c r="U34" s="122">
        <f>U19-U29</f>
        <v>2674.7700000000004</v>
      </c>
      <c r="V34" s="122">
        <f>V19-V29</f>
        <v>2000</v>
      </c>
      <c r="W34" s="122">
        <f>W19-W29</f>
        <v>2000</v>
      </c>
      <c r="X34" s="122">
        <f t="shared" ref="X34:AC34" si="8">X19-X29</f>
        <v>1999.9999999999995</v>
      </c>
      <c r="Y34" s="122">
        <f t="shared" si="8"/>
        <v>2000</v>
      </c>
      <c r="Z34" s="122">
        <f t="shared" si="8"/>
        <v>2000</v>
      </c>
      <c r="AA34" s="122">
        <f t="shared" si="8"/>
        <v>2000</v>
      </c>
      <c r="AB34" s="122">
        <f t="shared" si="8"/>
        <v>2000.0000000000005</v>
      </c>
      <c r="AC34" s="122">
        <f t="shared" si="8"/>
        <v>2000</v>
      </c>
      <c r="AE34" s="122"/>
    </row>
    <row r="35" spans="2:31" x14ac:dyDescent="0.2">
      <c r="B35" s="98"/>
      <c r="C35" s="51"/>
      <c r="E35" s="51"/>
      <c r="F35" s="10"/>
      <c r="G35" s="10"/>
      <c r="H35" s="51"/>
      <c r="I35" s="56"/>
      <c r="J35" s="66"/>
      <c r="K35" s="68"/>
      <c r="L35" s="68"/>
      <c r="M35" s="68"/>
      <c r="N35" s="68"/>
      <c r="O35" s="68"/>
      <c r="P35" s="68"/>
      <c r="Q35" s="68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</row>
    <row r="36" spans="2:31" x14ac:dyDescent="0.2">
      <c r="B36" s="98">
        <v>8</v>
      </c>
      <c r="C36" s="52" t="s">
        <v>214</v>
      </c>
      <c r="D36" s="51">
        <v>390.08</v>
      </c>
      <c r="E36" s="51">
        <v>332.24</v>
      </c>
      <c r="F36" s="10">
        <v>127.16</v>
      </c>
      <c r="G36" s="10">
        <v>627.16999999999996</v>
      </c>
      <c r="H36" s="10">
        <v>693.65</v>
      </c>
      <c r="I36" s="66">
        <v>936.1</v>
      </c>
      <c r="J36" s="66">
        <v>931.42</v>
      </c>
      <c r="K36" s="2">
        <v>1588.17</v>
      </c>
      <c r="L36" s="2">
        <v>1885.19</v>
      </c>
      <c r="M36" s="2" t="e">
        <f>M34</f>
        <v>#REF!</v>
      </c>
      <c r="N36" s="2">
        <f>N34</f>
        <v>2493.3099999999995</v>
      </c>
      <c r="O36" s="2">
        <f>O32</f>
        <v>2102.2400000000002</v>
      </c>
      <c r="P36" s="2"/>
      <c r="Q36" s="4"/>
      <c r="R36" s="124"/>
      <c r="S36" s="124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</row>
    <row r="37" spans="2:31" x14ac:dyDescent="0.2">
      <c r="B37" s="98"/>
      <c r="C37" s="52" t="s">
        <v>215</v>
      </c>
      <c r="E37" s="51"/>
      <c r="F37" s="10"/>
      <c r="G37" s="10"/>
      <c r="H37" s="51"/>
      <c r="I37" s="56"/>
      <c r="J37" s="66"/>
      <c r="K37" s="68"/>
      <c r="L37" s="68"/>
      <c r="M37" s="68"/>
      <c r="N37" s="68"/>
      <c r="O37" s="68"/>
      <c r="P37" s="68">
        <f>MIN(P32,P34)</f>
        <v>720.14749999999981</v>
      </c>
      <c r="Q37" s="68">
        <f t="shared" ref="Q37:V37" si="9">MIN(Q32,Q34)</f>
        <v>-481.51500000000055</v>
      </c>
      <c r="R37" s="107">
        <f t="shared" si="9"/>
        <v>-1322.547499999999</v>
      </c>
      <c r="S37" s="107">
        <f t="shared" si="9"/>
        <v>660.51749999999993</v>
      </c>
      <c r="T37" s="107">
        <f t="shared" si="9"/>
        <v>717.51500000000055</v>
      </c>
      <c r="U37" s="107">
        <f t="shared" si="9"/>
        <v>1072.3849999999998</v>
      </c>
      <c r="V37" s="107">
        <f t="shared" si="9"/>
        <v>1716.8500000000004</v>
      </c>
      <c r="W37" s="107">
        <f t="shared" ref="W37:AC37" si="10">MIN(W32,W34)</f>
        <v>2000</v>
      </c>
      <c r="X37" s="107">
        <f t="shared" si="10"/>
        <v>1999.9999999999995</v>
      </c>
      <c r="Y37" s="107">
        <f t="shared" si="10"/>
        <v>2000</v>
      </c>
      <c r="Z37" s="107">
        <f t="shared" si="10"/>
        <v>2000</v>
      </c>
      <c r="AA37" s="107">
        <f t="shared" si="10"/>
        <v>2000</v>
      </c>
      <c r="AB37" s="107">
        <f t="shared" si="10"/>
        <v>2000.0000000000005</v>
      </c>
      <c r="AC37" s="107">
        <f t="shared" si="10"/>
        <v>2000</v>
      </c>
    </row>
    <row r="38" spans="2:31" x14ac:dyDescent="0.2">
      <c r="B38" s="98"/>
      <c r="C38" s="51"/>
      <c r="E38" s="51"/>
      <c r="F38" s="10"/>
      <c r="G38" s="10"/>
      <c r="H38" s="51"/>
      <c r="I38" s="56"/>
      <c r="J38" s="66"/>
      <c r="K38" s="68"/>
      <c r="L38" s="68"/>
      <c r="M38" s="68"/>
      <c r="N38" s="68"/>
      <c r="O38" s="68"/>
      <c r="P38" s="68"/>
      <c r="Q38" s="68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</row>
    <row r="39" spans="2:31" x14ac:dyDescent="0.2">
      <c r="B39" s="98">
        <v>9</v>
      </c>
      <c r="C39" s="52" t="s">
        <v>216</v>
      </c>
      <c r="D39" s="51">
        <v>112.75</v>
      </c>
      <c r="E39" s="51">
        <v>137.80000000000001</v>
      </c>
      <c r="F39" s="10">
        <f t="shared" ref="F39:K39" si="11">F34-F36</f>
        <v>268.69999999999993</v>
      </c>
      <c r="G39" s="10" t="e">
        <f t="shared" si="11"/>
        <v>#REF!</v>
      </c>
      <c r="H39" s="10" t="e">
        <f t="shared" si="11"/>
        <v>#REF!</v>
      </c>
      <c r="I39" s="66" t="e">
        <f t="shared" si="11"/>
        <v>#REF!</v>
      </c>
      <c r="J39" s="66" t="e">
        <f t="shared" si="11"/>
        <v>#REF!</v>
      </c>
      <c r="K39" s="66" t="e">
        <f t="shared" si="11"/>
        <v>#REF!</v>
      </c>
      <c r="L39" s="66" t="e">
        <f>L34-L36</f>
        <v>#REF!</v>
      </c>
      <c r="M39" s="66" t="e">
        <f>M34-M36</f>
        <v>#REF!</v>
      </c>
      <c r="N39" s="66">
        <f>N34-N36</f>
        <v>0</v>
      </c>
      <c r="O39" s="66">
        <f>O34-O36</f>
        <v>499.79000000000042</v>
      </c>
      <c r="P39" s="66">
        <f t="shared" ref="P39:V39" si="12">P34-P37</f>
        <v>1919.1125000000013</v>
      </c>
      <c r="Q39" s="66">
        <f t="shared" si="12"/>
        <v>3135.3349999999991</v>
      </c>
      <c r="R39" s="122">
        <f t="shared" si="12"/>
        <v>3929.9874999999993</v>
      </c>
      <c r="S39" s="122">
        <f t="shared" si="12"/>
        <v>2041.9024999999997</v>
      </c>
      <c r="T39" s="122">
        <f t="shared" si="12"/>
        <v>2084.4549999999999</v>
      </c>
      <c r="U39" s="122">
        <f t="shared" si="12"/>
        <v>1602.3850000000007</v>
      </c>
      <c r="V39" s="122">
        <f t="shared" si="12"/>
        <v>283.14999999999964</v>
      </c>
      <c r="W39" s="122">
        <f t="shared" ref="W39:AC39" si="13">W34-W37</f>
        <v>0</v>
      </c>
      <c r="X39" s="122">
        <f t="shared" si="13"/>
        <v>0</v>
      </c>
      <c r="Y39" s="122">
        <f t="shared" si="13"/>
        <v>0</v>
      </c>
      <c r="Z39" s="122">
        <f t="shared" si="13"/>
        <v>0</v>
      </c>
      <c r="AA39" s="122">
        <f t="shared" si="13"/>
        <v>0</v>
      </c>
      <c r="AB39" s="122">
        <f t="shared" si="13"/>
        <v>0</v>
      </c>
      <c r="AC39" s="122">
        <f t="shared" si="13"/>
        <v>0</v>
      </c>
    </row>
    <row r="40" spans="2:31" x14ac:dyDescent="0.2">
      <c r="C40" s="52" t="s">
        <v>217</v>
      </c>
      <c r="E40" s="51"/>
      <c r="F40" s="10"/>
      <c r="J40" s="9"/>
      <c r="K40" s="35"/>
      <c r="L40" s="35"/>
      <c r="M40" s="35"/>
      <c r="N40" s="35"/>
    </row>
    <row r="41" spans="2:31" x14ac:dyDescent="0.2">
      <c r="F41" s="9"/>
      <c r="J41" s="9"/>
      <c r="K41" s="35"/>
      <c r="L41" s="35"/>
      <c r="M41" s="35"/>
      <c r="N41" s="35"/>
    </row>
    <row r="42" spans="2:31" x14ac:dyDescent="0.2">
      <c r="J42" s="9"/>
      <c r="K42" s="35"/>
      <c r="L42" s="35"/>
      <c r="M42" s="35"/>
      <c r="N42" s="35"/>
    </row>
    <row r="43" spans="2:31" x14ac:dyDescent="0.2">
      <c r="J43" s="9"/>
      <c r="K43" s="35"/>
      <c r="L43" s="35"/>
      <c r="M43" s="35"/>
      <c r="N43" s="35"/>
    </row>
    <row r="44" spans="2:31" x14ac:dyDescent="0.2">
      <c r="J44" s="9"/>
      <c r="K44" s="35"/>
      <c r="L44" s="35"/>
      <c r="M44" s="35"/>
      <c r="N44" s="35"/>
    </row>
    <row r="45" spans="2:31" x14ac:dyDescent="0.2">
      <c r="J45" s="9"/>
      <c r="K45" s="35"/>
      <c r="L45" s="35"/>
      <c r="M45" s="35"/>
      <c r="N45" s="35"/>
    </row>
    <row r="46" spans="2:31" x14ac:dyDescent="0.2">
      <c r="J46" s="9"/>
      <c r="K46" s="35"/>
      <c r="L46" s="35"/>
      <c r="M46" s="35"/>
      <c r="N46" s="35"/>
    </row>
    <row r="47" spans="2:31" x14ac:dyDescent="0.2">
      <c r="J47" s="9"/>
      <c r="K47" s="35"/>
      <c r="L47" s="35"/>
      <c r="M47" s="35"/>
      <c r="N47" s="35"/>
    </row>
    <row r="48" spans="2:31" x14ac:dyDescent="0.2">
      <c r="J48" s="9"/>
      <c r="K48" s="35"/>
      <c r="L48" s="35"/>
      <c r="M48" s="35"/>
      <c r="N48" s="35"/>
    </row>
    <row r="49" spans="10:14" x14ac:dyDescent="0.2">
      <c r="J49" s="9"/>
      <c r="K49" s="35"/>
      <c r="L49" s="35"/>
      <c r="M49" s="35"/>
      <c r="N49" s="35"/>
    </row>
    <row r="50" spans="10:14" x14ac:dyDescent="0.2">
      <c r="J50" s="9"/>
      <c r="K50" s="35"/>
      <c r="L50" s="35"/>
      <c r="M50" s="35"/>
      <c r="N50" s="35"/>
    </row>
    <row r="51" spans="10:14" x14ac:dyDescent="0.2">
      <c r="J51" s="9"/>
      <c r="K51" s="35"/>
      <c r="L51" s="35"/>
      <c r="M51" s="35"/>
      <c r="N51" s="35"/>
    </row>
    <row r="52" spans="10:14" x14ac:dyDescent="0.2">
      <c r="J52" s="9"/>
      <c r="K52" s="35"/>
      <c r="L52" s="35"/>
      <c r="M52" s="35"/>
      <c r="N52" s="35"/>
    </row>
    <row r="53" spans="10:14" x14ac:dyDescent="0.2">
      <c r="J53" s="9"/>
      <c r="K53" s="35"/>
      <c r="L53" s="35"/>
      <c r="M53" s="35"/>
      <c r="N53" s="35"/>
    </row>
    <row r="54" spans="10:14" x14ac:dyDescent="0.2">
      <c r="J54" s="9"/>
      <c r="K54" s="35"/>
      <c r="L54" s="35"/>
      <c r="M54" s="35"/>
      <c r="N54" s="35"/>
    </row>
    <row r="55" spans="10:14" x14ac:dyDescent="0.2">
      <c r="J55" s="9"/>
      <c r="K55" s="35"/>
      <c r="L55" s="35"/>
      <c r="M55" s="35"/>
      <c r="N55" s="35"/>
    </row>
    <row r="56" spans="10:14" x14ac:dyDescent="0.2">
      <c r="J56" s="9"/>
      <c r="K56" s="35"/>
      <c r="L56" s="35"/>
      <c r="M56" s="35"/>
      <c r="N56" s="35"/>
    </row>
    <row r="57" spans="10:14" x14ac:dyDescent="0.2">
      <c r="J57" s="9"/>
      <c r="K57" s="35"/>
      <c r="L57" s="35"/>
      <c r="M57" s="35"/>
      <c r="N57" s="35"/>
    </row>
    <row r="58" spans="10:14" x14ac:dyDescent="0.2">
      <c r="J58" s="9"/>
      <c r="K58" s="35"/>
      <c r="L58" s="35"/>
      <c r="M58" s="35"/>
      <c r="N58" s="35"/>
    </row>
    <row r="59" spans="10:14" x14ac:dyDescent="0.2">
      <c r="J59" s="9"/>
      <c r="K59" s="35"/>
      <c r="L59" s="35"/>
      <c r="M59" s="35"/>
      <c r="N59" s="35"/>
    </row>
    <row r="60" spans="10:14" x14ac:dyDescent="0.2">
      <c r="J60" s="9"/>
      <c r="K60" s="35"/>
      <c r="L60" s="35"/>
      <c r="M60" s="35"/>
      <c r="N60" s="35"/>
    </row>
    <row r="61" spans="10:14" x14ac:dyDescent="0.2">
      <c r="J61" s="9"/>
      <c r="K61" s="35"/>
      <c r="L61" s="35"/>
      <c r="M61" s="35"/>
      <c r="N61" s="35"/>
    </row>
    <row r="62" spans="10:14" x14ac:dyDescent="0.2">
      <c r="J62" s="9"/>
      <c r="K62" s="35"/>
      <c r="L62" s="35"/>
      <c r="M62" s="35"/>
      <c r="N62" s="35"/>
    </row>
    <row r="63" spans="10:14" x14ac:dyDescent="0.2">
      <c r="J63" s="9"/>
      <c r="K63" s="35"/>
      <c r="L63" s="35"/>
      <c r="M63" s="35"/>
      <c r="N63" s="35"/>
    </row>
    <row r="64" spans="10:14" x14ac:dyDescent="0.2">
      <c r="J64" s="9"/>
      <c r="K64" s="35"/>
      <c r="L64" s="35"/>
      <c r="M64" s="35"/>
      <c r="N64" s="35"/>
    </row>
    <row r="65" spans="10:10" x14ac:dyDescent="0.2">
      <c r="J65" s="9"/>
    </row>
    <row r="66" spans="10:10" x14ac:dyDescent="0.2">
      <c r="J66" s="9"/>
    </row>
    <row r="67" spans="10:10" x14ac:dyDescent="0.2">
      <c r="J67" s="9"/>
    </row>
    <row r="68" spans="10:10" x14ac:dyDescent="0.2">
      <c r="J68" s="9"/>
    </row>
    <row r="69" spans="10:10" x14ac:dyDescent="0.2">
      <c r="J69" s="9"/>
    </row>
    <row r="70" spans="10:10" x14ac:dyDescent="0.2">
      <c r="J70" s="9"/>
    </row>
    <row r="71" spans="10:10" x14ac:dyDescent="0.2">
      <c r="J71" s="9"/>
    </row>
    <row r="72" spans="10:10" x14ac:dyDescent="0.2">
      <c r="J72" s="9"/>
    </row>
    <row r="73" spans="10:10" x14ac:dyDescent="0.2">
      <c r="J73" s="9"/>
    </row>
    <row r="74" spans="10:10" x14ac:dyDescent="0.2">
      <c r="J74" s="9"/>
    </row>
    <row r="75" spans="10:10" x14ac:dyDescent="0.2">
      <c r="J75" s="9"/>
    </row>
    <row r="76" spans="10:10" x14ac:dyDescent="0.2">
      <c r="J76" s="9"/>
    </row>
    <row r="77" spans="10:10" x14ac:dyDescent="0.2">
      <c r="J77" s="9"/>
    </row>
    <row r="78" spans="10:10" x14ac:dyDescent="0.2">
      <c r="J78" s="9"/>
    </row>
    <row r="79" spans="10:10" x14ac:dyDescent="0.2">
      <c r="J79" s="9"/>
    </row>
    <row r="80" spans="10:10" x14ac:dyDescent="0.2">
      <c r="J80" s="9"/>
    </row>
    <row r="81" spans="10:10" x14ac:dyDescent="0.2">
      <c r="J81" s="9"/>
    </row>
    <row r="82" spans="10:10" x14ac:dyDescent="0.2">
      <c r="J82" s="9"/>
    </row>
    <row r="83" spans="10:10" x14ac:dyDescent="0.2">
      <c r="J83" s="9"/>
    </row>
    <row r="84" spans="10:10" x14ac:dyDescent="0.2">
      <c r="J84" s="9"/>
    </row>
    <row r="85" spans="10:10" x14ac:dyDescent="0.2">
      <c r="J85" s="9"/>
    </row>
    <row r="86" spans="10:10" x14ac:dyDescent="0.2">
      <c r="J86" s="9"/>
    </row>
    <row r="87" spans="10:10" x14ac:dyDescent="0.2">
      <c r="J87" s="9"/>
    </row>
    <row r="88" spans="10:10" x14ac:dyDescent="0.2">
      <c r="J88" s="9"/>
    </row>
    <row r="89" spans="10:10" x14ac:dyDescent="0.2">
      <c r="J89" s="9"/>
    </row>
    <row r="90" spans="10:10" x14ac:dyDescent="0.2">
      <c r="J90" s="9"/>
    </row>
    <row r="91" spans="10:10" x14ac:dyDescent="0.2">
      <c r="J91" s="9"/>
    </row>
    <row r="92" spans="10:10" x14ac:dyDescent="0.2">
      <c r="J92" s="9"/>
    </row>
    <row r="93" spans="10:10" x14ac:dyDescent="0.2">
      <c r="J93" s="9"/>
    </row>
  </sheetData>
  <mergeCells count="3">
    <mergeCell ref="C6:F6"/>
    <mergeCell ref="T6:V6"/>
    <mergeCell ref="AA8:AC8"/>
  </mergeCells>
  <phoneticPr fontId="0" type="noConversion"/>
  <printOptions gridLines="1"/>
  <pageMargins left="0.19685039370078741" right="0.19685039370078741" top="0.74803149606299213" bottom="0.98425196850393704" header="0.51181102362204722" footer="0.51181102362204722"/>
  <pageSetup paperSize="9" scale="99" orientation="landscape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FORM - II</vt:lpstr>
      <vt:lpstr>Loans</vt:lpstr>
      <vt:lpstr>RK Wokring</vt:lpstr>
      <vt:lpstr>Ratio</vt:lpstr>
      <vt:lpstr>Depriciation</vt:lpstr>
      <vt:lpstr>FORM - III</vt:lpstr>
      <vt:lpstr>Balance Sheet</vt:lpstr>
      <vt:lpstr>FORM - IV</vt:lpstr>
      <vt:lpstr>FORM - V</vt:lpstr>
      <vt:lpstr>FORM - VI</vt:lpstr>
      <vt:lpstr>Sales Budget 2020-21</vt:lpstr>
      <vt:lpstr>'FORM - II'!Print_Area</vt:lpstr>
      <vt:lpstr>'FORM - III'!Print_Area</vt:lpstr>
      <vt:lpstr>'FORM - IV'!Print_Area</vt:lpstr>
      <vt:lpstr>'FORM - V'!Print_Area</vt:lpstr>
      <vt:lpstr>'FORM - VI'!Print_Area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gmakk</cp:lastModifiedBy>
  <cp:lastPrinted>2021-07-08T09:37:11Z</cp:lastPrinted>
  <dcterms:created xsi:type="dcterms:W3CDTF">1996-10-14T23:33:28Z</dcterms:created>
  <dcterms:modified xsi:type="dcterms:W3CDTF">2021-07-09T05:13:38Z</dcterms:modified>
</cp:coreProperties>
</file>