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Zaid Ebne Mairaj\kolkata\MS NIRMAL WIRES PVT LTD {VIS(2021-22)PL184-Q41-193-258\"/>
    </mc:Choice>
  </mc:AlternateContent>
  <bookViews>
    <workbookView xWindow="0" yWindow="0" windowWidth="21600" windowHeight="9735" activeTab="2"/>
  </bookViews>
  <sheets>
    <sheet name="FAR" sheetId="1" r:id="rId1"/>
    <sheet name="p&amp;m Working" sheetId="2" r:id="rId2"/>
    <sheet name="l&amp;b" sheetId="6" r:id="rId3"/>
    <sheet name="SUMMARY" sheetId="5" r:id="rId4"/>
    <sheet name="Sheet1" sheetId="3" r:id="rId5"/>
    <sheet name="Sheet2" sheetId="4" r:id="rId6"/>
  </sheets>
  <definedNames>
    <definedName name="_xlnm._FilterDatabase" localSheetId="1" hidden="1">'p&amp;m Working'!$B$3:$P$255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6" l="1"/>
  <c r="I27" i="6"/>
  <c r="K27" i="6" s="1"/>
  <c r="I26" i="6"/>
  <c r="K26" i="6" s="1"/>
  <c r="I25" i="6"/>
  <c r="K25" i="6" s="1"/>
  <c r="I24" i="6"/>
  <c r="K24" i="6" s="1"/>
  <c r="I23" i="6"/>
  <c r="K23" i="6" s="1"/>
  <c r="I22" i="6"/>
  <c r="K22" i="6" s="1"/>
  <c r="I21" i="6"/>
  <c r="K21" i="6" s="1"/>
  <c r="I20" i="6"/>
  <c r="K20" i="6" s="1"/>
  <c r="I19" i="6"/>
  <c r="K19" i="6" s="1"/>
  <c r="I18" i="6"/>
  <c r="K18" i="6" s="1"/>
  <c r="I17" i="6"/>
  <c r="K17" i="6" s="1"/>
  <c r="I16" i="6"/>
  <c r="K16" i="6" s="1"/>
  <c r="I15" i="6"/>
  <c r="K15" i="6" s="1"/>
  <c r="I14" i="6"/>
  <c r="K14" i="6" s="1"/>
  <c r="I13" i="6"/>
  <c r="K13" i="6" s="1"/>
  <c r="I12" i="6"/>
  <c r="K12" i="6" s="1"/>
  <c r="I11" i="6"/>
  <c r="K11" i="6" s="1"/>
  <c r="I10" i="6"/>
  <c r="K10" i="6" s="1"/>
  <c r="I9" i="6"/>
  <c r="K9" i="6" s="1"/>
  <c r="I8" i="6"/>
  <c r="K8" i="6" s="1"/>
  <c r="I7" i="6"/>
  <c r="K7" i="6" s="1"/>
  <c r="I6" i="6"/>
  <c r="K6" i="6" s="1"/>
  <c r="I5" i="6"/>
  <c r="I28" i="6" s="1"/>
  <c r="K5" i="6" l="1"/>
  <c r="K28" i="6" s="1"/>
  <c r="K15" i="5"/>
  <c r="J27" i="4" l="1"/>
  <c r="J26" i="4"/>
  <c r="J25" i="4"/>
  <c r="J24" i="4"/>
  <c r="J23" i="4"/>
  <c r="J22" i="4"/>
  <c r="J21" i="4"/>
  <c r="J20" i="4"/>
  <c r="J19" i="4"/>
  <c r="R15" i="4" l="1"/>
  <c r="R14" i="4"/>
  <c r="R13" i="4"/>
  <c r="R12" i="4"/>
  <c r="R11" i="4"/>
  <c r="R10" i="4"/>
  <c r="R9" i="4"/>
  <c r="R8" i="4"/>
  <c r="R7" i="4"/>
  <c r="J15" i="4"/>
  <c r="J14" i="4"/>
  <c r="J13" i="4"/>
  <c r="J12" i="4"/>
  <c r="J11" i="4"/>
  <c r="J10" i="4"/>
  <c r="J9" i="4"/>
  <c r="J8" i="4"/>
  <c r="J7" i="4"/>
  <c r="L22" i="2" l="1"/>
  <c r="L23" i="2"/>
  <c r="L24" i="2"/>
  <c r="L25" i="2"/>
  <c r="L26" i="2"/>
  <c r="L27" i="2"/>
  <c r="L28" i="2"/>
  <c r="L29" i="2"/>
  <c r="L30" i="2"/>
  <c r="L31" i="2"/>
  <c r="L32" i="2"/>
  <c r="L33" i="2"/>
  <c r="L34" i="2"/>
  <c r="L35" i="2"/>
  <c r="L36" i="2"/>
  <c r="L37" i="2"/>
  <c r="L38" i="2"/>
  <c r="L39" i="2"/>
  <c r="L40" i="2"/>
  <c r="L41" i="2"/>
  <c r="L42" i="2"/>
  <c r="L43" i="2"/>
  <c r="L44" i="2"/>
  <c r="L45" i="2"/>
  <c r="L47" i="2"/>
  <c r="L48" i="2"/>
  <c r="L49" i="2"/>
  <c r="L50" i="2"/>
  <c r="L51" i="2"/>
  <c r="L52" i="2"/>
  <c r="L53" i="2"/>
  <c r="L54" i="2"/>
  <c r="L55" i="2"/>
  <c r="L56" i="2"/>
  <c r="L57" i="2"/>
  <c r="L58" i="2"/>
  <c r="L59" i="2"/>
  <c r="L60" i="2"/>
  <c r="L61" i="2"/>
  <c r="L62" i="2"/>
  <c r="L63" i="2"/>
  <c r="L64" i="2"/>
  <c r="L65" i="2"/>
  <c r="L66" i="2"/>
  <c r="L67" i="2"/>
  <c r="L68" i="2"/>
  <c r="L69" i="2"/>
  <c r="L70" i="2"/>
  <c r="L71" i="2"/>
  <c r="L72" i="2"/>
  <c r="L73" i="2"/>
  <c r="L76" i="2"/>
  <c r="L78" i="2"/>
  <c r="L79" i="2"/>
  <c r="L80" i="2"/>
  <c r="L81" i="2"/>
  <c r="L82" i="2"/>
  <c r="L83" i="2"/>
  <c r="L84" i="2"/>
  <c r="L85" i="2"/>
  <c r="L86" i="2"/>
  <c r="L87" i="2"/>
  <c r="L88" i="2"/>
  <c r="L89" i="2"/>
  <c r="L90" i="2"/>
  <c r="L91" i="2"/>
  <c r="L92" i="2"/>
  <c r="L93" i="2"/>
  <c r="L94" i="2"/>
  <c r="L99" i="2"/>
  <c r="L103" i="2"/>
  <c r="L104" i="2"/>
  <c r="L105" i="2"/>
  <c r="L106" i="2"/>
  <c r="L107" i="2"/>
  <c r="L108" i="2"/>
  <c r="L109" i="2"/>
  <c r="L110" i="2"/>
  <c r="L111" i="2"/>
  <c r="L112" i="2"/>
  <c r="L113"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7" i="2"/>
  <c r="L188" i="2"/>
  <c r="L189" i="2"/>
  <c r="L190" i="2"/>
  <c r="L191" i="2"/>
  <c r="L192" i="2"/>
  <c r="L193" i="2"/>
  <c r="L194" i="2"/>
  <c r="L195" i="2"/>
  <c r="L196" i="2"/>
  <c r="L197" i="2"/>
  <c r="L198" i="2"/>
  <c r="L199" i="2"/>
  <c r="L200" i="2"/>
  <c r="L201" i="2"/>
  <c r="L202" i="2"/>
  <c r="L203" i="2"/>
  <c r="L204" i="2"/>
  <c r="L205"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I207" i="2"/>
  <c r="L207" i="2" s="1"/>
  <c r="I206" i="2"/>
  <c r="L206" i="2" s="1"/>
  <c r="I186" i="2"/>
  <c r="L186" i="2" s="1"/>
  <c r="I185" i="2"/>
  <c r="L185" i="2" s="1"/>
  <c r="I154" i="2"/>
  <c r="L154" i="2" s="1"/>
  <c r="I114" i="2"/>
  <c r="L114" i="2" s="1"/>
  <c r="I102" i="2"/>
  <c r="L102" i="2" s="1"/>
  <c r="I101" i="2"/>
  <c r="L101" i="2" s="1"/>
  <c r="I100" i="2"/>
  <c r="L100" i="2" s="1"/>
  <c r="I98" i="2"/>
  <c r="L98" i="2" s="1"/>
  <c r="I97" i="2"/>
  <c r="L97" i="2" s="1"/>
  <c r="I96" i="2"/>
  <c r="L96" i="2" s="1"/>
  <c r="I95" i="2"/>
  <c r="L95" i="2" s="1"/>
  <c r="I77" i="2"/>
  <c r="L77" i="2" s="1"/>
  <c r="I75" i="2"/>
  <c r="L75" i="2" s="1"/>
  <c r="I74" i="2"/>
  <c r="L74" i="2" s="1"/>
  <c r="J67" i="2"/>
  <c r="J255" i="2" s="1"/>
  <c r="I13" i="5" s="1"/>
  <c r="I46" i="2"/>
  <c r="L46" i="2" s="1"/>
  <c r="I14" i="2"/>
  <c r="I255" i="2" l="1"/>
  <c r="H13" i="5" s="1"/>
  <c r="M228" i="2"/>
  <c r="N228" i="2" s="1"/>
  <c r="P228" i="2" s="1"/>
  <c r="M62" i="2"/>
  <c r="N62" i="2" s="1"/>
  <c r="P62" i="2" s="1"/>
  <c r="M154" i="2"/>
  <c r="N154" i="2" s="1"/>
  <c r="P154" i="2" s="1"/>
  <c r="M174" i="2"/>
  <c r="N174" i="2" s="1"/>
  <c r="P174" i="2" s="1"/>
  <c r="M218" i="2"/>
  <c r="N218" i="2" s="1"/>
  <c r="P218" i="2" s="1"/>
  <c r="M238" i="2"/>
  <c r="N238" i="2" s="1"/>
  <c r="P238" i="2" s="1"/>
  <c r="M87" i="2"/>
  <c r="N87" i="2" s="1"/>
  <c r="P87" i="2" s="1"/>
  <c r="M107" i="2"/>
  <c r="N107" i="2" s="1"/>
  <c r="P107" i="2" s="1"/>
  <c r="M151" i="2"/>
  <c r="N151" i="2" s="1"/>
  <c r="P151" i="2" s="1"/>
  <c r="M191" i="2"/>
  <c r="N191" i="2" s="1"/>
  <c r="P191" i="2" s="1"/>
  <c r="M207" i="2"/>
  <c r="N207" i="2" s="1"/>
  <c r="P207" i="2" s="1"/>
  <c r="M223" i="2"/>
  <c r="N223" i="2" s="1"/>
  <c r="P223" i="2" s="1"/>
  <c r="M227" i="2"/>
  <c r="N227" i="2" s="1"/>
  <c r="P227" i="2" s="1"/>
  <c r="M239" i="2"/>
  <c r="N239" i="2" s="1"/>
  <c r="P239" i="2" s="1"/>
  <c r="M66" i="2"/>
  <c r="N66" i="2" s="1"/>
  <c r="P66" i="2" s="1"/>
  <c r="M138" i="2"/>
  <c r="N138" i="2" s="1"/>
  <c r="P138" i="2" s="1"/>
  <c r="M186" i="2"/>
  <c r="N186" i="2" s="1"/>
  <c r="P186" i="2" s="1"/>
  <c r="M206" i="2"/>
  <c r="N206" i="2" s="1"/>
  <c r="P206" i="2" s="1"/>
  <c r="M250" i="2"/>
  <c r="N250" i="2" s="1"/>
  <c r="P250" i="2" s="1"/>
  <c r="M55" i="2"/>
  <c r="N55" i="2" s="1"/>
  <c r="P55" i="2" s="1"/>
  <c r="M44" i="2"/>
  <c r="N44" i="2" s="1"/>
  <c r="P44" i="2" s="1"/>
  <c r="M216" i="2"/>
  <c r="N216" i="2" s="1"/>
  <c r="P216" i="2" s="1"/>
  <c r="M24" i="2"/>
  <c r="N24" i="2" s="1"/>
  <c r="P24" i="2" s="1"/>
  <c r="M36" i="2"/>
  <c r="N36" i="2" s="1"/>
  <c r="P36" i="2" s="1"/>
  <c r="M52" i="2"/>
  <c r="N52" i="2" s="1"/>
  <c r="P52" i="2" s="1"/>
  <c r="M68" i="2"/>
  <c r="N68" i="2" s="1"/>
  <c r="P68" i="2" s="1"/>
  <c r="M76" i="2"/>
  <c r="N76" i="2" s="1"/>
  <c r="P76" i="2" s="1"/>
  <c r="M84" i="2"/>
  <c r="N84" i="2" s="1"/>
  <c r="P84" i="2" s="1"/>
  <c r="M96" i="2"/>
  <c r="N96" i="2" s="1"/>
  <c r="P96" i="2" s="1"/>
  <c r="M108" i="2"/>
  <c r="N108" i="2" s="1"/>
  <c r="P108" i="2" s="1"/>
  <c r="M116" i="2"/>
  <c r="N116" i="2" s="1"/>
  <c r="P116" i="2" s="1"/>
  <c r="M120" i="2"/>
  <c r="N120" i="2" s="1"/>
  <c r="P120" i="2" s="1"/>
  <c r="M128" i="2"/>
  <c r="N128" i="2" s="1"/>
  <c r="P128" i="2" s="1"/>
  <c r="M132" i="2"/>
  <c r="N132" i="2" s="1"/>
  <c r="P132" i="2" s="1"/>
  <c r="M136" i="2"/>
  <c r="N136" i="2" s="1"/>
  <c r="P136" i="2" s="1"/>
  <c r="M140" i="2"/>
  <c r="N140" i="2" s="1"/>
  <c r="P140" i="2" s="1"/>
  <c r="M144" i="2"/>
  <c r="N144" i="2" s="1"/>
  <c r="P144" i="2" s="1"/>
  <c r="M148" i="2"/>
  <c r="N148" i="2" s="1"/>
  <c r="P148" i="2" s="1"/>
  <c r="M152" i="2"/>
  <c r="N152" i="2" s="1"/>
  <c r="P152" i="2" s="1"/>
  <c r="M156" i="2"/>
  <c r="N156" i="2" s="1"/>
  <c r="P156" i="2" s="1"/>
  <c r="M160" i="2"/>
  <c r="N160" i="2" s="1"/>
  <c r="P160" i="2" s="1"/>
  <c r="M168" i="2"/>
  <c r="N168" i="2" s="1"/>
  <c r="P168" i="2" s="1"/>
  <c r="M172" i="2"/>
  <c r="N172" i="2" s="1"/>
  <c r="P172" i="2" s="1"/>
  <c r="M176" i="2"/>
  <c r="N176" i="2" s="1"/>
  <c r="P176" i="2" s="1"/>
  <c r="M180" i="2"/>
  <c r="N180" i="2" s="1"/>
  <c r="P180" i="2" s="1"/>
  <c r="M184" i="2"/>
  <c r="N184" i="2" s="1"/>
  <c r="P184" i="2" s="1"/>
  <c r="M188" i="2"/>
  <c r="N188" i="2" s="1"/>
  <c r="P188" i="2" s="1"/>
  <c r="M192" i="2"/>
  <c r="N192" i="2" s="1"/>
  <c r="P192" i="2" s="1"/>
  <c r="M196" i="2"/>
  <c r="N196" i="2" s="1"/>
  <c r="P196" i="2" s="1"/>
  <c r="M200" i="2"/>
  <c r="N200" i="2" s="1"/>
  <c r="P200" i="2" s="1"/>
  <c r="M204" i="2"/>
  <c r="N204" i="2" s="1"/>
  <c r="P204" i="2" s="1"/>
  <c r="M208" i="2"/>
  <c r="N208" i="2" s="1"/>
  <c r="P208" i="2" s="1"/>
  <c r="M212" i="2"/>
  <c r="N212" i="2" s="1"/>
  <c r="P212" i="2" s="1"/>
  <c r="M220" i="2"/>
  <c r="N220" i="2" s="1"/>
  <c r="P220" i="2" s="1"/>
  <c r="M224" i="2"/>
  <c r="N224" i="2" s="1"/>
  <c r="P224" i="2" s="1"/>
  <c r="M232" i="2"/>
  <c r="N232" i="2" s="1"/>
  <c r="P232" i="2" s="1"/>
  <c r="M236" i="2"/>
  <c r="N236" i="2" s="1"/>
  <c r="P236" i="2" s="1"/>
  <c r="M240" i="2"/>
  <c r="N240" i="2" s="1"/>
  <c r="P240" i="2" s="1"/>
  <c r="M244" i="2"/>
  <c r="N244" i="2" s="1"/>
  <c r="P244" i="2" s="1"/>
  <c r="M248" i="2"/>
  <c r="N248" i="2" s="1"/>
  <c r="P248" i="2" s="1"/>
  <c r="M252" i="2"/>
  <c r="N252" i="2" s="1"/>
  <c r="P252" i="2" s="1"/>
  <c r="M28" i="2"/>
  <c r="N28" i="2" s="1"/>
  <c r="P28" i="2" s="1"/>
  <c r="M32" i="2"/>
  <c r="N32" i="2" s="1"/>
  <c r="P32" i="2" s="1"/>
  <c r="M40" i="2"/>
  <c r="N40" i="2" s="1"/>
  <c r="P40" i="2" s="1"/>
  <c r="M48" i="2"/>
  <c r="N48" i="2" s="1"/>
  <c r="P48" i="2" s="1"/>
  <c r="M56" i="2"/>
  <c r="N56" i="2" s="1"/>
  <c r="P56" i="2" s="1"/>
  <c r="M60" i="2"/>
  <c r="N60" i="2" s="1"/>
  <c r="P60" i="2" s="1"/>
  <c r="M64" i="2"/>
  <c r="N64" i="2" s="1"/>
  <c r="P64" i="2" s="1"/>
  <c r="M72" i="2"/>
  <c r="N72" i="2" s="1"/>
  <c r="P72" i="2" s="1"/>
  <c r="M80" i="2"/>
  <c r="N80" i="2" s="1"/>
  <c r="P80" i="2" s="1"/>
  <c r="M88" i="2"/>
  <c r="N88" i="2" s="1"/>
  <c r="P88" i="2" s="1"/>
  <c r="M92" i="2"/>
  <c r="N92" i="2" s="1"/>
  <c r="P92" i="2" s="1"/>
  <c r="M100" i="2"/>
  <c r="N100" i="2" s="1"/>
  <c r="P100" i="2" s="1"/>
  <c r="M104" i="2"/>
  <c r="N104" i="2" s="1"/>
  <c r="P104" i="2" s="1"/>
  <c r="M112" i="2"/>
  <c r="N112" i="2" s="1"/>
  <c r="P112" i="2" s="1"/>
  <c r="M124" i="2"/>
  <c r="N124" i="2" s="1"/>
  <c r="P124" i="2" s="1"/>
  <c r="M39" i="2"/>
  <c r="N39" i="2" s="1"/>
  <c r="P39" i="2" s="1"/>
  <c r="M51" i="2"/>
  <c r="N51" i="2" s="1"/>
  <c r="P51" i="2" s="1"/>
  <c r="M71" i="2"/>
  <c r="N71" i="2" s="1"/>
  <c r="P71" i="2" s="1"/>
  <c r="M83" i="2"/>
  <c r="N83" i="2" s="1"/>
  <c r="P83" i="2" s="1"/>
  <c r="M103" i="2"/>
  <c r="N103" i="2" s="1"/>
  <c r="P103" i="2" s="1"/>
  <c r="M115" i="2"/>
  <c r="N115" i="2" s="1"/>
  <c r="P115" i="2" s="1"/>
  <c r="M119" i="2"/>
  <c r="N119" i="2" s="1"/>
  <c r="P119" i="2" s="1"/>
  <c r="M123" i="2"/>
  <c r="N123" i="2" s="1"/>
  <c r="P123" i="2" s="1"/>
  <c r="M135" i="2"/>
  <c r="N135" i="2" s="1"/>
  <c r="P135" i="2" s="1"/>
  <c r="M139" i="2"/>
  <c r="N139" i="2" s="1"/>
  <c r="P139" i="2" s="1"/>
  <c r="M143" i="2"/>
  <c r="N143" i="2" s="1"/>
  <c r="P143" i="2" s="1"/>
  <c r="M159" i="2"/>
  <c r="N159" i="2" s="1"/>
  <c r="P159" i="2" s="1"/>
  <c r="M163" i="2"/>
  <c r="N163" i="2" s="1"/>
  <c r="P163" i="2" s="1"/>
  <c r="M167" i="2"/>
  <c r="N167" i="2" s="1"/>
  <c r="P167" i="2" s="1"/>
  <c r="M175" i="2"/>
  <c r="N175" i="2" s="1"/>
  <c r="P175" i="2" s="1"/>
  <c r="M179" i="2"/>
  <c r="N179" i="2" s="1"/>
  <c r="P179" i="2" s="1"/>
  <c r="M183" i="2"/>
  <c r="N183" i="2" s="1"/>
  <c r="P183" i="2" s="1"/>
  <c r="M195" i="2"/>
  <c r="N195" i="2" s="1"/>
  <c r="P195" i="2" s="1"/>
  <c r="M199" i="2"/>
  <c r="N199" i="2" s="1"/>
  <c r="P199" i="2" s="1"/>
  <c r="M211" i="2"/>
  <c r="N211" i="2" s="1"/>
  <c r="P211" i="2" s="1"/>
  <c r="M215" i="2"/>
  <c r="N215" i="2" s="1"/>
  <c r="P215" i="2" s="1"/>
  <c r="M231" i="2"/>
  <c r="N231" i="2" s="1"/>
  <c r="P231" i="2" s="1"/>
  <c r="M243" i="2"/>
  <c r="N243" i="2" s="1"/>
  <c r="P243" i="2" s="1"/>
  <c r="M247" i="2"/>
  <c r="N247" i="2" s="1"/>
  <c r="P247" i="2" s="1"/>
  <c r="M50" i="2"/>
  <c r="N50" i="2" s="1"/>
  <c r="P50" i="2" s="1"/>
  <c r="M78" i="2"/>
  <c r="N78" i="2" s="1"/>
  <c r="P78" i="2" s="1"/>
  <c r="M82" i="2"/>
  <c r="N82" i="2" s="1"/>
  <c r="P82" i="2" s="1"/>
  <c r="M110" i="2"/>
  <c r="N110" i="2" s="1"/>
  <c r="P110" i="2" s="1"/>
  <c r="M134" i="2"/>
  <c r="N134" i="2" s="1"/>
  <c r="P134" i="2" s="1"/>
  <c r="M150" i="2"/>
  <c r="N150" i="2" s="1"/>
  <c r="P150" i="2" s="1"/>
  <c r="M162" i="2"/>
  <c r="N162" i="2" s="1"/>
  <c r="P162" i="2" s="1"/>
  <c r="M166" i="2"/>
  <c r="N166" i="2" s="1"/>
  <c r="P166" i="2" s="1"/>
  <c r="M178" i="2"/>
  <c r="N178" i="2" s="1"/>
  <c r="P178" i="2" s="1"/>
  <c r="M182" i="2"/>
  <c r="N182" i="2" s="1"/>
  <c r="P182" i="2" s="1"/>
  <c r="M194" i="2"/>
  <c r="N194" i="2" s="1"/>
  <c r="P194" i="2" s="1"/>
  <c r="M198" i="2"/>
  <c r="N198" i="2" s="1"/>
  <c r="P198" i="2" s="1"/>
  <c r="M210" i="2"/>
  <c r="N210" i="2" s="1"/>
  <c r="P210" i="2" s="1"/>
  <c r="M214" i="2"/>
  <c r="N214" i="2" s="1"/>
  <c r="P214" i="2" s="1"/>
  <c r="M226" i="2"/>
  <c r="N226" i="2" s="1"/>
  <c r="P226" i="2" s="1"/>
  <c r="M230" i="2"/>
  <c r="N230" i="2" s="1"/>
  <c r="P230" i="2" s="1"/>
  <c r="M242" i="2"/>
  <c r="N242" i="2" s="1"/>
  <c r="P242" i="2" s="1"/>
  <c r="M246" i="2"/>
  <c r="N246" i="2" s="1"/>
  <c r="P246" i="2" s="1"/>
  <c r="M164" i="2"/>
  <c r="N164" i="2" s="1"/>
  <c r="P164" i="2" s="1"/>
  <c r="M46" i="2"/>
  <c r="N46" i="2" s="1"/>
  <c r="P46" i="2" s="1"/>
  <c r="M35" i="2"/>
  <c r="N35" i="2" s="1"/>
  <c r="P35" i="2" s="1"/>
  <c r="M67" i="2"/>
  <c r="N67" i="2" s="1"/>
  <c r="P67" i="2" s="1"/>
  <c r="M99" i="2"/>
  <c r="N99" i="2" s="1"/>
  <c r="P99" i="2" s="1"/>
  <c r="M127" i="2"/>
  <c r="N127" i="2" s="1"/>
  <c r="P127" i="2" s="1"/>
  <c r="M171" i="2"/>
  <c r="N171" i="2" s="1"/>
  <c r="P171" i="2" s="1"/>
  <c r="M187" i="2"/>
  <c r="N187" i="2" s="1"/>
  <c r="P187" i="2" s="1"/>
  <c r="M203" i="2"/>
  <c r="N203" i="2" s="1"/>
  <c r="P203" i="2" s="1"/>
  <c r="M219" i="2"/>
  <c r="N219" i="2" s="1"/>
  <c r="P219" i="2" s="1"/>
  <c r="M235" i="2"/>
  <c r="N235" i="2" s="1"/>
  <c r="P235" i="2" s="1"/>
  <c r="M251" i="2"/>
  <c r="N251" i="2" s="1"/>
  <c r="P251" i="2" s="1"/>
  <c r="M30" i="2"/>
  <c r="N30" i="2" s="1"/>
  <c r="P30" i="2" s="1"/>
  <c r="M34" i="2"/>
  <c r="N34" i="2" s="1"/>
  <c r="P34" i="2" s="1"/>
  <c r="M94" i="2"/>
  <c r="N94" i="2" s="1"/>
  <c r="P94" i="2" s="1"/>
  <c r="M98" i="2"/>
  <c r="N98" i="2" s="1"/>
  <c r="P98" i="2" s="1"/>
  <c r="M114" i="2"/>
  <c r="N114" i="2" s="1"/>
  <c r="P114" i="2" s="1"/>
  <c r="M122" i="2"/>
  <c r="N122" i="2" s="1"/>
  <c r="P122" i="2" s="1"/>
  <c r="M130" i="2"/>
  <c r="N130" i="2" s="1"/>
  <c r="P130" i="2" s="1"/>
  <c r="M146" i="2"/>
  <c r="N146" i="2" s="1"/>
  <c r="P146" i="2" s="1"/>
  <c r="M158" i="2"/>
  <c r="N158" i="2" s="1"/>
  <c r="P158" i="2" s="1"/>
  <c r="M170" i="2"/>
  <c r="N170" i="2" s="1"/>
  <c r="P170" i="2" s="1"/>
  <c r="M190" i="2"/>
  <c r="N190" i="2" s="1"/>
  <c r="P190" i="2" s="1"/>
  <c r="M202" i="2"/>
  <c r="N202" i="2" s="1"/>
  <c r="P202" i="2" s="1"/>
  <c r="M222" i="2"/>
  <c r="N222" i="2" s="1"/>
  <c r="P222" i="2" s="1"/>
  <c r="M234" i="2"/>
  <c r="N234" i="2" s="1"/>
  <c r="P234" i="2" s="1"/>
  <c r="M254" i="2"/>
  <c r="N254" i="2" s="1"/>
  <c r="P254" i="2" s="1"/>
  <c r="M155" i="2"/>
  <c r="N155" i="2" s="1"/>
  <c r="P155" i="2" s="1"/>
  <c r="M26" i="2"/>
  <c r="N26" i="2" s="1"/>
  <c r="P26" i="2" s="1"/>
  <c r="M38" i="2"/>
  <c r="N38" i="2" s="1"/>
  <c r="P38" i="2" s="1"/>
  <c r="M42" i="2"/>
  <c r="N42" i="2" s="1"/>
  <c r="P42" i="2" s="1"/>
  <c r="M54" i="2"/>
  <c r="N54" i="2" s="1"/>
  <c r="P54" i="2" s="1"/>
  <c r="M58" i="2"/>
  <c r="N58" i="2" s="1"/>
  <c r="P58" i="2" s="1"/>
  <c r="M70" i="2"/>
  <c r="N70" i="2" s="1"/>
  <c r="P70" i="2" s="1"/>
  <c r="M74" i="2"/>
  <c r="N74" i="2" s="1"/>
  <c r="P74" i="2" s="1"/>
  <c r="M86" i="2"/>
  <c r="N86" i="2" s="1"/>
  <c r="P86" i="2" s="1"/>
  <c r="M90" i="2"/>
  <c r="N90" i="2" s="1"/>
  <c r="P90" i="2" s="1"/>
  <c r="M102" i="2"/>
  <c r="N102" i="2" s="1"/>
  <c r="P102" i="2" s="1"/>
  <c r="M106" i="2"/>
  <c r="N106" i="2" s="1"/>
  <c r="P106" i="2" s="1"/>
  <c r="M118" i="2"/>
  <c r="N118" i="2" s="1"/>
  <c r="P118" i="2" s="1"/>
  <c r="M126" i="2"/>
  <c r="N126" i="2" s="1"/>
  <c r="P126" i="2" s="1"/>
  <c r="M142" i="2"/>
  <c r="N142" i="2" s="1"/>
  <c r="P142" i="2" s="1"/>
  <c r="M27" i="2"/>
  <c r="N27" i="2" s="1"/>
  <c r="P27" i="2" s="1"/>
  <c r="M31" i="2"/>
  <c r="N31" i="2" s="1"/>
  <c r="P31" i="2" s="1"/>
  <c r="M43" i="2"/>
  <c r="N43" i="2" s="1"/>
  <c r="P43" i="2" s="1"/>
  <c r="M47" i="2"/>
  <c r="N47" i="2" s="1"/>
  <c r="P47" i="2" s="1"/>
  <c r="M59" i="2"/>
  <c r="N59" i="2" s="1"/>
  <c r="P59" i="2" s="1"/>
  <c r="M63" i="2"/>
  <c r="N63" i="2" s="1"/>
  <c r="P63" i="2" s="1"/>
  <c r="M75" i="2"/>
  <c r="N75" i="2" s="1"/>
  <c r="P75" i="2" s="1"/>
  <c r="M79" i="2"/>
  <c r="N79" i="2" s="1"/>
  <c r="P79" i="2" s="1"/>
  <c r="M91" i="2"/>
  <c r="N91" i="2" s="1"/>
  <c r="P91" i="2" s="1"/>
  <c r="M95" i="2"/>
  <c r="N95" i="2" s="1"/>
  <c r="P95" i="2" s="1"/>
  <c r="M111" i="2"/>
  <c r="N111" i="2" s="1"/>
  <c r="P111" i="2" s="1"/>
  <c r="M131" i="2"/>
  <c r="N131" i="2" s="1"/>
  <c r="P131" i="2" s="1"/>
  <c r="M147" i="2"/>
  <c r="N147" i="2" s="1"/>
  <c r="P147" i="2" s="1"/>
  <c r="M121" i="2"/>
  <c r="N121" i="2" s="1"/>
  <c r="P121" i="2" s="1"/>
  <c r="M109" i="2"/>
  <c r="N109" i="2" s="1"/>
  <c r="P109" i="2" s="1"/>
  <c r="M97" i="2"/>
  <c r="N97" i="2" s="1"/>
  <c r="P97" i="2" s="1"/>
  <c r="M89" i="2"/>
  <c r="N89" i="2" s="1"/>
  <c r="P89" i="2" s="1"/>
  <c r="M77" i="2"/>
  <c r="N77" i="2" s="1"/>
  <c r="P77" i="2" s="1"/>
  <c r="M73" i="2"/>
  <c r="N73" i="2" s="1"/>
  <c r="P73" i="2" s="1"/>
  <c r="M65" i="2"/>
  <c r="N65" i="2" s="1"/>
  <c r="P65" i="2" s="1"/>
  <c r="M57" i="2"/>
  <c r="N57" i="2" s="1"/>
  <c r="P57" i="2" s="1"/>
  <c r="M45" i="2"/>
  <c r="N45" i="2" s="1"/>
  <c r="P45" i="2" s="1"/>
  <c r="M37" i="2"/>
  <c r="N37" i="2" s="1"/>
  <c r="P37" i="2" s="1"/>
  <c r="M25" i="2"/>
  <c r="N25" i="2" s="1"/>
  <c r="P25" i="2" s="1"/>
  <c r="M125" i="2"/>
  <c r="N125" i="2" s="1"/>
  <c r="P125" i="2" s="1"/>
  <c r="M117" i="2"/>
  <c r="N117" i="2" s="1"/>
  <c r="P117" i="2" s="1"/>
  <c r="M113" i="2"/>
  <c r="N113" i="2" s="1"/>
  <c r="P113" i="2" s="1"/>
  <c r="M101" i="2"/>
  <c r="N101" i="2" s="1"/>
  <c r="P101" i="2" s="1"/>
  <c r="M93" i="2"/>
  <c r="N93" i="2" s="1"/>
  <c r="P93" i="2" s="1"/>
  <c r="M85" i="2"/>
  <c r="N85" i="2" s="1"/>
  <c r="P85" i="2" s="1"/>
  <c r="M81" i="2"/>
  <c r="N81" i="2" s="1"/>
  <c r="P81" i="2" s="1"/>
  <c r="M69" i="2"/>
  <c r="N69" i="2" s="1"/>
  <c r="P69" i="2" s="1"/>
  <c r="M61" i="2"/>
  <c r="N61" i="2" s="1"/>
  <c r="P61" i="2" s="1"/>
  <c r="M53" i="2"/>
  <c r="N53" i="2" s="1"/>
  <c r="P53" i="2" s="1"/>
  <c r="M49" i="2"/>
  <c r="N49" i="2" s="1"/>
  <c r="P49" i="2" s="1"/>
  <c r="M41" i="2"/>
  <c r="N41" i="2" s="1"/>
  <c r="P41" i="2" s="1"/>
  <c r="M29" i="2"/>
  <c r="N29" i="2" s="1"/>
  <c r="P29" i="2" s="1"/>
  <c r="M105" i="2"/>
  <c r="N105" i="2" s="1"/>
  <c r="P105" i="2" s="1"/>
  <c r="M33" i="2"/>
  <c r="N33" i="2" s="1"/>
  <c r="P33" i="2" s="1"/>
  <c r="M253" i="2"/>
  <c r="N253" i="2" s="1"/>
  <c r="P253" i="2" s="1"/>
  <c r="M249" i="2"/>
  <c r="N249" i="2" s="1"/>
  <c r="P249" i="2" s="1"/>
  <c r="M245" i="2"/>
  <c r="N245" i="2" s="1"/>
  <c r="P245" i="2" s="1"/>
  <c r="M241" i="2"/>
  <c r="N241" i="2" s="1"/>
  <c r="P241" i="2" s="1"/>
  <c r="M237" i="2"/>
  <c r="N237" i="2" s="1"/>
  <c r="P237" i="2" s="1"/>
  <c r="M233" i="2"/>
  <c r="N233" i="2" s="1"/>
  <c r="P233" i="2" s="1"/>
  <c r="M229" i="2"/>
  <c r="N229" i="2" s="1"/>
  <c r="P229" i="2" s="1"/>
  <c r="M225" i="2"/>
  <c r="N225" i="2" s="1"/>
  <c r="P225" i="2" s="1"/>
  <c r="M221" i="2"/>
  <c r="N221" i="2" s="1"/>
  <c r="P221" i="2" s="1"/>
  <c r="M217" i="2"/>
  <c r="N217" i="2" s="1"/>
  <c r="P217" i="2" s="1"/>
  <c r="M213" i="2"/>
  <c r="N213" i="2" s="1"/>
  <c r="P213" i="2" s="1"/>
  <c r="M209" i="2"/>
  <c r="N209" i="2" s="1"/>
  <c r="P209" i="2" s="1"/>
  <c r="M205" i="2"/>
  <c r="N205" i="2" s="1"/>
  <c r="P205" i="2" s="1"/>
  <c r="M201" i="2"/>
  <c r="N201" i="2" s="1"/>
  <c r="P201" i="2" s="1"/>
  <c r="M197" i="2"/>
  <c r="N197" i="2" s="1"/>
  <c r="P197" i="2" s="1"/>
  <c r="M193" i="2"/>
  <c r="N193" i="2" s="1"/>
  <c r="P193" i="2" s="1"/>
  <c r="M189" i="2"/>
  <c r="N189" i="2" s="1"/>
  <c r="P189" i="2" s="1"/>
  <c r="M185" i="2"/>
  <c r="N185" i="2" s="1"/>
  <c r="P185" i="2" s="1"/>
  <c r="M181" i="2"/>
  <c r="N181" i="2" s="1"/>
  <c r="P181" i="2" s="1"/>
  <c r="M177" i="2"/>
  <c r="N177" i="2" s="1"/>
  <c r="P177" i="2" s="1"/>
  <c r="M173" i="2"/>
  <c r="N173" i="2" s="1"/>
  <c r="P173" i="2" s="1"/>
  <c r="M169" i="2"/>
  <c r="N169" i="2" s="1"/>
  <c r="P169" i="2" s="1"/>
  <c r="M165" i="2"/>
  <c r="N165" i="2" s="1"/>
  <c r="P165" i="2" s="1"/>
  <c r="M161" i="2"/>
  <c r="N161" i="2" s="1"/>
  <c r="P161" i="2" s="1"/>
  <c r="M157" i="2"/>
  <c r="N157" i="2" s="1"/>
  <c r="P157" i="2" s="1"/>
  <c r="M153" i="2"/>
  <c r="N153" i="2" s="1"/>
  <c r="P153" i="2" s="1"/>
  <c r="M149" i="2"/>
  <c r="N149" i="2" s="1"/>
  <c r="P149" i="2" s="1"/>
  <c r="M145" i="2"/>
  <c r="N145" i="2" s="1"/>
  <c r="P145" i="2" s="1"/>
  <c r="M141" i="2"/>
  <c r="N141" i="2" s="1"/>
  <c r="P141" i="2" s="1"/>
  <c r="M137" i="2"/>
  <c r="N137" i="2" s="1"/>
  <c r="P137" i="2" s="1"/>
  <c r="M133" i="2"/>
  <c r="N133" i="2" s="1"/>
  <c r="P133" i="2" s="1"/>
  <c r="M129" i="2"/>
  <c r="N129" i="2" s="1"/>
  <c r="P129" i="2" s="1"/>
  <c r="F5" i="2" l="1"/>
  <c r="F6" i="2"/>
  <c r="F7" i="2"/>
  <c r="F8" i="2"/>
  <c r="F9" i="2"/>
  <c r="F10" i="2"/>
  <c r="F11" i="2"/>
  <c r="F12" i="2"/>
  <c r="F13" i="2"/>
  <c r="F14" i="2"/>
  <c r="F15" i="2"/>
  <c r="F16" i="2"/>
  <c r="F17" i="2"/>
  <c r="F18" i="2"/>
  <c r="F19" i="2"/>
  <c r="F20" i="2"/>
  <c r="F21" i="2"/>
  <c r="F22" i="2"/>
  <c r="M22" i="2" s="1"/>
  <c r="N22" i="2" s="1"/>
  <c r="P22" i="2" s="1"/>
  <c r="F23" i="2"/>
  <c r="M23" i="2" s="1"/>
  <c r="N23" i="2" s="1"/>
  <c r="P23" i="2" s="1"/>
  <c r="F4" i="2"/>
  <c r="L21" i="2" l="1"/>
  <c r="L20" i="2"/>
  <c r="H20" i="2"/>
  <c r="L19" i="2"/>
  <c r="H19" i="2"/>
  <c r="L18" i="2"/>
  <c r="H18" i="2"/>
  <c r="L17" i="2"/>
  <c r="H17" i="2"/>
  <c r="L16" i="2"/>
  <c r="H16" i="2"/>
  <c r="L15" i="2"/>
  <c r="H15" i="2"/>
  <c r="L14" i="2"/>
  <c r="H14" i="2"/>
  <c r="L13" i="2"/>
  <c r="H13" i="2"/>
  <c r="L12" i="2"/>
  <c r="H12" i="2"/>
  <c r="L11" i="2"/>
  <c r="H11" i="2"/>
  <c r="L10" i="2"/>
  <c r="H10" i="2"/>
  <c r="L9" i="2"/>
  <c r="H9" i="2"/>
  <c r="L8" i="2"/>
  <c r="H8" i="2"/>
  <c r="L7" i="2"/>
  <c r="H7" i="2"/>
  <c r="L6" i="2"/>
  <c r="H6" i="2"/>
  <c r="L5" i="2"/>
  <c r="H5" i="2"/>
  <c r="L4" i="2"/>
  <c r="H4" i="2"/>
  <c r="L255" i="2" l="1"/>
  <c r="J13" i="5" s="1"/>
  <c r="M21" i="2"/>
  <c r="N21" i="2" s="1"/>
  <c r="P21" i="2" s="1"/>
  <c r="M6" i="2"/>
  <c r="N6" i="2" s="1"/>
  <c r="P6" i="2" s="1"/>
  <c r="M10" i="2"/>
  <c r="N10" i="2" s="1"/>
  <c r="P10" i="2" s="1"/>
  <c r="M14" i="2"/>
  <c r="N14" i="2" s="1"/>
  <c r="P14" i="2" s="1"/>
  <c r="M18" i="2"/>
  <c r="N18" i="2" s="1"/>
  <c r="P18" i="2" s="1"/>
  <c r="M5" i="2"/>
  <c r="N5" i="2" s="1"/>
  <c r="P5" i="2" s="1"/>
  <c r="M9" i="2"/>
  <c r="N9" i="2" s="1"/>
  <c r="P9" i="2" s="1"/>
  <c r="M13" i="2"/>
  <c r="N13" i="2" s="1"/>
  <c r="P13" i="2" s="1"/>
  <c r="M17" i="2"/>
  <c r="N17" i="2" s="1"/>
  <c r="P17" i="2" s="1"/>
  <c r="M4" i="2"/>
  <c r="M8" i="2"/>
  <c r="N8" i="2" s="1"/>
  <c r="P8" i="2" s="1"/>
  <c r="M12" i="2"/>
  <c r="N12" i="2" s="1"/>
  <c r="P12" i="2" s="1"/>
  <c r="M16" i="2"/>
  <c r="N16" i="2" s="1"/>
  <c r="P16" i="2" s="1"/>
  <c r="M20" i="2"/>
  <c r="N20" i="2" s="1"/>
  <c r="P20" i="2" s="1"/>
  <c r="M7" i="2"/>
  <c r="N7" i="2" s="1"/>
  <c r="P7" i="2" s="1"/>
  <c r="M11" i="2"/>
  <c r="N11" i="2" s="1"/>
  <c r="P11" i="2" s="1"/>
  <c r="M15" i="2"/>
  <c r="N15" i="2" s="1"/>
  <c r="P15" i="2" s="1"/>
  <c r="M19" i="2"/>
  <c r="N19" i="2" s="1"/>
  <c r="P19" i="2" s="1"/>
  <c r="N4" i="2" l="1"/>
  <c r="D251" i="1"/>
  <c r="D250" i="1"/>
  <c r="D223" i="1"/>
  <c r="D222" i="1"/>
  <c r="D182" i="1"/>
  <c r="D134" i="1"/>
  <c r="D119" i="1"/>
  <c r="D118" i="1"/>
  <c r="D117" i="1"/>
  <c r="D115" i="1"/>
  <c r="D114" i="1"/>
  <c r="D113" i="1"/>
  <c r="D112" i="1"/>
  <c r="D91" i="1"/>
  <c r="D89" i="1"/>
  <c r="D88" i="1"/>
  <c r="E80" i="1"/>
  <c r="E302" i="1" s="1"/>
  <c r="D53" i="1"/>
  <c r="D17" i="1"/>
  <c r="D302" i="1" l="1"/>
  <c r="P4" i="2"/>
  <c r="P255" i="2" l="1"/>
  <c r="K13" i="5" s="1"/>
</calcChain>
</file>

<file path=xl/sharedStrings.xml><?xml version="1.0" encoding="utf-8"?>
<sst xmlns="http://schemas.openxmlformats.org/spreadsheetml/2006/main" count="715" uniqueCount="211">
  <si>
    <t>NIRMAL WIRES PVT. LTD.</t>
  </si>
  <si>
    <t>PLANT &amp; MACHINERY</t>
  </si>
  <si>
    <t>DEULTI</t>
  </si>
  <si>
    <t>Mac. #</t>
  </si>
  <si>
    <t>ASSET NAME</t>
  </si>
  <si>
    <t>Date of Purchase</t>
  </si>
  <si>
    <t>Original Cost (Rs)</t>
  </si>
  <si>
    <t>WDV as on 31-3-20</t>
  </si>
  <si>
    <t>Spools</t>
  </si>
  <si>
    <t>Spooling Machine</t>
  </si>
  <si>
    <t>Spooling Machines</t>
  </si>
  <si>
    <t>Stranding Machines</t>
  </si>
  <si>
    <t>Stranding Machines- 3 Ply</t>
  </si>
  <si>
    <t>Stranding Machines- 19 Ply</t>
  </si>
  <si>
    <t>Strand Pickling Machines</t>
  </si>
  <si>
    <t>Stress Reliving Plants</t>
  </si>
  <si>
    <t>Stress Releiving Plants</t>
  </si>
  <si>
    <t>Wire Drawing Machines</t>
  </si>
  <si>
    <t>Wire Drawing Machine 8</t>
  </si>
  <si>
    <t>Wire Drawing Machine 7</t>
  </si>
  <si>
    <t>Wire Drawing Machine</t>
  </si>
  <si>
    <t>Wire Drawing Machine 9</t>
  </si>
  <si>
    <t>Barbed Wire Machine</t>
  </si>
  <si>
    <t>Galvanising Plant</t>
  </si>
  <si>
    <t>Producer Gas Plant</t>
  </si>
  <si>
    <t>Packing Line</t>
  </si>
  <si>
    <t>Conveyor</t>
  </si>
  <si>
    <t>Aluminium Division</t>
  </si>
  <si>
    <t>Aluminium Section 7 Ply I</t>
  </si>
  <si>
    <t>Aluminium Section 7 Ply II</t>
  </si>
  <si>
    <t>Electrical Installation (Led)</t>
  </si>
  <si>
    <t>Electrical Installation (LED)</t>
  </si>
  <si>
    <t>Electrical Installation</t>
  </si>
  <si>
    <t>Acid Storage Tank</t>
  </si>
  <si>
    <t>Air Compressor</t>
  </si>
  <si>
    <t>Lab Equipments</t>
  </si>
  <si>
    <t>Pumps</t>
  </si>
  <si>
    <t>Cooling Towers</t>
  </si>
  <si>
    <t>Cooling Tower</t>
  </si>
  <si>
    <t>Fire Fighting Instruments</t>
  </si>
  <si>
    <t>Weighbridge</t>
  </si>
  <si>
    <t>Electronic Weighing Machine</t>
  </si>
  <si>
    <t>Pipe &amp; Pipe Fittings</t>
  </si>
  <si>
    <t>Eot Crane</t>
  </si>
  <si>
    <t>Crane Support Structure</t>
  </si>
  <si>
    <t>Effluent Treatment Plant</t>
  </si>
  <si>
    <t>Water Circulation Systems</t>
  </si>
  <si>
    <t>Water Pipelines</t>
  </si>
  <si>
    <t>Water Softening Plants</t>
  </si>
  <si>
    <t>Semi Grantry Crane</t>
  </si>
  <si>
    <t>Semi Gantry Crane</t>
  </si>
  <si>
    <t>Strapping Machines</t>
  </si>
  <si>
    <t>Slotted Angle Rack</t>
  </si>
  <si>
    <t>DG Set</t>
  </si>
  <si>
    <t>LPG Bank</t>
  </si>
  <si>
    <t>Tools &amp; Tackles</t>
  </si>
  <si>
    <t>Scrap Reclaimation</t>
  </si>
  <si>
    <t>Tower Extension</t>
  </si>
  <si>
    <t>Electric Hoist (1Ton)</t>
  </si>
  <si>
    <t>Electric Hoist (2Ton)</t>
  </si>
  <si>
    <t>Forklift</t>
  </si>
  <si>
    <t>Battery Operated Stacker</t>
  </si>
  <si>
    <t>7 PLY 3</t>
  </si>
  <si>
    <t>7 PLY 5</t>
  </si>
  <si>
    <t>Bobbin DIN 1120- 4PC</t>
  </si>
  <si>
    <t>Butt Welding Machine - 2 PC</t>
  </si>
  <si>
    <t>Cold Pressure Butt Welding Machine- 3 PC</t>
  </si>
  <si>
    <t>Aluminium 37 Strand</t>
  </si>
  <si>
    <t>Phosphate tank</t>
  </si>
  <si>
    <t>Electronic Weighing Scale</t>
  </si>
  <si>
    <t>Lighting work done on Cranse Support Structure</t>
  </si>
  <si>
    <t>Bobbin DIN 1250-8 PC</t>
  </si>
  <si>
    <t>Aluminium 7 Ply</t>
  </si>
  <si>
    <t>spooling machine</t>
  </si>
  <si>
    <t>Bobbin DIN 630-20 PC</t>
  </si>
  <si>
    <t>Nitrogen compressor</t>
  </si>
  <si>
    <t>Lathe Machine</t>
  </si>
  <si>
    <t>Wire brushing Machine</t>
  </si>
  <si>
    <t>Wire Printer</t>
  </si>
  <si>
    <t>Moror &amp; Civil Work for Tank extension-Hilti in ETP</t>
  </si>
  <si>
    <t>Additional Work in CSS</t>
  </si>
  <si>
    <t>Electronic Weighing Scale and Safety cage wheel</t>
  </si>
  <si>
    <t>Thermopack</t>
  </si>
  <si>
    <t>B3 Compressor</t>
  </si>
  <si>
    <t>RI/O panel for Strand Pickling PLC</t>
  </si>
  <si>
    <t>Wire Drawing Machine 13 blocker</t>
  </si>
  <si>
    <t>Electrical Installation in works place</t>
  </si>
  <si>
    <t>Air Circuit Breaker</t>
  </si>
  <si>
    <t>Electrical Installation in Panel room</t>
  </si>
  <si>
    <t>Electrical Installation in PDB 7</t>
  </si>
  <si>
    <t>TOTAL</t>
  </si>
  <si>
    <t>S. No.</t>
  </si>
  <si>
    <t>Description of Fixed Assets</t>
  </si>
  <si>
    <t>Year of Purchase / Installation</t>
  </si>
  <si>
    <t>Date of Valuation</t>
  </si>
  <si>
    <r>
      <t xml:space="preserve">Consumed Life
</t>
    </r>
    <r>
      <rPr>
        <i/>
        <sz val="10"/>
        <rFont val="Calibri"/>
        <family val="2"/>
        <scheme val="minor"/>
      </rPr>
      <t>(in years)</t>
    </r>
  </si>
  <si>
    <r>
      <t xml:space="preserve">Economic Life
</t>
    </r>
    <r>
      <rPr>
        <i/>
        <sz val="10"/>
        <rFont val="Calibri"/>
        <family val="2"/>
        <scheme val="minor"/>
      </rPr>
      <t>(in years)</t>
    </r>
  </si>
  <si>
    <t>Rate of Depreciation</t>
  </si>
  <si>
    <t>Gross Block</t>
  </si>
  <si>
    <t>Net Block</t>
  </si>
  <si>
    <t>Inflation</t>
  </si>
  <si>
    <t xml:space="preserve">Reproduction Cost of the Machines 
</t>
  </si>
  <si>
    <t>Total Depreciation</t>
  </si>
  <si>
    <t>Depreciated Replacement Value</t>
  </si>
  <si>
    <t>Fair Value</t>
  </si>
  <si>
    <t>spm</t>
  </si>
  <si>
    <t>percent</t>
  </si>
  <si>
    <t>wire drawing</t>
  </si>
  <si>
    <t>spooling</t>
  </si>
  <si>
    <t>stranding</t>
  </si>
  <si>
    <t>strand pickling machine</t>
  </si>
  <si>
    <t>galvanising</t>
  </si>
  <si>
    <t>conveyor</t>
  </si>
  <si>
    <t>general purpose machines</t>
  </si>
  <si>
    <t>producer gas plant</t>
  </si>
  <si>
    <t>material handling</t>
  </si>
  <si>
    <t>~0</t>
  </si>
  <si>
    <t>Other Electrical equip</t>
  </si>
  <si>
    <t>tank</t>
  </si>
  <si>
    <t>ss tank</t>
  </si>
  <si>
    <t>Air compressor</t>
  </si>
  <si>
    <t>lab equipment</t>
  </si>
  <si>
    <t>packing machine</t>
  </si>
  <si>
    <t>weigh bridge</t>
  </si>
  <si>
    <t>cooling tower</t>
  </si>
  <si>
    <t xml:space="preserve">fire fighting </t>
  </si>
  <si>
    <t>pipes &amp; tubes</t>
  </si>
  <si>
    <t>pipe &amp; pipe fittings</t>
  </si>
  <si>
    <t>water pipelines</t>
  </si>
  <si>
    <t>etp</t>
  </si>
  <si>
    <t>water circulation system</t>
  </si>
  <si>
    <t>angle rack</t>
  </si>
  <si>
    <t>hoist</t>
  </si>
  <si>
    <t>dg</t>
  </si>
  <si>
    <t>forklift</t>
  </si>
  <si>
    <t>7 ply3</t>
  </si>
  <si>
    <t>7ply 5</t>
  </si>
  <si>
    <t>alu 7 ply</t>
  </si>
  <si>
    <t>types of stranding</t>
  </si>
  <si>
    <t>lpg bank</t>
  </si>
  <si>
    <t>Obscelence</t>
  </si>
  <si>
    <t>Financial Year</t>
  </si>
  <si>
    <t>Index</t>
  </si>
  <si>
    <t>2020-21</t>
  </si>
  <si>
    <t>2019-20</t>
  </si>
  <si>
    <t>2018-19</t>
  </si>
  <si>
    <t>2017-18</t>
  </si>
  <si>
    <t>2016-17</t>
  </si>
  <si>
    <t>2015-16</t>
  </si>
  <si>
    <t>2014-15</t>
  </si>
  <si>
    <t>2013-14</t>
  </si>
  <si>
    <t>2012-13</t>
  </si>
  <si>
    <t>wire manufacturing</t>
  </si>
  <si>
    <t>cables &amp; wires</t>
  </si>
  <si>
    <t>inancial Year</t>
  </si>
  <si>
    <t>PLANT &amp; MACHINERY VALUATIONS | M/S NIRMAL WIRES PVT. LTD. | HOWRAH,  WEST BENGAL</t>
  </si>
  <si>
    <t xml:space="preserve">Plant &amp; Machinery </t>
  </si>
  <si>
    <t>Description</t>
  </si>
  <si>
    <t>Gross Current Replacement Cost</t>
  </si>
  <si>
    <t>Fair market value</t>
  </si>
  <si>
    <t>REMARKS:-</t>
  </si>
  <si>
    <t>2. The Company has provided us the Fixed Asset Register (FAR) for the purpose of Valuation. This FAR has the capitalization of the items based on the capex incurred under various phases. Hence, for the purpose of Valuation we have taken the FAR having capex incurred.</t>
  </si>
  <si>
    <t>4.For evaluating the Gross current reproduction Cost of the other indegeneous machines and equipments, we have adopted the inflation rate occurred in the manufacturing of that respective commodity. For which we have used the whole sale price index  provided the Government through www.eaindustry.nic.in</t>
  </si>
  <si>
    <t>1. Asset items pertaining to M/s Nirmal Wires Pvt. ltd., is only considered in this report.</t>
  </si>
  <si>
    <t>SUMMARY PLANT &amp; MACHINERY VALUATIONS | M/S NIRMAL WIRES PVT. LTD. | MOUZA- ISWARIPUR, P.S.- BAGNAN, DISTT.- HOWRAH,  WEST BENGAL</t>
  </si>
  <si>
    <t>3. For evaluating useful life for calculation of depreciation, Chart of Companies Act-2013 is referred.</t>
  </si>
  <si>
    <t>Crane</t>
  </si>
  <si>
    <t>5.Useful Life of primary machines like stranding machine etc. is taken as 15 year. For other auxillary machines life varies from 8-10 years.</t>
  </si>
  <si>
    <t>Land &amp; Building</t>
  </si>
  <si>
    <t>Total</t>
  </si>
  <si>
    <t>CIVIL STRUCTURE VALUATION| M/S NIRMAL WIRES PVT. LTD. | VILLAGE- ISHWARIPUR, BAGNAN, HOWRAH | WEST BENGAL</t>
  </si>
  <si>
    <t>Block Name</t>
  </si>
  <si>
    <t xml:space="preserve"> No. Of Floors</t>
  </si>
  <si>
    <t>Floor wise Height in ft.</t>
  </si>
  <si>
    <t>Type of Construction</t>
  </si>
  <si>
    <t>Year of Construction</t>
  </si>
  <si>
    <t xml:space="preserve">Covered Area in sq. Mtr. </t>
  </si>
  <si>
    <t xml:space="preserve">Covered Area in sq. ft. </t>
  </si>
  <si>
    <t>Rates Adopted per sq. Ft.</t>
  </si>
  <si>
    <t>Perspective Fair Market  Value</t>
  </si>
  <si>
    <t>Cycle Stand</t>
  </si>
  <si>
    <t>Ground</t>
  </si>
  <si>
    <t>Tin Shed mounted over iron pillars and beams</t>
  </si>
  <si>
    <t>Coal Shed</t>
  </si>
  <si>
    <t>PGP Panel Room</t>
  </si>
  <si>
    <t>G +1</t>
  </si>
  <si>
    <t>RCC construction over framed pillar column and beam with false sealing</t>
  </si>
  <si>
    <t>Soft &amp; Raw watr tank</t>
  </si>
  <si>
    <t>PGP Labour Quarter 1</t>
  </si>
  <si>
    <t>Tin Shed mounted over load bearing brick wall</t>
  </si>
  <si>
    <t>PGP Labour Quarter 2</t>
  </si>
  <si>
    <t xml:space="preserve">Labour Quarter </t>
  </si>
  <si>
    <t>Canteen</t>
  </si>
  <si>
    <t>Worker Toilet</t>
  </si>
  <si>
    <t>Staff Quarter</t>
  </si>
  <si>
    <t>Weigh Bridge Room</t>
  </si>
  <si>
    <t>Staff Quarter 2</t>
  </si>
  <si>
    <t>RCC framed structure mounted over brick wall</t>
  </si>
  <si>
    <t>Security Room 1</t>
  </si>
  <si>
    <t>Worker Room 2</t>
  </si>
  <si>
    <t>Worker Room 3</t>
  </si>
  <si>
    <t>Time Office</t>
  </si>
  <si>
    <t>New R.O. Shed</t>
  </si>
  <si>
    <t>D.G. Shed</t>
  </si>
  <si>
    <t>Pickling Area</t>
  </si>
  <si>
    <t>Production Shed 1</t>
  </si>
  <si>
    <t>Production Shed 2</t>
  </si>
  <si>
    <t>office Shed</t>
  </si>
  <si>
    <t>1. The civil structure wpertaining to M/s. Nirmal Wires Pvt. Td., Deulti plant, Village- Ishwaripur, Bagnan, Howrah, West Bengal is only considered here.</t>
  </si>
  <si>
    <t>2. The covered area of the building structure has been adopted as per site survey conducted.</t>
  </si>
  <si>
    <t>3. The valuation of civil structure are  done on the basis of "Depriciated replacemenmt Cost Approach".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</si>
</sst>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0_);_(* \(#,##0\);_(* &quot;-&quot;??_);_(@_)"/>
    <numFmt numFmtId="165" formatCode="_ * #,##0_ ;_ * \-#,##0_ ;_ * &quot;-&quot;??_ ;_ @_ "/>
    <numFmt numFmtId="166" formatCode="_(* #,##0_);_(* \(#,##0\);_(* &quot;-&quot;_);_(@_)"/>
    <numFmt numFmtId="167" formatCode="0.000"/>
    <numFmt numFmtId="168" formatCode="_ &quot;₹&quot;\ * #,##0_ ;_ &quot;₹&quot;\ * \-#,##0_ ;_ &quot;₹&quot;\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1"/>
      <name val="Calibri"/>
      <family val="2"/>
      <scheme val="minor"/>
    </font>
    <font>
      <i/>
      <sz val="10"/>
      <name val="Calibri"/>
      <family val="2"/>
      <scheme val="minor"/>
    </font>
    <font>
      <b/>
      <sz val="10"/>
      <color rgb="FFFFFFFF"/>
      <name val="Arial"/>
      <family val="2"/>
    </font>
    <font>
      <sz val="10"/>
      <color theme="1"/>
      <name val="Arial"/>
      <family val="2"/>
    </font>
    <font>
      <b/>
      <sz val="10"/>
      <color theme="1"/>
      <name val="Arial"/>
      <family val="2"/>
    </font>
    <font>
      <b/>
      <i/>
      <sz val="11"/>
      <color theme="1"/>
      <name val="Calibri"/>
      <family val="2"/>
      <scheme val="minor"/>
    </font>
    <font>
      <b/>
      <i/>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rgb="FF30549E"/>
        <bgColor indexed="64"/>
      </patternFill>
    </fill>
    <fill>
      <patternFill patternType="solid">
        <fgColor rgb="FFDDDDDD"/>
        <bgColor indexed="64"/>
      </patternFill>
    </fill>
    <fill>
      <patternFill patternType="solid">
        <fgColor rgb="FFFFFFFF"/>
        <bgColor indexed="64"/>
      </patternFill>
    </fill>
    <fill>
      <patternFill patternType="solid">
        <fgColor theme="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FFFFFF"/>
      </left>
      <right style="medium">
        <color rgb="FFFFFFFF"/>
      </right>
      <top style="medium">
        <color rgb="FFFFFFFF"/>
      </top>
      <bottom style="medium">
        <color rgb="FFFFFFF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0" fillId="0" borderId="0" xfId="0" applyFill="1"/>
    <xf numFmtId="0" fontId="2" fillId="0" borderId="0" xfId="0" applyFont="1" applyFill="1" applyAlignment="1">
      <alignment horizontal="center"/>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14" fontId="3" fillId="0" borderId="0" xfId="0" applyNumberFormat="1" applyFont="1" applyFill="1"/>
    <xf numFmtId="165" fontId="3" fillId="0" borderId="0" xfId="1" applyNumberFormat="1" applyFont="1" applyFill="1" applyBorder="1"/>
    <xf numFmtId="0" fontId="0" fillId="0" borderId="0" xfId="0" applyFill="1" applyAlignment="1">
      <alignment horizontal="left"/>
    </xf>
    <xf numFmtId="14" fontId="0" fillId="0" borderId="0" xfId="0" applyNumberFormat="1" applyFill="1"/>
    <xf numFmtId="165" fontId="0" fillId="0" borderId="0" xfId="1" applyNumberFormat="1" applyFont="1" applyFill="1" applyBorder="1"/>
    <xf numFmtId="165" fontId="0" fillId="0" borderId="0" xfId="1" applyNumberFormat="1" applyFont="1" applyFill="1" applyBorder="1" applyAlignment="1">
      <alignment horizontal="center" vertical="center"/>
    </xf>
    <xf numFmtId="0" fontId="3" fillId="0" borderId="0" xfId="0" applyFont="1" applyFill="1" applyAlignment="1">
      <alignment horizontal="left"/>
    </xf>
    <xf numFmtId="165" fontId="3" fillId="0" borderId="0" xfId="1" applyNumberFormat="1" applyFont="1" applyFill="1" applyBorder="1" applyAlignment="1">
      <alignment horizontal="left"/>
    </xf>
    <xf numFmtId="165" fontId="0" fillId="0" borderId="0" xfId="0" applyNumberFormat="1" applyFill="1"/>
    <xf numFmtId="14" fontId="0" fillId="0" borderId="0" xfId="0" applyNumberFormat="1" applyFill="1" applyAlignment="1">
      <alignment vertical="center"/>
    </xf>
    <xf numFmtId="0" fontId="0" fillId="0" borderId="0" xfId="0" applyFill="1" applyAlignment="1">
      <alignment vertical="center"/>
    </xf>
    <xf numFmtId="164" fontId="0" fillId="0" borderId="0" xfId="1" applyNumberFormat="1" applyFont="1" applyFill="1" applyBorder="1"/>
    <xf numFmtId="165" fontId="0" fillId="0" borderId="0" xfId="1" applyNumberFormat="1" applyFont="1" applyFill="1"/>
    <xf numFmtId="14" fontId="3" fillId="0" borderId="0" xfId="0" applyNumberFormat="1" applyFont="1" applyFill="1" applyAlignment="1">
      <alignment horizontal="center"/>
    </xf>
    <xf numFmtId="14" fontId="0" fillId="0" borderId="0" xfId="0" applyNumberFormat="1" applyFill="1" applyAlignment="1">
      <alignment horizontal="center"/>
    </xf>
    <xf numFmtId="0" fontId="0" fillId="0" borderId="0" xfId="0" applyFill="1" applyAlignment="1">
      <alignment horizontal="center"/>
    </xf>
    <xf numFmtId="165" fontId="1" fillId="0" borderId="0" xfId="1" applyNumberFormat="1" applyFont="1" applyFill="1" applyBorder="1"/>
    <xf numFmtId="165" fontId="1" fillId="0" borderId="0" xfId="1" applyNumberFormat="1" applyFont="1" applyFill="1" applyBorder="1" applyAlignment="1">
      <alignment horizontal="center" vertical="center"/>
    </xf>
    <xf numFmtId="164" fontId="0" fillId="0" borderId="0" xfId="0" applyNumberFormat="1" applyFill="1"/>
    <xf numFmtId="14" fontId="3" fillId="0" borderId="0" xfId="1" applyNumberFormat="1" applyFont="1" applyFill="1" applyBorder="1" applyAlignment="1">
      <alignment horizontal="center"/>
    </xf>
    <xf numFmtId="166" fontId="3" fillId="0" borderId="0" xfId="1" applyNumberFormat="1" applyFont="1" applyFill="1" applyBorder="1"/>
    <xf numFmtId="164" fontId="0" fillId="0" borderId="0" xfId="1" applyNumberFormat="1" applyFont="1" applyFill="1" applyBorder="1" applyAlignment="1">
      <alignment horizontal="left"/>
    </xf>
    <xf numFmtId="165" fontId="0" fillId="0" borderId="0" xfId="1" applyNumberFormat="1" applyFont="1" applyFill="1" applyBorder="1" applyAlignment="1">
      <alignment horizontal="left"/>
    </xf>
    <xf numFmtId="15" fontId="0" fillId="0" borderId="0" xfId="0" applyNumberFormat="1" applyFill="1"/>
    <xf numFmtId="43" fontId="0" fillId="0" borderId="0" xfId="1" applyFont="1" applyFill="1"/>
    <xf numFmtId="164" fontId="0" fillId="0" borderId="0" xfId="1" applyNumberFormat="1" applyFont="1" applyFill="1"/>
    <xf numFmtId="0" fontId="2" fillId="0" borderId="0" xfId="0" applyFont="1" applyFill="1" applyAlignment="1">
      <alignment horizontal="left"/>
    </xf>
    <xf numFmtId="0" fontId="2" fillId="0" borderId="0" xfId="0" applyFont="1" applyFill="1"/>
    <xf numFmtId="165" fontId="2" fillId="0" borderId="0" xfId="0" applyNumberFormat="1" applyFont="1" applyFill="1"/>
    <xf numFmtId="0" fontId="5" fillId="3" borderId="1" xfId="0" applyFont="1" applyFill="1" applyBorder="1" applyAlignment="1">
      <alignment horizontal="center" vertical="center" wrapText="1"/>
    </xf>
    <xf numFmtId="9" fontId="5" fillId="3" borderId="1" xfId="3" applyFont="1" applyFill="1" applyBorder="1" applyAlignment="1">
      <alignment horizontal="center" vertical="center" wrapText="1"/>
    </xf>
    <xf numFmtId="44" fontId="5" fillId="3" borderId="1" xfId="2" applyFont="1" applyFill="1" applyBorder="1" applyAlignment="1">
      <alignment horizontal="center" vertical="center" wrapText="1"/>
    </xf>
    <xf numFmtId="0" fontId="0" fillId="0" borderId="1" xfId="0" applyFill="1" applyBorder="1" applyAlignment="1">
      <alignment horizontal="center"/>
    </xf>
    <xf numFmtId="14" fontId="0" fillId="0" borderId="1" xfId="0" applyNumberFormat="1" applyFill="1" applyBorder="1" applyAlignment="1">
      <alignment horizontal="center"/>
    </xf>
    <xf numFmtId="167" fontId="0" fillId="0" borderId="1" xfId="0" applyNumberFormat="1" applyFill="1" applyBorder="1" applyAlignment="1">
      <alignment horizontal="center"/>
    </xf>
    <xf numFmtId="9" fontId="0" fillId="0" borderId="1" xfId="0" applyNumberFormat="1" applyFill="1" applyBorder="1" applyAlignment="1">
      <alignment horizontal="center"/>
    </xf>
    <xf numFmtId="168" fontId="0" fillId="0" borderId="1" xfId="2" applyNumberFormat="1" applyFont="1" applyFill="1" applyBorder="1" applyAlignment="1">
      <alignment horizontal="center"/>
    </xf>
    <xf numFmtId="168" fontId="0" fillId="0" borderId="1" xfId="0" applyNumberFormat="1" applyFill="1" applyBorder="1" applyAlignment="1">
      <alignment horizontal="center"/>
    </xf>
    <xf numFmtId="0" fontId="5" fillId="3" borderId="1" xfId="0" applyNumberFormat="1" applyFont="1" applyFill="1" applyBorder="1" applyAlignment="1">
      <alignment horizontal="center" vertical="center" wrapText="1"/>
    </xf>
    <xf numFmtId="0" fontId="0" fillId="0" borderId="0" xfId="0" applyNumberFormat="1"/>
    <xf numFmtId="0" fontId="0" fillId="0" borderId="0" xfId="0" applyFill="1" applyAlignment="1">
      <alignment horizontal="left" wrapText="1"/>
    </xf>
    <xf numFmtId="9" fontId="0" fillId="0" borderId="0" xfId="0" applyNumberFormat="1"/>
    <xf numFmtId="0" fontId="0" fillId="0" borderId="0" xfId="0" applyAlignment="1">
      <alignment wrapText="1"/>
    </xf>
    <xf numFmtId="0" fontId="0" fillId="0" borderId="0" xfId="0" applyAlignment="1">
      <alignment horizontal="center" wrapText="1"/>
    </xf>
    <xf numFmtId="9" fontId="0" fillId="0" borderId="1" xfId="3" applyFont="1" applyFill="1" applyBorder="1" applyAlignment="1">
      <alignment horizontal="center"/>
    </xf>
    <xf numFmtId="9" fontId="0" fillId="0" borderId="0" xfId="3" applyFont="1"/>
    <xf numFmtId="0" fontId="0" fillId="0" borderId="1" xfId="0" applyFill="1" applyBorder="1" applyAlignment="1">
      <alignment wrapText="1"/>
    </xf>
    <xf numFmtId="14" fontId="0" fillId="0" borderId="1" xfId="0" applyNumberFormat="1" applyFill="1" applyBorder="1" applyAlignment="1">
      <alignment horizontal="center" vertical="center"/>
    </xf>
    <xf numFmtId="164" fontId="0" fillId="0" borderId="1" xfId="1" applyNumberFormat="1" applyFont="1" applyFill="1" applyBorder="1"/>
    <xf numFmtId="0" fontId="2" fillId="0" borderId="1" xfId="0" applyFont="1" applyBorder="1"/>
    <xf numFmtId="9" fontId="2" fillId="0" borderId="1" xfId="3" applyFont="1" applyBorder="1"/>
    <xf numFmtId="14" fontId="3" fillId="0" borderId="1" xfId="0" applyNumberFormat="1" applyFont="1" applyFill="1" applyBorder="1" applyAlignment="1">
      <alignment horizontal="center" vertical="center"/>
    </xf>
    <xf numFmtId="2" fontId="0" fillId="0" borderId="1" xfId="0" applyNumberFormat="1" applyFill="1" applyBorder="1" applyAlignment="1">
      <alignment horizontal="center"/>
    </xf>
    <xf numFmtId="165" fontId="3" fillId="0" borderId="1" xfId="1" applyNumberFormat="1" applyFont="1" applyFill="1" applyBorder="1"/>
    <xf numFmtId="0" fontId="0" fillId="0" borderId="1" xfId="0" applyFill="1" applyBorder="1" applyAlignment="1">
      <alignment horizontal="left" wrapText="1"/>
    </xf>
    <xf numFmtId="165" fontId="0" fillId="0" borderId="1" xfId="1" applyNumberFormat="1" applyFont="1" applyFill="1" applyBorder="1"/>
    <xf numFmtId="0" fontId="3" fillId="0" borderId="1" xfId="0" applyFont="1" applyFill="1" applyBorder="1" applyAlignment="1">
      <alignment horizontal="left" wrapText="1"/>
    </xf>
    <xf numFmtId="165" fontId="3" fillId="0" borderId="1" xfId="1" applyNumberFormat="1" applyFont="1" applyFill="1" applyBorder="1" applyAlignment="1">
      <alignment horizontal="left"/>
    </xf>
    <xf numFmtId="165" fontId="0" fillId="0" borderId="1" xfId="0" applyNumberFormat="1" applyFill="1" applyBorder="1"/>
    <xf numFmtId="165" fontId="1" fillId="0" borderId="1" xfId="1" applyNumberFormat="1" applyFont="1" applyFill="1" applyBorder="1"/>
    <xf numFmtId="164" fontId="0" fillId="0" borderId="1" xfId="0" applyNumberFormat="1" applyFill="1" applyBorder="1"/>
    <xf numFmtId="14" fontId="3" fillId="0" borderId="1" xfId="1" applyNumberFormat="1" applyFont="1" applyFill="1" applyBorder="1" applyAlignment="1">
      <alignment horizontal="center" vertical="center"/>
    </xf>
    <xf numFmtId="166" fontId="3" fillId="0" borderId="1" xfId="1" applyNumberFormat="1" applyFont="1" applyFill="1" applyBorder="1"/>
    <xf numFmtId="15" fontId="0" fillId="0" borderId="1" xfId="0" applyNumberFormat="1" applyFill="1" applyBorder="1" applyAlignment="1">
      <alignment horizontal="center" vertical="center"/>
    </xf>
    <xf numFmtId="168" fontId="2" fillId="0" borderId="1" xfId="2" applyNumberFormat="1" applyFont="1" applyBorder="1"/>
    <xf numFmtId="0" fontId="7" fillId="4" borderId="3" xfId="0" applyFont="1" applyFill="1" applyBorder="1" applyAlignment="1">
      <alignment vertical="center" wrapText="1"/>
    </xf>
    <xf numFmtId="0" fontId="9" fillId="5" borderId="3" xfId="0" applyFont="1" applyFill="1" applyBorder="1" applyAlignment="1">
      <alignment vertical="center" wrapText="1"/>
    </xf>
    <xf numFmtId="0" fontId="8" fillId="5" borderId="3" xfId="0" applyFont="1" applyFill="1" applyBorder="1" applyAlignment="1">
      <alignment vertical="center" wrapText="1"/>
    </xf>
    <xf numFmtId="0" fontId="0" fillId="0" borderId="1" xfId="0" applyBorder="1"/>
    <xf numFmtId="0" fontId="10" fillId="0" borderId="9" xfId="0" applyFont="1" applyBorder="1" applyAlignment="1">
      <alignment wrapText="1"/>
    </xf>
    <xf numFmtId="0" fontId="11" fillId="6" borderId="9" xfId="0" applyFont="1" applyFill="1" applyBorder="1" applyAlignment="1">
      <alignment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168" fontId="2" fillId="0" borderId="12" xfId="0" applyNumberFormat="1" applyFont="1" applyBorder="1" applyAlignment="1">
      <alignment horizontal="center" vertical="center" wrapText="1"/>
    </xf>
    <xf numFmtId="168" fontId="2" fillId="0" borderId="12" xfId="2" applyNumberFormat="1" applyFont="1" applyBorder="1" applyAlignment="1">
      <alignment horizontal="center" vertical="center" wrapText="1"/>
    </xf>
    <xf numFmtId="168" fontId="2" fillId="0" borderId="13" xfId="0" applyNumberFormat="1" applyFont="1" applyBorder="1" applyAlignment="1">
      <alignment horizontal="center" vertical="center" wrapText="1"/>
    </xf>
    <xf numFmtId="168" fontId="0" fillId="0" borderId="1" xfId="2" applyNumberFormat="1" applyFont="1" applyFill="1" applyBorder="1"/>
    <xf numFmtId="168" fontId="0" fillId="0" borderId="1" xfId="2" applyNumberFormat="1" applyFont="1" applyFill="1" applyBorder="1" applyAlignment="1">
      <alignment horizontal="left"/>
    </xf>
    <xf numFmtId="0" fontId="9" fillId="5" borderId="0" xfId="0" applyFont="1" applyFill="1" applyBorder="1" applyAlignment="1">
      <alignment vertical="center" wrapText="1"/>
    </xf>
    <xf numFmtId="44" fontId="2" fillId="0" borderId="12" xfId="2" applyFont="1" applyBorder="1" applyAlignment="1">
      <alignment horizontal="center" vertical="center" wrapText="1"/>
    </xf>
    <xf numFmtId="168" fontId="2" fillId="0" borderId="13" xfId="2" applyNumberFormat="1" applyFont="1" applyBorder="1" applyAlignment="1">
      <alignment horizontal="center" vertical="center" wrapText="1"/>
    </xf>
    <xf numFmtId="165" fontId="1" fillId="0" borderId="0" xfId="1" applyNumberFormat="1" applyFont="1" applyFill="1" applyBorder="1" applyAlignment="1">
      <alignment horizontal="center" vertical="center"/>
    </xf>
    <xf numFmtId="0" fontId="2" fillId="0" borderId="0" xfId="0" applyFont="1" applyFill="1" applyAlignment="1">
      <alignment horizontal="center"/>
    </xf>
    <xf numFmtId="165" fontId="0" fillId="0" borderId="0" xfId="1" applyNumberFormat="1" applyFont="1" applyFill="1" applyBorder="1" applyAlignment="1">
      <alignment horizontal="center" vertical="center"/>
    </xf>
    <xf numFmtId="0" fontId="4" fillId="2" borderId="2" xfId="0" applyFont="1" applyFill="1" applyBorder="1" applyAlignment="1">
      <alignment horizontal="center"/>
    </xf>
    <xf numFmtId="165" fontId="1" fillId="0" borderId="1" xfId="1" applyNumberFormat="1" applyFont="1" applyFill="1" applyBorder="1" applyAlignment="1">
      <alignment horizontal="center" vertical="center"/>
    </xf>
    <xf numFmtId="165" fontId="0" fillId="0" borderId="1" xfId="1" applyNumberFormat="1" applyFont="1" applyFill="1" applyBorder="1" applyAlignment="1">
      <alignment horizontal="center" vertical="center"/>
    </xf>
    <xf numFmtId="0" fontId="2" fillId="0" borderId="1" xfId="0" applyFont="1" applyBorder="1" applyAlignment="1">
      <alignment horizontal="center"/>
    </xf>
    <xf numFmtId="0" fontId="10" fillId="0" borderId="4" xfId="0" applyFont="1" applyBorder="1" applyAlignment="1">
      <alignment horizontal="left" wrapText="1"/>
    </xf>
    <xf numFmtId="0" fontId="10" fillId="0" borderId="1" xfId="0" applyFont="1" applyBorder="1" applyAlignment="1">
      <alignment horizontal="left" wrapText="1"/>
    </xf>
    <xf numFmtId="0" fontId="10" fillId="0" borderId="5" xfId="0" applyFont="1"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10" fillId="0" borderId="11"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10" fillId="0" borderId="14" xfId="0" applyFont="1" applyBorder="1" applyAlignment="1">
      <alignment horizontal="left" wrapText="1"/>
    </xf>
    <xf numFmtId="0" fontId="10" fillId="0" borderId="10" xfId="0" applyFont="1" applyBorder="1" applyAlignment="1">
      <alignment horizontal="left" wrapText="1"/>
    </xf>
    <xf numFmtId="0" fontId="10" fillId="0" borderId="15" xfId="0" applyFont="1" applyBorder="1" applyAlignment="1">
      <alignment horizontal="left" wrapText="1"/>
    </xf>
    <xf numFmtId="0" fontId="0" fillId="0" borderId="0" xfId="0" applyAlignment="1">
      <alignment horizontal="center"/>
    </xf>
    <xf numFmtId="0" fontId="4" fillId="7" borderId="21" xfId="0" applyFont="1" applyFill="1" applyBorder="1" applyAlignment="1">
      <alignment horizontal="center"/>
    </xf>
    <xf numFmtId="0" fontId="4" fillId="7" borderId="22" xfId="0" applyFont="1" applyFill="1" applyBorder="1" applyAlignment="1">
      <alignment horizontal="center"/>
    </xf>
    <xf numFmtId="0" fontId="4" fillId="7" borderId="23" xfId="0" applyFont="1" applyFill="1" applyBorder="1" applyAlignment="1">
      <alignment horizontal="center"/>
    </xf>
    <xf numFmtId="0" fontId="0" fillId="3" borderId="1" xfId="0" applyFill="1" applyBorder="1" applyAlignment="1">
      <alignment horizontal="center" vertical="center" wrapText="1"/>
    </xf>
    <xf numFmtId="44" fontId="0" fillId="3" borderId="1" xfId="2" applyFont="1" applyFill="1" applyBorder="1" applyAlignment="1">
      <alignment horizontal="center" vertical="center" wrapText="1"/>
    </xf>
    <xf numFmtId="44" fontId="0" fillId="3" borderId="5" xfId="2" applyFont="1" applyFill="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NumberFormat="1" applyBorder="1" applyAlignment="1">
      <alignment horizontal="center" vertical="center" wrapText="1"/>
    </xf>
    <xf numFmtId="44" fontId="0" fillId="0" borderId="1" xfId="2" applyFont="1" applyBorder="1" applyAlignment="1">
      <alignment horizontal="center" vertical="center"/>
    </xf>
    <xf numFmtId="44" fontId="0" fillId="0" borderId="5" xfId="2" applyFont="1" applyBorder="1" applyAlignment="1">
      <alignment horizontal="center" vertical="center"/>
    </xf>
    <xf numFmtId="2" fontId="0" fillId="0" borderId="1" xfId="0" applyNumberFormat="1" applyBorder="1" applyAlignment="1">
      <alignment horizontal="center" vertical="center"/>
    </xf>
    <xf numFmtId="0" fontId="0" fillId="0" borderId="4"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3" borderId="4" xfId="0"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wrapText="1"/>
    </xf>
    <xf numFmtId="0" fontId="0" fillId="0" borderId="25" xfId="0" applyBorder="1" applyAlignment="1">
      <alignment horizontal="center" vertical="center"/>
    </xf>
    <xf numFmtId="0" fontId="0" fillId="0" borderId="25" xfId="0" applyBorder="1" applyAlignment="1">
      <alignment wrapText="1"/>
    </xf>
    <xf numFmtId="0" fontId="0" fillId="0" borderId="25" xfId="0" applyNumberFormat="1" applyBorder="1" applyAlignment="1">
      <alignment horizontal="center" vertical="center" wrapText="1"/>
    </xf>
    <xf numFmtId="2" fontId="0" fillId="0" borderId="25" xfId="0" applyNumberFormat="1" applyBorder="1" applyAlignment="1">
      <alignment horizontal="center" vertical="center"/>
    </xf>
    <xf numFmtId="44" fontId="0" fillId="0" borderId="25" xfId="2" applyFont="1" applyBorder="1" applyAlignment="1">
      <alignment horizontal="center" vertical="center"/>
    </xf>
    <xf numFmtId="44" fontId="0" fillId="0" borderId="26" xfId="2" applyFont="1" applyBorder="1" applyAlignment="1">
      <alignment horizontal="center" vertic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2" xfId="0" applyFont="1" applyBorder="1" applyAlignment="1">
      <alignment horizontal="center" vertical="center"/>
    </xf>
    <xf numFmtId="2" fontId="2" fillId="0" borderId="13" xfId="2" applyNumberFormat="1" applyFont="1" applyBorder="1" applyAlignment="1">
      <alignment horizontal="center" vertical="center"/>
    </xf>
    <xf numFmtId="44" fontId="2" fillId="0" borderId="12" xfId="2" applyFont="1" applyBorder="1" applyAlignment="1">
      <alignment horizontal="center" vertical="center"/>
    </xf>
    <xf numFmtId="168" fontId="2" fillId="0" borderId="13" xfId="2" applyNumberFormat="1" applyFont="1" applyBorder="1" applyAlignment="1">
      <alignment horizontal="center" vertical="center"/>
    </xf>
    <xf numFmtId="0" fontId="0" fillId="0" borderId="14" xfId="0" applyBorder="1" applyAlignment="1">
      <alignment horizontal="left" vertical="top"/>
    </xf>
    <xf numFmtId="0" fontId="0" fillId="0" borderId="10" xfId="0" applyBorder="1" applyAlignment="1">
      <alignment horizontal="left" vertical="top"/>
    </xf>
    <xf numFmtId="0" fontId="0" fillId="0" borderId="15" xfId="0" applyBorder="1" applyAlignment="1">
      <alignment horizontal="left" vertical="top"/>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13" xfId="0" applyFont="1" applyBorder="1" applyAlignment="1">
      <alignment horizontal="left" vertical="top"/>
    </xf>
  </cellXfs>
  <cellStyles count="4">
    <cellStyle name="Comma" xfId="1" builtinId="3"/>
    <cellStyle name="Currency" xfId="2" builtinId="4"/>
    <cellStyle name="Normal" xfId="0" builtinId="0"/>
    <cellStyle name="Percent" xfId="3"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7"/>
  <sheetViews>
    <sheetView workbookViewId="0">
      <selection activeCell="G28" sqref="G28"/>
    </sheetView>
  </sheetViews>
  <sheetFormatPr defaultRowHeight="15" x14ac:dyDescent="0.25"/>
  <cols>
    <col min="1" max="1" width="9.140625" style="1"/>
    <col min="2" max="2" width="24.5703125" style="1" bestFit="1" customWidth="1"/>
    <col min="3" max="3" width="11.5703125" style="1" bestFit="1" customWidth="1"/>
    <col min="4" max="4" width="15.42578125" style="1" bestFit="1" customWidth="1"/>
    <col min="5" max="5" width="14.28515625" style="1" bestFit="1" customWidth="1"/>
    <col min="6" max="16384" width="9.140625" style="1"/>
  </cols>
  <sheetData>
    <row r="1" spans="1:5" x14ac:dyDescent="0.25">
      <c r="B1" s="91" t="s">
        <v>0</v>
      </c>
      <c r="C1" s="91"/>
      <c r="D1" s="91"/>
      <c r="E1" s="91"/>
    </row>
    <row r="2" spans="1:5" x14ac:dyDescent="0.25">
      <c r="B2" s="91" t="s">
        <v>1</v>
      </c>
      <c r="C2" s="91"/>
      <c r="D2" s="91"/>
      <c r="E2" s="91"/>
    </row>
    <row r="3" spans="1:5" x14ac:dyDescent="0.25">
      <c r="B3" s="91" t="s">
        <v>2</v>
      </c>
      <c r="C3" s="91"/>
      <c r="D3" s="91"/>
      <c r="E3" s="91"/>
    </row>
    <row r="4" spans="1:5" x14ac:dyDescent="0.25">
      <c r="B4" s="2"/>
      <c r="C4" s="2"/>
      <c r="D4" s="2"/>
      <c r="E4" s="2"/>
    </row>
    <row r="5" spans="1:5" ht="30" x14ac:dyDescent="0.25">
      <c r="A5" s="3" t="s">
        <v>3</v>
      </c>
      <c r="B5" s="4" t="s">
        <v>4</v>
      </c>
      <c r="C5" s="3" t="s">
        <v>5</v>
      </c>
      <c r="D5" s="5" t="s">
        <v>6</v>
      </c>
      <c r="E5" s="5" t="s">
        <v>7</v>
      </c>
    </row>
    <row r="7" spans="1:5" x14ac:dyDescent="0.25">
      <c r="B7" s="1" t="s">
        <v>8</v>
      </c>
      <c r="C7" s="6">
        <v>41547</v>
      </c>
      <c r="D7" s="7">
        <v>340902.99</v>
      </c>
      <c r="E7" s="92">
        <v>812048</v>
      </c>
    </row>
    <row r="8" spans="1:5" x14ac:dyDescent="0.25">
      <c r="B8" s="1" t="s">
        <v>8</v>
      </c>
      <c r="C8" s="6">
        <v>41639</v>
      </c>
      <c r="D8" s="7">
        <v>2049650</v>
      </c>
      <c r="E8" s="92"/>
    </row>
    <row r="9" spans="1:5" x14ac:dyDescent="0.25">
      <c r="B9" s="1" t="s">
        <v>8</v>
      </c>
      <c r="C9" s="6">
        <v>41729</v>
      </c>
      <c r="D9" s="7">
        <v>1210800</v>
      </c>
      <c r="E9" s="92"/>
    </row>
    <row r="10" spans="1:5" x14ac:dyDescent="0.25">
      <c r="B10" s="8" t="s">
        <v>8</v>
      </c>
      <c r="C10" s="9">
        <v>41759</v>
      </c>
      <c r="D10" s="10">
        <v>578000</v>
      </c>
      <c r="E10" s="92"/>
    </row>
    <row r="11" spans="1:5" x14ac:dyDescent="0.25">
      <c r="B11" s="8" t="s">
        <v>8</v>
      </c>
      <c r="C11" s="9">
        <v>41851</v>
      </c>
      <c r="D11" s="10">
        <v>540000</v>
      </c>
      <c r="E11" s="92"/>
    </row>
    <row r="12" spans="1:5" x14ac:dyDescent="0.25">
      <c r="B12" s="8" t="s">
        <v>8</v>
      </c>
      <c r="C12" s="9">
        <v>41882</v>
      </c>
      <c r="D12" s="10">
        <v>160000</v>
      </c>
      <c r="E12" s="92"/>
    </row>
    <row r="13" spans="1:5" x14ac:dyDescent="0.25">
      <c r="B13" s="8" t="s">
        <v>8</v>
      </c>
      <c r="C13" s="9">
        <v>41912</v>
      </c>
      <c r="D13" s="10">
        <v>1064000</v>
      </c>
      <c r="E13" s="92"/>
    </row>
    <row r="14" spans="1:5" x14ac:dyDescent="0.25">
      <c r="B14" s="8" t="s">
        <v>8</v>
      </c>
      <c r="C14" s="9">
        <v>41943</v>
      </c>
      <c r="D14" s="10">
        <v>798000</v>
      </c>
      <c r="E14" s="92"/>
    </row>
    <row r="15" spans="1:5" x14ac:dyDescent="0.25">
      <c r="B15" s="8" t="s">
        <v>8</v>
      </c>
      <c r="C15" s="9">
        <v>41973</v>
      </c>
      <c r="D15" s="10">
        <v>1673700</v>
      </c>
      <c r="E15" s="92"/>
    </row>
    <row r="16" spans="1:5" x14ac:dyDescent="0.25">
      <c r="B16" s="8" t="s">
        <v>8</v>
      </c>
      <c r="C16" s="9">
        <v>42063</v>
      </c>
      <c r="D16" s="10">
        <v>360000</v>
      </c>
      <c r="E16" s="92"/>
    </row>
    <row r="17" spans="2:5" x14ac:dyDescent="0.25">
      <c r="B17" s="8" t="s">
        <v>8</v>
      </c>
      <c r="C17" s="9">
        <v>42094</v>
      </c>
      <c r="D17" s="10">
        <f>202900-7200</f>
        <v>195700</v>
      </c>
      <c r="E17" s="92"/>
    </row>
    <row r="18" spans="2:5" x14ac:dyDescent="0.25">
      <c r="B18" s="1" t="s">
        <v>8</v>
      </c>
      <c r="C18" s="9">
        <v>42105</v>
      </c>
      <c r="D18" s="10">
        <v>36496</v>
      </c>
      <c r="E18" s="92"/>
    </row>
    <row r="19" spans="2:5" x14ac:dyDescent="0.25">
      <c r="B19" s="1" t="s">
        <v>8</v>
      </c>
      <c r="C19" s="9">
        <v>42155</v>
      </c>
      <c r="D19" s="10">
        <v>28000</v>
      </c>
      <c r="E19" s="92"/>
    </row>
    <row r="20" spans="2:5" x14ac:dyDescent="0.25">
      <c r="B20" s="1" t="s">
        <v>8</v>
      </c>
      <c r="C20" s="9">
        <v>42185</v>
      </c>
      <c r="D20" s="10">
        <v>212500</v>
      </c>
      <c r="E20" s="92"/>
    </row>
    <row r="21" spans="2:5" x14ac:dyDescent="0.25">
      <c r="B21" s="1" t="s">
        <v>8</v>
      </c>
      <c r="C21" s="9">
        <v>42216</v>
      </c>
      <c r="D21" s="10">
        <v>80000</v>
      </c>
      <c r="E21" s="92"/>
    </row>
    <row r="22" spans="2:5" x14ac:dyDescent="0.25">
      <c r="B22" s="1" t="s">
        <v>8</v>
      </c>
      <c r="C22" s="9">
        <v>42338</v>
      </c>
      <c r="D22" s="10">
        <v>212000</v>
      </c>
      <c r="E22" s="92"/>
    </row>
    <row r="23" spans="2:5" x14ac:dyDescent="0.25">
      <c r="B23" s="1" t="s">
        <v>8</v>
      </c>
      <c r="C23" s="9">
        <v>42338</v>
      </c>
      <c r="D23" s="10">
        <v>120000</v>
      </c>
      <c r="E23" s="92"/>
    </row>
    <row r="24" spans="2:5" x14ac:dyDescent="0.25">
      <c r="B24" s="1" t="s">
        <v>8</v>
      </c>
      <c r="C24" s="9">
        <v>42338</v>
      </c>
      <c r="D24" s="10">
        <v>51000</v>
      </c>
      <c r="E24" s="92"/>
    </row>
    <row r="25" spans="2:5" x14ac:dyDescent="0.25">
      <c r="B25" s="1" t="s">
        <v>8</v>
      </c>
      <c r="C25" s="9">
        <v>42369</v>
      </c>
      <c r="D25" s="10">
        <v>132000</v>
      </c>
      <c r="E25" s="92"/>
    </row>
    <row r="26" spans="2:5" x14ac:dyDescent="0.25">
      <c r="B26" s="1" t="s">
        <v>8</v>
      </c>
      <c r="C26" s="9">
        <v>42400</v>
      </c>
      <c r="D26" s="10">
        <v>220000</v>
      </c>
      <c r="E26" s="92"/>
    </row>
    <row r="27" spans="2:5" x14ac:dyDescent="0.25">
      <c r="B27" s="1" t="s">
        <v>8</v>
      </c>
      <c r="C27" s="9">
        <v>42460</v>
      </c>
      <c r="D27" s="10">
        <v>352000</v>
      </c>
      <c r="E27" s="92"/>
    </row>
    <row r="28" spans="2:5" x14ac:dyDescent="0.25">
      <c r="C28" s="9"/>
      <c r="D28" s="10"/>
      <c r="E28" s="11"/>
    </row>
    <row r="29" spans="2:5" x14ac:dyDescent="0.25">
      <c r="B29" s="12" t="s">
        <v>8</v>
      </c>
      <c r="C29" s="6">
        <v>42490</v>
      </c>
      <c r="D29" s="13">
        <v>176000</v>
      </c>
      <c r="E29" s="14">
        <v>30664.090531084199</v>
      </c>
    </row>
    <row r="30" spans="2:5" x14ac:dyDescent="0.25">
      <c r="B30" s="12" t="s">
        <v>8</v>
      </c>
      <c r="C30" s="6">
        <v>42582</v>
      </c>
      <c r="D30" s="13">
        <v>120000</v>
      </c>
      <c r="E30" s="14">
        <v>23768.424927614651</v>
      </c>
    </row>
    <row r="31" spans="2:5" x14ac:dyDescent="0.25">
      <c r="B31" s="12" t="s">
        <v>8</v>
      </c>
      <c r="C31" s="6">
        <v>42674</v>
      </c>
      <c r="D31" s="13">
        <v>88000</v>
      </c>
      <c r="E31" s="14">
        <v>19528.311294959392</v>
      </c>
    </row>
    <row r="32" spans="2:5" x14ac:dyDescent="0.25">
      <c r="B32" s="12" t="s">
        <v>8</v>
      </c>
      <c r="C32" s="6">
        <v>42819</v>
      </c>
      <c r="D32" s="13">
        <v>810666.65</v>
      </c>
      <c r="E32" s="14">
        <v>210360.17801566841</v>
      </c>
    </row>
    <row r="33" spans="2:5" x14ac:dyDescent="0.25">
      <c r="B33" s="12" t="s">
        <v>8</v>
      </c>
      <c r="C33" s="6">
        <v>42704</v>
      </c>
      <c r="D33" s="13">
        <v>504000</v>
      </c>
      <c r="E33" s="14">
        <v>115762.41468713831</v>
      </c>
    </row>
    <row r="34" spans="2:5" x14ac:dyDescent="0.25">
      <c r="B34" s="12" t="s">
        <v>8</v>
      </c>
      <c r="C34" s="9">
        <v>42916</v>
      </c>
      <c r="D34" s="7">
        <v>400000</v>
      </c>
      <c r="E34" s="10">
        <v>119145</v>
      </c>
    </row>
    <row r="35" spans="2:5" x14ac:dyDescent="0.25">
      <c r="B35" s="12" t="s">
        <v>8</v>
      </c>
      <c r="C35" s="6">
        <v>42993</v>
      </c>
      <c r="D35" s="7">
        <v>1755000</v>
      </c>
      <c r="E35" s="10">
        <v>577641</v>
      </c>
    </row>
    <row r="36" spans="2:5" x14ac:dyDescent="0.25">
      <c r="B36" s="12" t="s">
        <v>8</v>
      </c>
      <c r="C36" s="15">
        <v>43190</v>
      </c>
      <c r="D36" s="7">
        <v>2210730</v>
      </c>
      <c r="E36" s="10">
        <v>904547</v>
      </c>
    </row>
    <row r="37" spans="2:5" x14ac:dyDescent="0.25">
      <c r="C37" s="16"/>
    </row>
    <row r="38" spans="2:5" x14ac:dyDescent="0.25">
      <c r="B38" s="12" t="s">
        <v>9</v>
      </c>
      <c r="C38" s="15">
        <v>42855</v>
      </c>
      <c r="D38" s="10">
        <v>144000</v>
      </c>
      <c r="E38" s="10">
        <v>39324.140037013072</v>
      </c>
    </row>
    <row r="39" spans="2:5" x14ac:dyDescent="0.25">
      <c r="B39" s="12" t="s">
        <v>9</v>
      </c>
      <c r="C39" s="15">
        <v>43069</v>
      </c>
      <c r="D39" s="10">
        <v>294000</v>
      </c>
      <c r="E39" s="10">
        <v>105843.37810997492</v>
      </c>
    </row>
    <row r="40" spans="2:5" x14ac:dyDescent="0.25">
      <c r="C40" s="16"/>
    </row>
    <row r="41" spans="2:5" x14ac:dyDescent="0.25">
      <c r="B41" s="1" t="s">
        <v>10</v>
      </c>
      <c r="C41" s="15">
        <v>41547</v>
      </c>
      <c r="D41" s="10">
        <v>562401.42000000004</v>
      </c>
      <c r="E41" s="92">
        <v>193114</v>
      </c>
    </row>
    <row r="42" spans="2:5" x14ac:dyDescent="0.25">
      <c r="B42" s="1" t="s">
        <v>10</v>
      </c>
      <c r="C42" s="15">
        <v>41729</v>
      </c>
      <c r="D42" s="10">
        <v>898475</v>
      </c>
      <c r="E42" s="92"/>
    </row>
    <row r="43" spans="2:5" x14ac:dyDescent="0.25">
      <c r="B43" s="1" t="s">
        <v>10</v>
      </c>
      <c r="C43" s="15">
        <v>41759</v>
      </c>
      <c r="D43" s="17">
        <v>25000</v>
      </c>
      <c r="E43" s="92"/>
    </row>
    <row r="44" spans="2:5" x14ac:dyDescent="0.25">
      <c r="B44" s="1" t="s">
        <v>10</v>
      </c>
      <c r="C44" s="15">
        <v>41790</v>
      </c>
      <c r="D44" s="17">
        <v>181826</v>
      </c>
      <c r="E44" s="92"/>
    </row>
    <row r="45" spans="2:5" x14ac:dyDescent="0.25">
      <c r="B45" s="1" t="s">
        <v>10</v>
      </c>
      <c r="C45" s="15">
        <v>41851</v>
      </c>
      <c r="D45" s="17">
        <v>294940</v>
      </c>
      <c r="E45" s="92"/>
    </row>
    <row r="46" spans="2:5" x14ac:dyDescent="0.25">
      <c r="B46" s="1" t="s">
        <v>10</v>
      </c>
      <c r="C46" s="15">
        <v>42004</v>
      </c>
      <c r="D46" s="17">
        <v>613236</v>
      </c>
      <c r="E46" s="92"/>
    </row>
    <row r="47" spans="2:5" x14ac:dyDescent="0.25">
      <c r="B47" s="1" t="s">
        <v>10</v>
      </c>
      <c r="C47" s="15">
        <v>42035</v>
      </c>
      <c r="D47" s="17">
        <v>75710</v>
      </c>
      <c r="E47" s="92"/>
    </row>
    <row r="48" spans="2:5" x14ac:dyDescent="0.25">
      <c r="B48" s="12" t="s">
        <v>10</v>
      </c>
      <c r="C48" s="15">
        <v>42292</v>
      </c>
      <c r="D48" s="10">
        <v>45200</v>
      </c>
      <c r="E48" s="92"/>
    </row>
    <row r="49" spans="2:5" x14ac:dyDescent="0.25">
      <c r="B49" s="12"/>
      <c r="C49" s="9"/>
      <c r="D49" s="18"/>
    </row>
    <row r="50" spans="2:5" x14ac:dyDescent="0.25">
      <c r="B50" s="1" t="s">
        <v>11</v>
      </c>
      <c r="C50" s="6">
        <v>41547</v>
      </c>
      <c r="D50" s="7">
        <v>9356507.5500000007</v>
      </c>
      <c r="E50" s="90">
        <v>1953490</v>
      </c>
    </row>
    <row r="51" spans="2:5" x14ac:dyDescent="0.25">
      <c r="B51" s="8" t="s">
        <v>12</v>
      </c>
      <c r="C51" s="9">
        <v>41883</v>
      </c>
      <c r="D51" s="10">
        <v>6849492.4000000004</v>
      </c>
      <c r="E51" s="90"/>
    </row>
    <row r="52" spans="2:5" x14ac:dyDescent="0.25">
      <c r="B52" s="8" t="s">
        <v>13</v>
      </c>
      <c r="C52" s="9">
        <v>42094</v>
      </c>
      <c r="D52" s="10">
        <v>7818061</v>
      </c>
      <c r="E52" s="90"/>
    </row>
    <row r="53" spans="2:5" x14ac:dyDescent="0.25">
      <c r="B53" s="1" t="s">
        <v>11</v>
      </c>
      <c r="C53" s="9">
        <v>42100</v>
      </c>
      <c r="D53" s="10">
        <f>79965.3-30000</f>
        <v>49965.3</v>
      </c>
      <c r="E53" s="90"/>
    </row>
    <row r="54" spans="2:5" x14ac:dyDescent="0.25">
      <c r="B54" s="1" t="s">
        <v>11</v>
      </c>
      <c r="C54" s="9">
        <v>42248</v>
      </c>
      <c r="D54" s="10">
        <v>30000</v>
      </c>
      <c r="E54" s="90"/>
    </row>
    <row r="55" spans="2:5" x14ac:dyDescent="0.25">
      <c r="C55" s="9"/>
      <c r="D55" s="10"/>
    </row>
    <row r="56" spans="2:5" x14ac:dyDescent="0.25">
      <c r="B56" s="12" t="s">
        <v>11</v>
      </c>
      <c r="C56" s="6">
        <v>42643</v>
      </c>
      <c r="D56" s="13">
        <v>400000</v>
      </c>
      <c r="E56" s="10">
        <v>85552</v>
      </c>
    </row>
    <row r="57" spans="2:5" x14ac:dyDescent="0.25">
      <c r="B57" s="12" t="s">
        <v>11</v>
      </c>
      <c r="C57" s="6">
        <v>42643</v>
      </c>
      <c r="D57" s="13">
        <v>72000</v>
      </c>
      <c r="E57" s="10">
        <v>15399</v>
      </c>
    </row>
    <row r="58" spans="2:5" x14ac:dyDescent="0.25">
      <c r="B58" s="12" t="s">
        <v>11</v>
      </c>
      <c r="C58" s="6">
        <v>42766</v>
      </c>
      <c r="D58" s="13">
        <v>1800000</v>
      </c>
      <c r="E58" s="10">
        <v>442359</v>
      </c>
    </row>
    <row r="60" spans="2:5" x14ac:dyDescent="0.25">
      <c r="B60" s="12" t="s">
        <v>14</v>
      </c>
      <c r="C60" s="19">
        <v>41547</v>
      </c>
      <c r="D60" s="7">
        <v>20044282.07</v>
      </c>
      <c r="E60" s="90">
        <v>2250251</v>
      </c>
    </row>
    <row r="61" spans="2:5" x14ac:dyDescent="0.25">
      <c r="B61" s="8" t="s">
        <v>14</v>
      </c>
      <c r="C61" s="20">
        <v>41912</v>
      </c>
      <c r="D61" s="10">
        <v>7097972.9400000004</v>
      </c>
      <c r="E61" s="90"/>
    </row>
    <row r="62" spans="2:5" x14ac:dyDescent="0.25">
      <c r="B62" s="8" t="s">
        <v>14</v>
      </c>
      <c r="C62" s="20">
        <v>42094</v>
      </c>
      <c r="D62" s="10">
        <v>3801560</v>
      </c>
      <c r="E62" s="90"/>
    </row>
    <row r="63" spans="2:5" x14ac:dyDescent="0.25">
      <c r="B63" s="1" t="s">
        <v>14</v>
      </c>
      <c r="C63" s="20">
        <v>42241</v>
      </c>
      <c r="D63" s="10">
        <v>240000</v>
      </c>
      <c r="E63" s="90"/>
    </row>
    <row r="64" spans="2:5" x14ac:dyDescent="0.25">
      <c r="C64" s="21"/>
    </row>
    <row r="65" spans="2:5" x14ac:dyDescent="0.25">
      <c r="B65" s="12" t="s">
        <v>14</v>
      </c>
      <c r="C65" s="20">
        <v>43183</v>
      </c>
      <c r="D65" s="7">
        <v>460000</v>
      </c>
      <c r="E65" s="10">
        <v>186907</v>
      </c>
    </row>
    <row r="66" spans="2:5" x14ac:dyDescent="0.25">
      <c r="B66" s="12" t="s">
        <v>14</v>
      </c>
      <c r="C66" s="20">
        <v>43190</v>
      </c>
      <c r="D66" s="7">
        <v>2800000</v>
      </c>
      <c r="E66" s="10">
        <v>1145653</v>
      </c>
    </row>
    <row r="68" spans="2:5" x14ac:dyDescent="0.25">
      <c r="B68" s="12" t="s">
        <v>15</v>
      </c>
      <c r="C68" s="19">
        <v>41593</v>
      </c>
      <c r="D68" s="7">
        <v>3064578</v>
      </c>
      <c r="E68" s="90">
        <v>588972</v>
      </c>
    </row>
    <row r="69" spans="2:5" x14ac:dyDescent="0.25">
      <c r="B69" s="1" t="s">
        <v>15</v>
      </c>
      <c r="C69" s="20">
        <v>42124</v>
      </c>
      <c r="D69" s="10">
        <v>2649587</v>
      </c>
      <c r="E69" s="90"/>
    </row>
    <row r="70" spans="2:5" x14ac:dyDescent="0.25">
      <c r="B70" s="1" t="s">
        <v>15</v>
      </c>
      <c r="C70" s="20">
        <v>42171</v>
      </c>
      <c r="D70" s="10">
        <v>185000</v>
      </c>
      <c r="E70" s="90"/>
    </row>
    <row r="71" spans="2:5" x14ac:dyDescent="0.25">
      <c r="B71" s="1" t="s">
        <v>15</v>
      </c>
      <c r="C71" s="20">
        <v>42173</v>
      </c>
      <c r="D71" s="10">
        <v>90000</v>
      </c>
      <c r="E71" s="90"/>
    </row>
    <row r="72" spans="2:5" x14ac:dyDescent="0.25">
      <c r="B72" s="1" t="s">
        <v>15</v>
      </c>
      <c r="C72" s="20">
        <v>42277</v>
      </c>
      <c r="D72" s="10">
        <v>12000</v>
      </c>
      <c r="E72" s="90"/>
    </row>
    <row r="73" spans="2:5" x14ac:dyDescent="0.25">
      <c r="B73" s="1" t="s">
        <v>15</v>
      </c>
      <c r="C73" s="20">
        <v>42429</v>
      </c>
      <c r="D73" s="10">
        <v>900000</v>
      </c>
      <c r="E73" s="90"/>
    </row>
    <row r="74" spans="2:5" x14ac:dyDescent="0.25">
      <c r="B74" s="1" t="s">
        <v>15</v>
      </c>
      <c r="C74" s="20">
        <v>42460</v>
      </c>
      <c r="D74" s="10">
        <v>82200</v>
      </c>
      <c r="E74" s="90"/>
    </row>
    <row r="75" spans="2:5" x14ac:dyDescent="0.25">
      <c r="C75" s="20"/>
      <c r="D75" s="10"/>
    </row>
    <row r="76" spans="2:5" x14ac:dyDescent="0.25">
      <c r="B76" s="12" t="s">
        <v>16</v>
      </c>
      <c r="C76" s="19">
        <v>42490</v>
      </c>
      <c r="D76" s="13">
        <v>212000</v>
      </c>
      <c r="E76" s="14">
        <v>36936</v>
      </c>
    </row>
    <row r="77" spans="2:5" x14ac:dyDescent="0.25">
      <c r="B77" s="12" t="s">
        <v>16</v>
      </c>
      <c r="C77" s="19">
        <v>42551</v>
      </c>
      <c r="D77" s="13">
        <v>1400000</v>
      </c>
      <c r="E77" s="14">
        <v>266051</v>
      </c>
    </row>
    <row r="78" spans="2:5" x14ac:dyDescent="0.25">
      <c r="B78" s="12" t="s">
        <v>16</v>
      </c>
      <c r="C78" s="19">
        <v>42674</v>
      </c>
      <c r="D78" s="13">
        <v>35000</v>
      </c>
      <c r="E78" s="14">
        <v>7767</v>
      </c>
    </row>
    <row r="80" spans="2:5" x14ac:dyDescent="0.25">
      <c r="B80" s="8" t="s">
        <v>17</v>
      </c>
      <c r="C80" s="19">
        <v>41547</v>
      </c>
      <c r="D80" s="7">
        <v>46963816.539999999</v>
      </c>
      <c r="E80" s="90">
        <f>5771243-1013</f>
        <v>5770230</v>
      </c>
    </row>
    <row r="81" spans="2:5" x14ac:dyDescent="0.25">
      <c r="B81" s="8" t="s">
        <v>17</v>
      </c>
      <c r="C81" s="19">
        <v>41639</v>
      </c>
      <c r="D81" s="7">
        <v>97550</v>
      </c>
      <c r="E81" s="90"/>
    </row>
    <row r="82" spans="2:5" x14ac:dyDescent="0.25">
      <c r="B82" s="8" t="s">
        <v>17</v>
      </c>
      <c r="C82" s="19">
        <v>41670</v>
      </c>
      <c r="D82" s="7">
        <v>15640</v>
      </c>
      <c r="E82" s="90"/>
    </row>
    <row r="83" spans="2:5" x14ac:dyDescent="0.25">
      <c r="B83" s="8" t="s">
        <v>17</v>
      </c>
      <c r="C83" s="19">
        <v>41684</v>
      </c>
      <c r="D83" s="7">
        <v>40000</v>
      </c>
      <c r="E83" s="90"/>
    </row>
    <row r="84" spans="2:5" x14ac:dyDescent="0.25">
      <c r="B84" s="8" t="s">
        <v>17</v>
      </c>
      <c r="C84" s="20">
        <v>41912</v>
      </c>
      <c r="D84" s="10">
        <v>32060325.199999999</v>
      </c>
      <c r="E84" s="90"/>
    </row>
    <row r="85" spans="2:5" x14ac:dyDescent="0.25">
      <c r="B85" s="8" t="s">
        <v>17</v>
      </c>
      <c r="C85" s="20">
        <v>42094</v>
      </c>
      <c r="D85" s="10">
        <v>1444697.5</v>
      </c>
      <c r="E85" s="90"/>
    </row>
    <row r="86" spans="2:5" x14ac:dyDescent="0.25">
      <c r="B86" s="8" t="s">
        <v>17</v>
      </c>
      <c r="C86" s="20">
        <v>42494</v>
      </c>
      <c r="D86" s="10">
        <v>109000</v>
      </c>
      <c r="E86" s="90"/>
    </row>
    <row r="87" spans="2:5" x14ac:dyDescent="0.25">
      <c r="B87" s="8"/>
      <c r="C87" s="20"/>
      <c r="D87" s="10"/>
    </row>
    <row r="88" spans="2:5" x14ac:dyDescent="0.25">
      <c r="B88" s="12" t="s">
        <v>17</v>
      </c>
      <c r="C88" s="19">
        <v>42766</v>
      </c>
      <c r="D88" s="13">
        <f>40650+48000+67000+27000</f>
        <v>182650</v>
      </c>
      <c r="E88" s="10">
        <v>44887</v>
      </c>
    </row>
    <row r="89" spans="2:5" x14ac:dyDescent="0.25">
      <c r="B89" s="12" t="s">
        <v>17</v>
      </c>
      <c r="C89" s="19">
        <v>42794</v>
      </c>
      <c r="D89" s="13">
        <f>12423375+180000</f>
        <v>12603375</v>
      </c>
      <c r="E89" s="10">
        <v>3188798</v>
      </c>
    </row>
    <row r="90" spans="2:5" x14ac:dyDescent="0.25">
      <c r="B90" s="12" t="s">
        <v>17</v>
      </c>
      <c r="C90" s="19">
        <v>42794</v>
      </c>
      <c r="D90" s="13">
        <v>282487.08</v>
      </c>
      <c r="E90" s="10">
        <v>71472</v>
      </c>
    </row>
    <row r="91" spans="2:5" x14ac:dyDescent="0.25">
      <c r="B91" s="12" t="s">
        <v>17</v>
      </c>
      <c r="C91" s="19">
        <v>42825</v>
      </c>
      <c r="D91" s="13">
        <f>42000+494909</f>
        <v>536909</v>
      </c>
      <c r="E91" s="10">
        <v>140158</v>
      </c>
    </row>
    <row r="92" spans="2:5" x14ac:dyDescent="0.25">
      <c r="B92" s="12" t="s">
        <v>17</v>
      </c>
      <c r="C92" s="20">
        <v>42855</v>
      </c>
      <c r="D92" s="7">
        <v>225000</v>
      </c>
      <c r="E92" s="10">
        <v>61443.968807832913</v>
      </c>
    </row>
    <row r="93" spans="2:5" x14ac:dyDescent="0.25">
      <c r="B93" s="12" t="s">
        <v>17</v>
      </c>
      <c r="C93" s="20">
        <v>42977</v>
      </c>
      <c r="D93" s="10">
        <v>31500</v>
      </c>
      <c r="E93" s="10">
        <v>10163.189135365104</v>
      </c>
    </row>
    <row r="94" spans="2:5" x14ac:dyDescent="0.25">
      <c r="B94" s="12" t="s">
        <v>17</v>
      </c>
      <c r="C94" s="20">
        <v>43008</v>
      </c>
      <c r="D94" s="10">
        <v>90000</v>
      </c>
      <c r="E94" s="10">
        <v>30170.986254914886</v>
      </c>
    </row>
    <row r="95" spans="2:5" x14ac:dyDescent="0.25">
      <c r="B95" s="12" t="s">
        <v>17</v>
      </c>
      <c r="C95" s="20">
        <v>43131</v>
      </c>
      <c r="D95" s="10">
        <v>180000</v>
      </c>
      <c r="E95" s="10">
        <v>69335.280274655277</v>
      </c>
    </row>
    <row r="96" spans="2:5" x14ac:dyDescent="0.25">
      <c r="B96" s="8" t="s">
        <v>18</v>
      </c>
      <c r="C96" s="20">
        <v>43221</v>
      </c>
      <c r="D96" s="10">
        <v>340000</v>
      </c>
      <c r="E96" s="10">
        <v>145963.76363260721</v>
      </c>
    </row>
    <row r="97" spans="2:5" x14ac:dyDescent="0.25">
      <c r="B97" s="8" t="s">
        <v>19</v>
      </c>
      <c r="C97" s="20">
        <v>43282</v>
      </c>
      <c r="D97" s="10">
        <v>14169472.699999999</v>
      </c>
      <c r="E97" s="10">
        <v>6633334.6824293677</v>
      </c>
    </row>
    <row r="98" spans="2:5" x14ac:dyDescent="0.25">
      <c r="B98" s="8" t="s">
        <v>20</v>
      </c>
      <c r="C98" s="20">
        <v>43364</v>
      </c>
      <c r="D98" s="10">
        <v>10000000</v>
      </c>
      <c r="E98" s="10">
        <v>5203504.173066847</v>
      </c>
    </row>
    <row r="99" spans="2:5" x14ac:dyDescent="0.25">
      <c r="B99" s="8" t="s">
        <v>21</v>
      </c>
      <c r="C99" s="20">
        <v>43500</v>
      </c>
      <c r="D99" s="10">
        <v>13453752.58</v>
      </c>
      <c r="E99" s="10">
        <v>8165605.6295347139</v>
      </c>
    </row>
    <row r="101" spans="2:5" x14ac:dyDescent="0.25">
      <c r="B101" s="8" t="s">
        <v>22</v>
      </c>
      <c r="C101" s="20">
        <v>42124</v>
      </c>
      <c r="D101" s="10">
        <v>471865</v>
      </c>
      <c r="E101" s="10">
        <v>52373.233554722232</v>
      </c>
    </row>
    <row r="102" spans="2:5" x14ac:dyDescent="0.25">
      <c r="B102" s="8" t="s">
        <v>22</v>
      </c>
      <c r="C102" s="20">
        <v>42825</v>
      </c>
      <c r="D102" s="17">
        <v>8489.7999999999993</v>
      </c>
      <c r="E102" s="10">
        <v>2216</v>
      </c>
    </row>
    <row r="103" spans="2:5" x14ac:dyDescent="0.25">
      <c r="B103" s="8" t="s">
        <v>22</v>
      </c>
      <c r="C103" s="20">
        <v>42916</v>
      </c>
      <c r="D103" s="17">
        <v>270000</v>
      </c>
      <c r="E103" s="10">
        <v>80422.906150550203</v>
      </c>
    </row>
    <row r="104" spans="2:5" x14ac:dyDescent="0.25">
      <c r="B104" s="8" t="s">
        <v>22</v>
      </c>
      <c r="C104" s="20">
        <v>43039</v>
      </c>
      <c r="D104" s="17">
        <v>270000</v>
      </c>
      <c r="E104" s="10">
        <v>93912.867797788451</v>
      </c>
    </row>
    <row r="106" spans="2:5" x14ac:dyDescent="0.25">
      <c r="B106" s="8" t="s">
        <v>23</v>
      </c>
      <c r="C106" s="20">
        <v>41912</v>
      </c>
      <c r="D106" s="10">
        <v>91564953.209999993</v>
      </c>
      <c r="E106" s="90">
        <v>8761775</v>
      </c>
    </row>
    <row r="107" spans="2:5" x14ac:dyDescent="0.25">
      <c r="B107" s="8" t="s">
        <v>23</v>
      </c>
      <c r="C107" s="20">
        <v>42094</v>
      </c>
      <c r="D107" s="10">
        <v>6394522.0499999998</v>
      </c>
      <c r="E107" s="90"/>
    </row>
    <row r="108" spans="2:5" x14ac:dyDescent="0.25">
      <c r="B108" s="8" t="s">
        <v>23</v>
      </c>
      <c r="C108" s="20">
        <v>42116</v>
      </c>
      <c r="D108" s="10">
        <v>200000</v>
      </c>
      <c r="E108" s="90"/>
    </row>
    <row r="109" spans="2:5" x14ac:dyDescent="0.25">
      <c r="B109" s="8" t="s">
        <v>23</v>
      </c>
      <c r="C109" s="20">
        <v>42287</v>
      </c>
      <c r="D109" s="10">
        <v>24703.8</v>
      </c>
      <c r="E109" s="90"/>
    </row>
    <row r="110" spans="2:5" x14ac:dyDescent="0.25">
      <c r="B110" s="8" t="s">
        <v>23</v>
      </c>
      <c r="C110" s="20">
        <v>42292</v>
      </c>
      <c r="D110" s="10">
        <v>62900</v>
      </c>
      <c r="E110" s="90"/>
    </row>
    <row r="111" spans="2:5" x14ac:dyDescent="0.25">
      <c r="B111" s="8"/>
      <c r="C111" s="21"/>
    </row>
    <row r="112" spans="2:5" x14ac:dyDescent="0.25">
      <c r="B112" s="12" t="s">
        <v>23</v>
      </c>
      <c r="C112" s="19">
        <v>42551</v>
      </c>
      <c r="D112" s="13">
        <f>37991+8400</f>
        <v>46391</v>
      </c>
      <c r="E112" s="14">
        <v>8897.4736367499136</v>
      </c>
    </row>
    <row r="113" spans="2:5" x14ac:dyDescent="0.25">
      <c r="B113" s="12" t="s">
        <v>23</v>
      </c>
      <c r="C113" s="19">
        <v>42643</v>
      </c>
      <c r="D113" s="13">
        <f>7075845+10400+3000</f>
        <v>7089245</v>
      </c>
      <c r="E113" s="14">
        <v>1530255.5393047207</v>
      </c>
    </row>
    <row r="114" spans="2:5" x14ac:dyDescent="0.25">
      <c r="B114" s="12" t="s">
        <v>23</v>
      </c>
      <c r="C114" s="19">
        <v>42673</v>
      </c>
      <c r="D114" s="13">
        <f>295000+22750</f>
        <v>317750</v>
      </c>
      <c r="E114" s="14">
        <v>71081.469138291941</v>
      </c>
    </row>
    <row r="115" spans="2:5" x14ac:dyDescent="0.25">
      <c r="B115" s="12" t="s">
        <v>23</v>
      </c>
      <c r="C115" s="19">
        <v>42704</v>
      </c>
      <c r="D115" s="13">
        <f>17575</f>
        <v>17575</v>
      </c>
      <c r="E115" s="14">
        <v>4074.0717458551694</v>
      </c>
    </row>
    <row r="116" spans="2:5" x14ac:dyDescent="0.25">
      <c r="B116" s="12" t="s">
        <v>23</v>
      </c>
      <c r="C116" s="19">
        <v>42735</v>
      </c>
      <c r="D116" s="13">
        <v>21000</v>
      </c>
      <c r="E116" s="14">
        <v>5038.2937930787921</v>
      </c>
    </row>
    <row r="117" spans="2:5" x14ac:dyDescent="0.25">
      <c r="B117" s="12" t="s">
        <v>23</v>
      </c>
      <c r="C117" s="19">
        <v>42766</v>
      </c>
      <c r="D117" s="13">
        <f>80000+31000+135000+1503</f>
        <v>247503</v>
      </c>
      <c r="E117" s="14">
        <v>61387.396496894486</v>
      </c>
    </row>
    <row r="118" spans="2:5" x14ac:dyDescent="0.25">
      <c r="B118" s="12" t="s">
        <v>23</v>
      </c>
      <c r="C118" s="19">
        <v>42794</v>
      </c>
      <c r="D118" s="13">
        <f>257000+60000</f>
        <v>317000</v>
      </c>
      <c r="E118" s="14">
        <v>80946.060143020164</v>
      </c>
    </row>
    <row r="119" spans="2:5" x14ac:dyDescent="0.25">
      <c r="B119" s="12" t="s">
        <v>23</v>
      </c>
      <c r="C119" s="19">
        <v>42825</v>
      </c>
      <c r="D119" s="13">
        <f>700000+21000+11564</f>
        <v>732564</v>
      </c>
      <c r="E119" s="14">
        <v>193000.19343927043</v>
      </c>
    </row>
    <row r="120" spans="2:5" x14ac:dyDescent="0.25">
      <c r="B120" s="12" t="s">
        <v>23</v>
      </c>
      <c r="C120" s="20">
        <v>42855</v>
      </c>
      <c r="D120" s="10">
        <v>70000</v>
      </c>
      <c r="E120" s="10">
        <v>19293</v>
      </c>
    </row>
    <row r="121" spans="2:5" x14ac:dyDescent="0.25">
      <c r="B121" s="12" t="s">
        <v>23</v>
      </c>
      <c r="C121" s="20">
        <v>42886</v>
      </c>
      <c r="D121" s="10">
        <v>70000</v>
      </c>
      <c r="E121" s="10">
        <v>20182</v>
      </c>
    </row>
    <row r="122" spans="2:5" x14ac:dyDescent="0.25">
      <c r="B122" s="12" t="s">
        <v>23</v>
      </c>
      <c r="C122" s="20">
        <v>42916</v>
      </c>
      <c r="D122" s="10">
        <v>140000</v>
      </c>
      <c r="E122" s="10">
        <v>42086</v>
      </c>
    </row>
    <row r="123" spans="2:5" x14ac:dyDescent="0.25">
      <c r="B123" s="12" t="s">
        <v>23</v>
      </c>
      <c r="C123" s="20">
        <v>42947</v>
      </c>
      <c r="D123" s="10">
        <v>225000</v>
      </c>
      <c r="E123" s="10">
        <v>70498</v>
      </c>
    </row>
    <row r="124" spans="2:5" x14ac:dyDescent="0.25">
      <c r="B124" s="12" t="s">
        <v>23</v>
      </c>
      <c r="C124" s="20">
        <v>43008</v>
      </c>
      <c r="D124" s="10">
        <v>396000</v>
      </c>
      <c r="E124" s="10">
        <v>133980</v>
      </c>
    </row>
    <row r="125" spans="2:5" x14ac:dyDescent="0.25">
      <c r="B125" s="12" t="s">
        <v>23</v>
      </c>
      <c r="C125" s="20">
        <v>43039</v>
      </c>
      <c r="D125" s="10">
        <v>650000</v>
      </c>
      <c r="E125" s="10">
        <v>228176.5417205001</v>
      </c>
    </row>
    <row r="126" spans="2:5" x14ac:dyDescent="0.25">
      <c r="B126" s="8" t="s">
        <v>23</v>
      </c>
      <c r="C126" s="20">
        <v>43282</v>
      </c>
      <c r="D126" s="10">
        <v>2410848.73</v>
      </c>
      <c r="E126" s="10">
        <v>1139054.4388694491</v>
      </c>
    </row>
    <row r="128" spans="2:5" x14ac:dyDescent="0.25">
      <c r="B128" s="8" t="s">
        <v>24</v>
      </c>
      <c r="C128" s="20">
        <v>41912</v>
      </c>
      <c r="D128" s="14">
        <v>16903485.699999999</v>
      </c>
      <c r="E128" s="22">
        <v>1471585</v>
      </c>
    </row>
    <row r="130" spans="2:5" x14ac:dyDescent="0.25">
      <c r="B130" s="8" t="s">
        <v>25</v>
      </c>
      <c r="C130" s="20">
        <v>42109</v>
      </c>
      <c r="D130" s="22">
        <v>1076250</v>
      </c>
      <c r="E130" s="22">
        <v>116786</v>
      </c>
    </row>
    <row r="131" spans="2:5" x14ac:dyDescent="0.25">
      <c r="B131" s="12" t="s">
        <v>25</v>
      </c>
      <c r="C131" s="19">
        <v>42704</v>
      </c>
      <c r="D131" s="13">
        <v>46000</v>
      </c>
      <c r="E131" s="22">
        <v>10566</v>
      </c>
    </row>
    <row r="133" spans="2:5" x14ac:dyDescent="0.25">
      <c r="B133" s="12" t="s">
        <v>26</v>
      </c>
      <c r="C133" s="19">
        <v>42551</v>
      </c>
      <c r="D133" s="13">
        <v>357273</v>
      </c>
      <c r="E133" s="14">
        <v>67894.856376081778</v>
      </c>
    </row>
    <row r="134" spans="2:5" x14ac:dyDescent="0.25">
      <c r="B134" s="12" t="s">
        <v>26</v>
      </c>
      <c r="C134" s="19">
        <v>42643</v>
      </c>
      <c r="D134" s="13">
        <f>887250+100000</f>
        <v>987250</v>
      </c>
      <c r="E134" s="14">
        <v>211151.81492161212</v>
      </c>
    </row>
    <row r="136" spans="2:5" x14ac:dyDescent="0.25">
      <c r="B136" s="12" t="s">
        <v>27</v>
      </c>
      <c r="C136" s="19">
        <v>42819</v>
      </c>
      <c r="D136" s="13">
        <v>15793433.75</v>
      </c>
      <c r="E136" s="10">
        <v>4098244</v>
      </c>
    </row>
    <row r="137" spans="2:5" x14ac:dyDescent="0.25">
      <c r="B137" s="12" t="s">
        <v>27</v>
      </c>
      <c r="C137" s="19">
        <v>43069</v>
      </c>
      <c r="D137" s="13">
        <v>171600</v>
      </c>
      <c r="E137" s="10">
        <v>61778</v>
      </c>
    </row>
    <row r="138" spans="2:5" x14ac:dyDescent="0.25">
      <c r="B138" s="12" t="s">
        <v>27</v>
      </c>
      <c r="C138" s="19">
        <v>43100</v>
      </c>
      <c r="D138" s="13">
        <v>123120</v>
      </c>
      <c r="E138" s="10">
        <v>45875</v>
      </c>
    </row>
    <row r="139" spans="2:5" x14ac:dyDescent="0.25">
      <c r="B139" s="12" t="s">
        <v>27</v>
      </c>
      <c r="C139" s="19">
        <v>43100</v>
      </c>
      <c r="D139" s="10">
        <v>128700</v>
      </c>
      <c r="E139" s="10">
        <v>47954</v>
      </c>
    </row>
    <row r="140" spans="2:5" x14ac:dyDescent="0.25">
      <c r="B140" s="8" t="s">
        <v>28</v>
      </c>
      <c r="C140" s="20">
        <v>43387</v>
      </c>
      <c r="D140" s="10">
        <v>3749019.04</v>
      </c>
      <c r="E140" s="10">
        <v>2005702.9011913496</v>
      </c>
    </row>
    <row r="141" spans="2:5" x14ac:dyDescent="0.25">
      <c r="B141" s="8" t="s">
        <v>29</v>
      </c>
      <c r="C141" s="20">
        <v>43459</v>
      </c>
      <c r="D141" s="10">
        <v>3771569.04</v>
      </c>
      <c r="E141" s="10">
        <v>2190659.3439466208</v>
      </c>
    </row>
    <row r="143" spans="2:5" x14ac:dyDescent="0.25">
      <c r="B143" s="8" t="s">
        <v>30</v>
      </c>
      <c r="C143" s="20">
        <v>41547</v>
      </c>
      <c r="D143" s="10">
        <v>1157527.21</v>
      </c>
      <c r="E143" s="90">
        <v>286139</v>
      </c>
    </row>
    <row r="144" spans="2:5" x14ac:dyDescent="0.25">
      <c r="B144" s="8" t="s">
        <v>31</v>
      </c>
      <c r="C144" s="20">
        <v>41762</v>
      </c>
      <c r="D144" s="17">
        <v>27930</v>
      </c>
      <c r="E144" s="90"/>
    </row>
    <row r="145" spans="2:5" x14ac:dyDescent="0.25">
      <c r="B145" s="8" t="s">
        <v>31</v>
      </c>
      <c r="C145" s="20">
        <v>41883</v>
      </c>
      <c r="D145" s="17">
        <v>611669</v>
      </c>
      <c r="E145" s="90"/>
    </row>
    <row r="146" spans="2:5" x14ac:dyDescent="0.25">
      <c r="B146" s="8"/>
      <c r="C146" s="21"/>
    </row>
    <row r="147" spans="2:5" x14ac:dyDescent="0.25">
      <c r="B147" s="8" t="s">
        <v>32</v>
      </c>
      <c r="C147" s="20">
        <v>41547</v>
      </c>
      <c r="D147" s="10">
        <v>20134676.32</v>
      </c>
      <c r="E147" s="90">
        <v>4425315</v>
      </c>
    </row>
    <row r="148" spans="2:5" x14ac:dyDescent="0.25">
      <c r="B148" s="8" t="s">
        <v>32</v>
      </c>
      <c r="C148" s="20">
        <v>41790</v>
      </c>
      <c r="D148" s="17">
        <v>179997.8</v>
      </c>
      <c r="E148" s="90"/>
    </row>
    <row r="149" spans="2:5" x14ac:dyDescent="0.25">
      <c r="B149" s="8" t="s">
        <v>32</v>
      </c>
      <c r="C149" s="20">
        <v>41820</v>
      </c>
      <c r="D149" s="17">
        <v>129892.71</v>
      </c>
      <c r="E149" s="90"/>
    </row>
    <row r="150" spans="2:5" x14ac:dyDescent="0.25">
      <c r="B150" s="8" t="s">
        <v>32</v>
      </c>
      <c r="C150" s="20">
        <v>41851</v>
      </c>
      <c r="D150" s="17">
        <v>112626.43</v>
      </c>
      <c r="E150" s="90"/>
    </row>
    <row r="151" spans="2:5" x14ac:dyDescent="0.25">
      <c r="B151" s="8" t="s">
        <v>32</v>
      </c>
      <c r="C151" s="20">
        <v>41882</v>
      </c>
      <c r="D151" s="17">
        <v>270667.03999999998</v>
      </c>
      <c r="E151" s="90"/>
    </row>
    <row r="152" spans="2:5" x14ac:dyDescent="0.25">
      <c r="B152" s="8" t="s">
        <v>32</v>
      </c>
      <c r="C152" s="20">
        <v>41912</v>
      </c>
      <c r="D152" s="17">
        <v>3124197.2</v>
      </c>
      <c r="E152" s="90"/>
    </row>
    <row r="153" spans="2:5" x14ac:dyDescent="0.25">
      <c r="B153" s="8" t="s">
        <v>32</v>
      </c>
      <c r="C153" s="20">
        <v>41943</v>
      </c>
      <c r="D153" s="17">
        <v>834409.07</v>
      </c>
      <c r="E153" s="90"/>
    </row>
    <row r="154" spans="2:5" x14ac:dyDescent="0.25">
      <c r="B154" s="8" t="s">
        <v>32</v>
      </c>
      <c r="C154" s="20">
        <v>41973</v>
      </c>
      <c r="D154" s="17">
        <v>81768.100000000006</v>
      </c>
      <c r="E154" s="90"/>
    </row>
    <row r="155" spans="2:5" x14ac:dyDescent="0.25">
      <c r="B155" s="8" t="s">
        <v>32</v>
      </c>
      <c r="C155" s="20">
        <v>42004</v>
      </c>
      <c r="D155" s="17">
        <v>393346.44</v>
      </c>
      <c r="E155" s="90"/>
    </row>
    <row r="156" spans="2:5" x14ac:dyDescent="0.25">
      <c r="B156" s="8" t="s">
        <v>32</v>
      </c>
      <c r="C156" s="20">
        <v>42035</v>
      </c>
      <c r="D156" s="17">
        <v>560000</v>
      </c>
      <c r="E156" s="90"/>
    </row>
    <row r="157" spans="2:5" x14ac:dyDescent="0.25">
      <c r="B157" s="8" t="s">
        <v>32</v>
      </c>
      <c r="C157" s="20">
        <v>42063</v>
      </c>
      <c r="D157" s="17">
        <v>6953</v>
      </c>
      <c r="E157" s="90"/>
    </row>
    <row r="158" spans="2:5" x14ac:dyDescent="0.25">
      <c r="B158" s="8" t="s">
        <v>32</v>
      </c>
      <c r="C158" s="20">
        <v>42094</v>
      </c>
      <c r="D158" s="17">
        <v>427153.9</v>
      </c>
      <c r="E158" s="90"/>
    </row>
    <row r="159" spans="2:5" x14ac:dyDescent="0.25">
      <c r="B159" s="8" t="s">
        <v>32</v>
      </c>
      <c r="C159" s="20">
        <v>42101</v>
      </c>
      <c r="D159" s="10">
        <v>15497.25</v>
      </c>
      <c r="E159" s="90"/>
    </row>
    <row r="160" spans="2:5" x14ac:dyDescent="0.25">
      <c r="B160" s="8" t="s">
        <v>32</v>
      </c>
      <c r="C160" s="20">
        <v>42331</v>
      </c>
      <c r="D160" s="10">
        <v>880000</v>
      </c>
      <c r="E160" s="90"/>
    </row>
    <row r="161" spans="2:5" x14ac:dyDescent="0.25">
      <c r="B161" s="8" t="s">
        <v>32</v>
      </c>
      <c r="C161" s="20">
        <v>42346</v>
      </c>
      <c r="D161" s="10">
        <v>362800</v>
      </c>
      <c r="E161" s="90"/>
    </row>
    <row r="162" spans="2:5" x14ac:dyDescent="0.25">
      <c r="B162" s="8" t="s">
        <v>32</v>
      </c>
      <c r="C162" s="20">
        <v>42359</v>
      </c>
      <c r="D162" s="10">
        <v>137900</v>
      </c>
      <c r="E162" s="90"/>
    </row>
    <row r="163" spans="2:5" x14ac:dyDescent="0.25">
      <c r="B163" s="8"/>
      <c r="C163" s="20"/>
      <c r="D163" s="10"/>
      <c r="E163" s="23"/>
    </row>
    <row r="164" spans="2:5" x14ac:dyDescent="0.25">
      <c r="B164" s="8" t="s">
        <v>32</v>
      </c>
      <c r="C164" s="20">
        <v>42613</v>
      </c>
      <c r="D164" s="17">
        <v>45472.88</v>
      </c>
      <c r="E164" s="10">
        <v>15713</v>
      </c>
    </row>
    <row r="165" spans="2:5" x14ac:dyDescent="0.25">
      <c r="B165" s="8" t="s">
        <v>32</v>
      </c>
      <c r="C165" s="20">
        <v>42613</v>
      </c>
      <c r="D165" s="17">
        <v>24000</v>
      </c>
      <c r="E165" s="10">
        <v>8293</v>
      </c>
    </row>
    <row r="166" spans="2:5" x14ac:dyDescent="0.25">
      <c r="B166" s="12" t="s">
        <v>32</v>
      </c>
      <c r="C166" s="20">
        <v>43054</v>
      </c>
      <c r="D166" s="17">
        <v>675000</v>
      </c>
      <c r="E166" s="10">
        <v>372135.87369863014</v>
      </c>
    </row>
    <row r="167" spans="2:5" x14ac:dyDescent="0.25">
      <c r="B167" s="12" t="s">
        <v>32</v>
      </c>
      <c r="C167" s="20">
        <v>42947</v>
      </c>
      <c r="D167" s="17">
        <v>53000</v>
      </c>
      <c r="E167" s="10">
        <v>31261</v>
      </c>
    </row>
    <row r="169" spans="2:5" x14ac:dyDescent="0.25">
      <c r="B169" s="8" t="s">
        <v>33</v>
      </c>
      <c r="C169" s="20">
        <v>41547</v>
      </c>
      <c r="D169" s="10">
        <v>210060.24</v>
      </c>
      <c r="E169" s="90">
        <v>54793</v>
      </c>
    </row>
    <row r="170" spans="2:5" x14ac:dyDescent="0.25">
      <c r="B170" s="8" t="s">
        <v>33</v>
      </c>
      <c r="C170" s="20">
        <v>41841</v>
      </c>
      <c r="D170" s="17">
        <v>540000</v>
      </c>
      <c r="E170" s="90"/>
    </row>
    <row r="171" spans="2:5" x14ac:dyDescent="0.25">
      <c r="B171" s="8"/>
      <c r="C171" s="21"/>
    </row>
    <row r="172" spans="2:5" x14ac:dyDescent="0.25">
      <c r="B172" s="8" t="s">
        <v>34</v>
      </c>
      <c r="C172" s="20">
        <v>41547</v>
      </c>
      <c r="D172" s="10">
        <v>256794.18</v>
      </c>
      <c r="E172" s="90">
        <v>45673</v>
      </c>
    </row>
    <row r="173" spans="2:5" x14ac:dyDescent="0.25">
      <c r="B173" s="8" t="s">
        <v>34</v>
      </c>
      <c r="C173" s="20">
        <v>41685</v>
      </c>
      <c r="D173" s="10">
        <v>13653</v>
      </c>
      <c r="E173" s="90"/>
    </row>
    <row r="174" spans="2:5" x14ac:dyDescent="0.25">
      <c r="B174" s="8" t="s">
        <v>34</v>
      </c>
      <c r="C174" s="20">
        <v>41912</v>
      </c>
      <c r="D174" s="17">
        <v>343497</v>
      </c>
      <c r="E174" s="90"/>
    </row>
    <row r="175" spans="2:5" x14ac:dyDescent="0.25">
      <c r="B175" s="8"/>
      <c r="C175" s="21"/>
    </row>
    <row r="176" spans="2:5" x14ac:dyDescent="0.25">
      <c r="B176" s="8" t="s">
        <v>35</v>
      </c>
      <c r="C176" s="20">
        <v>41547</v>
      </c>
      <c r="D176" s="10">
        <v>1244113.6200000001</v>
      </c>
      <c r="E176" s="90">
        <v>230048</v>
      </c>
    </row>
    <row r="177" spans="2:5" x14ac:dyDescent="0.25">
      <c r="B177" s="8" t="s">
        <v>35</v>
      </c>
      <c r="C177" s="20">
        <v>41640</v>
      </c>
      <c r="D177" s="10">
        <v>166583.35</v>
      </c>
      <c r="E177" s="90"/>
    </row>
    <row r="178" spans="2:5" x14ac:dyDescent="0.25">
      <c r="B178" s="8" t="s">
        <v>35</v>
      </c>
      <c r="C178" s="20">
        <v>41670</v>
      </c>
      <c r="D178" s="10">
        <v>150833.46</v>
      </c>
      <c r="E178" s="90"/>
    </row>
    <row r="179" spans="2:5" x14ac:dyDescent="0.25">
      <c r="B179" s="8"/>
      <c r="C179" s="21"/>
    </row>
    <row r="180" spans="2:5" x14ac:dyDescent="0.25">
      <c r="B180" s="8" t="s">
        <v>35</v>
      </c>
      <c r="C180" s="20">
        <v>42149</v>
      </c>
      <c r="D180" s="10">
        <v>22857</v>
      </c>
      <c r="E180" s="10">
        <v>5368.9967572380538</v>
      </c>
    </row>
    <row r="181" spans="2:5" x14ac:dyDescent="0.25">
      <c r="B181" s="8" t="s">
        <v>35</v>
      </c>
      <c r="C181" s="20">
        <v>42223</v>
      </c>
      <c r="D181" s="10">
        <v>240000</v>
      </c>
      <c r="E181" s="10">
        <v>60174.869076801304</v>
      </c>
    </row>
    <row r="182" spans="2:5" x14ac:dyDescent="0.25">
      <c r="B182" s="8" t="s">
        <v>35</v>
      </c>
      <c r="C182" s="20">
        <v>42825</v>
      </c>
      <c r="D182" s="17">
        <f>43000+575000</f>
        <v>618000</v>
      </c>
      <c r="E182" s="10">
        <v>251368</v>
      </c>
    </row>
    <row r="184" spans="2:5" x14ac:dyDescent="0.25">
      <c r="B184" s="8" t="s">
        <v>36</v>
      </c>
      <c r="C184" s="20">
        <v>41547</v>
      </c>
      <c r="D184" s="10">
        <v>191994.25</v>
      </c>
      <c r="E184" s="90">
        <v>29053</v>
      </c>
    </row>
    <row r="185" spans="2:5" x14ac:dyDescent="0.25">
      <c r="B185" s="8" t="s">
        <v>36</v>
      </c>
      <c r="C185" s="20">
        <v>41729</v>
      </c>
      <c r="D185" s="10">
        <v>7718</v>
      </c>
      <c r="E185" s="90"/>
    </row>
    <row r="186" spans="2:5" x14ac:dyDescent="0.25">
      <c r="B186" s="8" t="s">
        <v>36</v>
      </c>
      <c r="C186" s="20">
        <v>41820</v>
      </c>
      <c r="D186" s="17">
        <v>17619</v>
      </c>
      <c r="E186" s="90"/>
    </row>
    <row r="187" spans="2:5" x14ac:dyDescent="0.25">
      <c r="B187" s="8" t="s">
        <v>36</v>
      </c>
      <c r="C187" s="20">
        <v>41902</v>
      </c>
      <c r="D187" s="17">
        <v>10800</v>
      </c>
      <c r="E187" s="90"/>
    </row>
    <row r="188" spans="2:5" x14ac:dyDescent="0.25">
      <c r="B188" s="8" t="s">
        <v>36</v>
      </c>
      <c r="C188" s="20">
        <v>41936</v>
      </c>
      <c r="D188" s="17">
        <v>11584</v>
      </c>
      <c r="E188" s="90"/>
    </row>
    <row r="189" spans="2:5" x14ac:dyDescent="0.25">
      <c r="B189" s="12" t="s">
        <v>36</v>
      </c>
      <c r="C189" s="20">
        <v>42203</v>
      </c>
      <c r="D189" s="10">
        <v>17500</v>
      </c>
      <c r="E189" s="90"/>
    </row>
    <row r="190" spans="2:5" x14ac:dyDescent="0.25">
      <c r="B190" s="12" t="s">
        <v>36</v>
      </c>
      <c r="C190" s="20">
        <v>42210</v>
      </c>
      <c r="D190" s="10">
        <v>5936</v>
      </c>
      <c r="E190" s="90"/>
    </row>
    <row r="191" spans="2:5" x14ac:dyDescent="0.25">
      <c r="B191" s="12" t="s">
        <v>36</v>
      </c>
      <c r="C191" s="20">
        <v>42256</v>
      </c>
      <c r="D191" s="10">
        <v>15544</v>
      </c>
      <c r="E191" s="90"/>
    </row>
    <row r="192" spans="2:5" x14ac:dyDescent="0.25">
      <c r="B192" s="12" t="s">
        <v>36</v>
      </c>
      <c r="C192" s="20">
        <v>42264</v>
      </c>
      <c r="D192" s="10">
        <v>40332</v>
      </c>
      <c r="E192" s="90"/>
    </row>
    <row r="193" spans="2:5" x14ac:dyDescent="0.25">
      <c r="B193" s="12" t="s">
        <v>36</v>
      </c>
      <c r="C193" s="20">
        <v>42274</v>
      </c>
      <c r="D193" s="10">
        <v>11400</v>
      </c>
      <c r="E193" s="90"/>
    </row>
    <row r="194" spans="2:5" x14ac:dyDescent="0.25">
      <c r="B194" s="12" t="s">
        <v>36</v>
      </c>
      <c r="C194" s="20">
        <v>42298</v>
      </c>
      <c r="D194" s="10">
        <v>8200</v>
      </c>
      <c r="E194" s="90"/>
    </row>
    <row r="195" spans="2:5" x14ac:dyDescent="0.25">
      <c r="B195" s="12" t="s">
        <v>36</v>
      </c>
      <c r="C195" s="20">
        <v>42313</v>
      </c>
      <c r="D195" s="10">
        <v>8900</v>
      </c>
      <c r="E195" s="90"/>
    </row>
    <row r="196" spans="2:5" x14ac:dyDescent="0.25">
      <c r="B196" s="12" t="s">
        <v>36</v>
      </c>
      <c r="C196" s="20">
        <v>42325</v>
      </c>
      <c r="D196" s="10">
        <v>8000</v>
      </c>
      <c r="E196" s="90"/>
    </row>
    <row r="197" spans="2:5" x14ac:dyDescent="0.25">
      <c r="B197" s="12" t="s">
        <v>36</v>
      </c>
      <c r="C197" s="20">
        <v>42328</v>
      </c>
      <c r="D197" s="10">
        <v>15352</v>
      </c>
      <c r="E197" s="90"/>
    </row>
    <row r="198" spans="2:5" x14ac:dyDescent="0.25">
      <c r="B198" s="8"/>
      <c r="C198" s="21"/>
    </row>
    <row r="199" spans="2:5" x14ac:dyDescent="0.25">
      <c r="B199" s="8" t="s">
        <v>37</v>
      </c>
      <c r="C199" s="20">
        <v>41547</v>
      </c>
      <c r="D199" s="10">
        <v>479983.35999999999</v>
      </c>
      <c r="E199" s="90">
        <v>29477</v>
      </c>
    </row>
    <row r="200" spans="2:5" x14ac:dyDescent="0.25">
      <c r="B200" s="8" t="s">
        <v>37</v>
      </c>
      <c r="C200" s="20">
        <v>41820</v>
      </c>
      <c r="D200" s="10">
        <v>600</v>
      </c>
      <c r="E200" s="90"/>
    </row>
    <row r="201" spans="2:5" x14ac:dyDescent="0.25">
      <c r="B201" s="8"/>
      <c r="C201" s="21"/>
    </row>
    <row r="202" spans="2:5" x14ac:dyDescent="0.25">
      <c r="B202" s="12" t="s">
        <v>38</v>
      </c>
      <c r="C202" s="20">
        <v>42916</v>
      </c>
      <c r="D202" s="17">
        <v>155000</v>
      </c>
      <c r="E202" s="10">
        <v>46168.705382723259</v>
      </c>
    </row>
    <row r="204" spans="2:5" x14ac:dyDescent="0.25">
      <c r="B204" s="8" t="s">
        <v>39</v>
      </c>
      <c r="C204" s="20">
        <v>41547</v>
      </c>
      <c r="D204" s="10">
        <v>51684.49</v>
      </c>
      <c r="E204" s="10">
        <v>3167</v>
      </c>
    </row>
    <row r="206" spans="2:5" x14ac:dyDescent="0.25">
      <c r="B206" s="8" t="s">
        <v>40</v>
      </c>
      <c r="C206" s="19">
        <v>41547</v>
      </c>
      <c r="D206" s="10">
        <v>1939788.29</v>
      </c>
      <c r="E206" s="90">
        <v>129669</v>
      </c>
    </row>
    <row r="207" spans="2:5" x14ac:dyDescent="0.25">
      <c r="B207" s="8" t="s">
        <v>40</v>
      </c>
      <c r="C207" s="20">
        <v>41970</v>
      </c>
      <c r="D207" s="10">
        <v>74000</v>
      </c>
      <c r="E207" s="90"/>
    </row>
    <row r="208" spans="2:5" x14ac:dyDescent="0.25">
      <c r="B208" s="8" t="s">
        <v>40</v>
      </c>
      <c r="C208" s="20">
        <v>42116</v>
      </c>
      <c r="D208" s="10">
        <v>10000</v>
      </c>
      <c r="E208" s="90"/>
    </row>
    <row r="209" spans="2:5" x14ac:dyDescent="0.25">
      <c r="B209" s="8" t="s">
        <v>40</v>
      </c>
      <c r="C209" s="20">
        <v>42319</v>
      </c>
      <c r="D209" s="10">
        <v>20000</v>
      </c>
      <c r="E209" s="90"/>
    </row>
    <row r="210" spans="2:5" x14ac:dyDescent="0.25">
      <c r="B210" s="8"/>
      <c r="C210" s="20"/>
      <c r="D210" s="10"/>
    </row>
    <row r="211" spans="2:5" x14ac:dyDescent="0.25">
      <c r="B211" s="8" t="s">
        <v>40</v>
      </c>
      <c r="C211" s="20">
        <v>42613</v>
      </c>
      <c r="D211" s="17">
        <v>39500</v>
      </c>
      <c r="E211" s="10">
        <v>19407.456361535711</v>
      </c>
    </row>
    <row r="213" spans="2:5" x14ac:dyDescent="0.25">
      <c r="B213" s="8" t="s">
        <v>41</v>
      </c>
      <c r="C213" s="19">
        <v>41547</v>
      </c>
      <c r="D213" s="10">
        <v>111035.16</v>
      </c>
      <c r="E213" s="10">
        <v>6805</v>
      </c>
    </row>
    <row r="214" spans="2:5" x14ac:dyDescent="0.25">
      <c r="B214" s="12" t="s">
        <v>41</v>
      </c>
      <c r="C214" s="20">
        <v>42947</v>
      </c>
      <c r="D214" s="24">
        <v>21000</v>
      </c>
      <c r="E214" s="10">
        <v>6530.8949514743381</v>
      </c>
    </row>
    <row r="215" spans="2:5" x14ac:dyDescent="0.25">
      <c r="B215" s="12" t="s">
        <v>41</v>
      </c>
      <c r="C215" s="20">
        <v>43190</v>
      </c>
      <c r="D215" s="24">
        <v>70000</v>
      </c>
      <c r="E215" s="10">
        <v>28641.565324486815</v>
      </c>
    </row>
    <row r="217" spans="2:5" x14ac:dyDescent="0.25">
      <c r="B217" s="8" t="s">
        <v>42</v>
      </c>
      <c r="C217" s="20">
        <v>41547</v>
      </c>
      <c r="D217" s="10">
        <v>1952780.26</v>
      </c>
      <c r="E217" s="90">
        <v>543504</v>
      </c>
    </row>
    <row r="218" spans="2:5" x14ac:dyDescent="0.25">
      <c r="B218" s="8" t="s">
        <v>42</v>
      </c>
      <c r="C218" s="20">
        <v>41745</v>
      </c>
      <c r="D218" s="10">
        <v>4320</v>
      </c>
      <c r="E218" s="90"/>
    </row>
    <row r="219" spans="2:5" x14ac:dyDescent="0.25">
      <c r="B219" s="8"/>
      <c r="C219" s="21"/>
    </row>
    <row r="220" spans="2:5" x14ac:dyDescent="0.25">
      <c r="B220" s="8" t="s">
        <v>43</v>
      </c>
      <c r="C220" s="19">
        <v>41547</v>
      </c>
      <c r="D220" s="10">
        <v>3568011.94</v>
      </c>
      <c r="E220" s="10">
        <v>218659.87812227337</v>
      </c>
    </row>
    <row r="221" spans="2:5" x14ac:dyDescent="0.25">
      <c r="B221" s="8" t="s">
        <v>43</v>
      </c>
      <c r="C221" s="20">
        <v>42178</v>
      </c>
      <c r="D221" s="17">
        <v>225000</v>
      </c>
      <c r="E221" s="10">
        <v>26982.102235642764</v>
      </c>
    </row>
    <row r="222" spans="2:5" x14ac:dyDescent="0.25">
      <c r="B222" s="8" t="s">
        <v>43</v>
      </c>
      <c r="C222" s="20">
        <v>42181</v>
      </c>
      <c r="D222" s="17">
        <f>225000+13500</f>
        <v>238500</v>
      </c>
      <c r="E222" s="10">
        <v>28719.330573554966</v>
      </c>
    </row>
    <row r="223" spans="2:5" x14ac:dyDescent="0.25">
      <c r="B223" s="8" t="s">
        <v>43</v>
      </c>
      <c r="C223" s="20">
        <v>42356</v>
      </c>
      <c r="D223" s="17">
        <f>128060+18000</f>
        <v>146060</v>
      </c>
      <c r="E223" s="10">
        <v>21814.255416179276</v>
      </c>
    </row>
    <row r="224" spans="2:5" x14ac:dyDescent="0.25">
      <c r="B224" s="8" t="s">
        <v>43</v>
      </c>
      <c r="C224" s="20">
        <v>42444</v>
      </c>
      <c r="D224" s="17">
        <v>1106000</v>
      </c>
      <c r="E224" s="10">
        <v>181274.9787174316</v>
      </c>
    </row>
    <row r="225" spans="2:5" x14ac:dyDescent="0.25">
      <c r="B225" s="8" t="s">
        <v>43</v>
      </c>
      <c r="C225" s="20">
        <v>42643</v>
      </c>
      <c r="D225" s="17">
        <v>88920</v>
      </c>
      <c r="E225" s="10">
        <v>44415.591533925355</v>
      </c>
    </row>
    <row r="226" spans="2:5" x14ac:dyDescent="0.25">
      <c r="B226" s="8" t="s">
        <v>43</v>
      </c>
      <c r="C226" s="20">
        <v>42010</v>
      </c>
      <c r="D226" s="17">
        <v>950000</v>
      </c>
      <c r="E226" s="10">
        <v>115237</v>
      </c>
    </row>
    <row r="228" spans="2:5" x14ac:dyDescent="0.25">
      <c r="B228" s="8" t="s">
        <v>44</v>
      </c>
      <c r="C228" s="20">
        <v>43555</v>
      </c>
      <c r="D228" s="10">
        <v>52850418</v>
      </c>
      <c r="E228" s="10">
        <v>33894009.154720552</v>
      </c>
    </row>
    <row r="230" spans="2:5" x14ac:dyDescent="0.25">
      <c r="B230" s="8" t="s">
        <v>45</v>
      </c>
      <c r="C230" s="25">
        <v>41547</v>
      </c>
      <c r="D230" s="26">
        <v>2683882.04</v>
      </c>
      <c r="E230" s="90">
        <v>219528</v>
      </c>
    </row>
    <row r="231" spans="2:5" x14ac:dyDescent="0.25">
      <c r="B231" s="8" t="s">
        <v>45</v>
      </c>
      <c r="C231" s="25">
        <v>41639</v>
      </c>
      <c r="D231" s="26">
        <v>35497.06</v>
      </c>
      <c r="E231" s="90"/>
    </row>
    <row r="232" spans="2:5" x14ac:dyDescent="0.25">
      <c r="B232" s="8" t="s">
        <v>45</v>
      </c>
      <c r="C232" s="25">
        <v>41670</v>
      </c>
      <c r="D232" s="26">
        <v>657357.72</v>
      </c>
      <c r="E232" s="90"/>
    </row>
    <row r="233" spans="2:5" x14ac:dyDescent="0.25">
      <c r="B233" s="8" t="s">
        <v>45</v>
      </c>
      <c r="C233" s="20">
        <v>42035</v>
      </c>
      <c r="D233" s="10">
        <v>37751.93</v>
      </c>
      <c r="E233" s="90"/>
    </row>
    <row r="234" spans="2:5" x14ac:dyDescent="0.25">
      <c r="B234" s="8" t="s">
        <v>45</v>
      </c>
      <c r="C234" s="20">
        <v>41912</v>
      </c>
      <c r="D234" s="10">
        <v>37100</v>
      </c>
      <c r="E234" s="90"/>
    </row>
    <row r="235" spans="2:5" x14ac:dyDescent="0.25">
      <c r="B235" s="8"/>
      <c r="C235" s="21"/>
    </row>
    <row r="236" spans="2:5" x14ac:dyDescent="0.25">
      <c r="B236" s="8" t="s">
        <v>45</v>
      </c>
      <c r="C236" s="20">
        <v>42576</v>
      </c>
      <c r="D236" s="17">
        <v>290677</v>
      </c>
      <c r="E236" s="10">
        <v>57122.468339821906</v>
      </c>
    </row>
    <row r="237" spans="2:5" x14ac:dyDescent="0.25">
      <c r="B237" s="8" t="s">
        <v>45</v>
      </c>
      <c r="C237" s="20">
        <v>42521</v>
      </c>
      <c r="D237" s="24">
        <v>429000</v>
      </c>
      <c r="E237" s="10">
        <v>78190.246233081241</v>
      </c>
    </row>
    <row r="238" spans="2:5" x14ac:dyDescent="0.25">
      <c r="B238" s="8" t="s">
        <v>45</v>
      </c>
      <c r="C238" s="20">
        <v>42551</v>
      </c>
      <c r="D238" s="24">
        <v>283000</v>
      </c>
      <c r="E238" s="10">
        <v>53780.286655949778</v>
      </c>
    </row>
    <row r="239" spans="2:5" x14ac:dyDescent="0.25">
      <c r="B239" s="8" t="s">
        <v>45</v>
      </c>
      <c r="C239" s="20">
        <v>42582</v>
      </c>
      <c r="D239" s="24">
        <v>17500</v>
      </c>
      <c r="E239" s="10">
        <v>3466.2286352771371</v>
      </c>
    </row>
    <row r="241" spans="2:5" x14ac:dyDescent="0.25">
      <c r="B241" s="8" t="s">
        <v>46</v>
      </c>
      <c r="C241" s="20">
        <v>41547</v>
      </c>
      <c r="D241" s="10">
        <v>3573816.65</v>
      </c>
      <c r="E241" s="90">
        <v>226642</v>
      </c>
    </row>
    <row r="242" spans="2:5" x14ac:dyDescent="0.25">
      <c r="B242" s="8" t="s">
        <v>46</v>
      </c>
      <c r="C242" s="20">
        <v>41671</v>
      </c>
      <c r="D242" s="10">
        <v>124845.57</v>
      </c>
      <c r="E242" s="90"/>
    </row>
    <row r="243" spans="2:5" x14ac:dyDescent="0.25">
      <c r="B243" s="8"/>
      <c r="C243" s="21"/>
    </row>
    <row r="244" spans="2:5" x14ac:dyDescent="0.25">
      <c r="B244" s="8" t="s">
        <v>47</v>
      </c>
      <c r="C244" s="20">
        <v>41547</v>
      </c>
      <c r="D244" s="10">
        <v>101001.88</v>
      </c>
      <c r="E244" s="10">
        <v>28030</v>
      </c>
    </row>
    <row r="245" spans="2:5" x14ac:dyDescent="0.25">
      <c r="B245" s="8" t="s">
        <v>48</v>
      </c>
      <c r="C245" s="20">
        <v>41547</v>
      </c>
      <c r="D245" s="10">
        <v>134995.96</v>
      </c>
      <c r="E245" s="10">
        <v>8273</v>
      </c>
    </row>
    <row r="247" spans="2:5" x14ac:dyDescent="0.25">
      <c r="B247" s="8" t="s">
        <v>49</v>
      </c>
      <c r="C247" s="19">
        <v>41547</v>
      </c>
      <c r="D247" s="10">
        <v>3256864.1</v>
      </c>
      <c r="E247" s="90">
        <v>228905</v>
      </c>
    </row>
    <row r="248" spans="2:5" x14ac:dyDescent="0.25">
      <c r="B248" s="8" t="s">
        <v>49</v>
      </c>
      <c r="C248" s="19">
        <v>41671</v>
      </c>
      <c r="D248" s="10">
        <v>479857.02</v>
      </c>
      <c r="E248" s="90"/>
    </row>
    <row r="249" spans="2:5" x14ac:dyDescent="0.25">
      <c r="B249" s="8"/>
      <c r="C249" s="19"/>
      <c r="D249" s="10"/>
      <c r="E249" s="10"/>
    </row>
    <row r="250" spans="2:5" x14ac:dyDescent="0.25">
      <c r="B250" s="8" t="s">
        <v>50</v>
      </c>
      <c r="C250" s="20">
        <v>42794</v>
      </c>
      <c r="D250" s="17">
        <f>1051000+20000</f>
        <v>1071000</v>
      </c>
      <c r="E250" s="10">
        <v>579020.99596288195</v>
      </c>
    </row>
    <row r="251" spans="2:5" x14ac:dyDescent="0.25">
      <c r="B251" s="8" t="s">
        <v>50</v>
      </c>
      <c r="C251" s="20">
        <v>41912</v>
      </c>
      <c r="D251" s="17">
        <f>1000000+351000+3066+1200000+14000</f>
        <v>2568066</v>
      </c>
      <c r="E251" s="10">
        <v>278448</v>
      </c>
    </row>
    <row r="253" spans="2:5" x14ac:dyDescent="0.25">
      <c r="B253" s="8" t="s">
        <v>51</v>
      </c>
      <c r="C253" s="20">
        <v>41673</v>
      </c>
      <c r="D253" s="10">
        <v>29096</v>
      </c>
      <c r="E253" s="10">
        <v>1913</v>
      </c>
    </row>
    <row r="254" spans="2:5" x14ac:dyDescent="0.25">
      <c r="B254" s="8" t="s">
        <v>52</v>
      </c>
      <c r="C254" s="20">
        <v>41547</v>
      </c>
      <c r="D254" s="10">
        <v>127354.68</v>
      </c>
      <c r="E254" s="10">
        <v>7805</v>
      </c>
    </row>
    <row r="255" spans="2:5" x14ac:dyDescent="0.25">
      <c r="B255" s="8" t="s">
        <v>53</v>
      </c>
      <c r="C255" s="20">
        <v>41839</v>
      </c>
      <c r="D255" s="27">
        <v>2240344</v>
      </c>
      <c r="E255" s="28">
        <v>177788</v>
      </c>
    </row>
    <row r="256" spans="2:5" x14ac:dyDescent="0.25">
      <c r="B256" s="8" t="s">
        <v>54</v>
      </c>
      <c r="C256" s="20">
        <v>41912</v>
      </c>
      <c r="D256" s="17">
        <v>1432577.93</v>
      </c>
      <c r="E256" s="10">
        <v>124717</v>
      </c>
    </row>
    <row r="257" spans="2:5" x14ac:dyDescent="0.25">
      <c r="B257" s="8" t="s">
        <v>55</v>
      </c>
      <c r="C257" s="20">
        <v>42094</v>
      </c>
      <c r="D257" s="17">
        <v>493624.88</v>
      </c>
      <c r="E257" s="10">
        <v>52451</v>
      </c>
    </row>
    <row r="258" spans="2:5" x14ac:dyDescent="0.25">
      <c r="B258" s="8" t="s">
        <v>56</v>
      </c>
      <c r="C258" s="20">
        <v>42825</v>
      </c>
      <c r="D258" s="17">
        <v>215000</v>
      </c>
      <c r="E258" s="10">
        <v>118052.38059712607</v>
      </c>
    </row>
    <row r="259" spans="2:5" x14ac:dyDescent="0.25">
      <c r="B259" s="8" t="s">
        <v>57</v>
      </c>
      <c r="C259" s="19">
        <v>41547</v>
      </c>
      <c r="D259" s="10">
        <v>84903.12</v>
      </c>
      <c r="E259" s="10">
        <v>5203</v>
      </c>
    </row>
    <row r="260" spans="2:5" x14ac:dyDescent="0.25">
      <c r="B260" s="8" t="s">
        <v>58</v>
      </c>
      <c r="C260" s="20">
        <v>42704</v>
      </c>
      <c r="D260" s="17">
        <v>42000</v>
      </c>
      <c r="E260" s="10">
        <v>21676.961853506858</v>
      </c>
    </row>
    <row r="261" spans="2:5" x14ac:dyDescent="0.25">
      <c r="B261" s="8" t="s">
        <v>59</v>
      </c>
      <c r="C261" s="20">
        <v>42704</v>
      </c>
      <c r="D261" s="17">
        <v>52000</v>
      </c>
      <c r="E261" s="10">
        <v>26838.143247198972</v>
      </c>
    </row>
    <row r="262" spans="2:5" x14ac:dyDescent="0.25">
      <c r="B262" s="8" t="s">
        <v>60</v>
      </c>
      <c r="C262" s="20">
        <v>42825</v>
      </c>
      <c r="D262" s="17">
        <v>726555</v>
      </c>
      <c r="E262" s="10">
        <v>398937.42969648808</v>
      </c>
    </row>
    <row r="263" spans="2:5" x14ac:dyDescent="0.25">
      <c r="B263" s="8" t="s">
        <v>61</v>
      </c>
      <c r="C263" s="20">
        <v>41912</v>
      </c>
      <c r="D263" s="17">
        <v>449600</v>
      </c>
      <c r="E263" s="10">
        <v>48748.835549897405</v>
      </c>
    </row>
    <row r="264" spans="2:5" x14ac:dyDescent="0.25">
      <c r="B264" s="8" t="s">
        <v>61</v>
      </c>
      <c r="C264" s="20">
        <v>42035</v>
      </c>
      <c r="D264" s="17">
        <v>500368</v>
      </c>
      <c r="E264" s="10">
        <v>62339.346318456483</v>
      </c>
    </row>
    <row r="265" spans="2:5" x14ac:dyDescent="0.25">
      <c r="B265" s="8" t="s">
        <v>62</v>
      </c>
      <c r="C265" s="20">
        <v>43282</v>
      </c>
      <c r="D265" s="10">
        <v>3284289.78</v>
      </c>
      <c r="E265" s="10">
        <v>1537516.1635211958</v>
      </c>
    </row>
    <row r="266" spans="2:5" x14ac:dyDescent="0.25">
      <c r="B266" s="8" t="s">
        <v>63</v>
      </c>
      <c r="C266" s="20">
        <v>43435</v>
      </c>
      <c r="D266" s="10">
        <v>202347.88</v>
      </c>
      <c r="E266" s="10">
        <v>114438.7930346517</v>
      </c>
    </row>
    <row r="268" spans="2:5" x14ac:dyDescent="0.25">
      <c r="B268" s="1" t="s">
        <v>64</v>
      </c>
      <c r="C268" s="29">
        <v>43560</v>
      </c>
      <c r="D268" s="30">
        <v>248000</v>
      </c>
      <c r="E268" s="18">
        <v>160175.59389650333</v>
      </c>
    </row>
    <row r="269" spans="2:5" x14ac:dyDescent="0.25">
      <c r="B269" s="1" t="s">
        <v>65</v>
      </c>
      <c r="C269" s="29">
        <v>43560</v>
      </c>
      <c r="D269" s="30">
        <v>58000</v>
      </c>
      <c r="E269" s="18">
        <v>37460.421153214484</v>
      </c>
    </row>
    <row r="270" spans="2:5" x14ac:dyDescent="0.25">
      <c r="B270" s="1" t="s">
        <v>65</v>
      </c>
      <c r="C270" s="29">
        <v>43560</v>
      </c>
      <c r="D270" s="30">
        <v>42000</v>
      </c>
      <c r="E270" s="18">
        <v>27126.511869569113</v>
      </c>
    </row>
    <row r="271" spans="2:5" x14ac:dyDescent="0.25">
      <c r="B271" s="1" t="s">
        <v>66</v>
      </c>
      <c r="C271" s="29">
        <v>43560</v>
      </c>
      <c r="D271" s="30">
        <v>156650.09</v>
      </c>
      <c r="E271" s="18">
        <v>101175.48870843023</v>
      </c>
    </row>
    <row r="272" spans="2:5" x14ac:dyDescent="0.25">
      <c r="B272" s="1" t="s">
        <v>67</v>
      </c>
      <c r="C272" s="29">
        <v>43575</v>
      </c>
      <c r="D272" s="30">
        <v>8493888.1999999993</v>
      </c>
      <c r="E272" s="18">
        <v>5610580.5423180917</v>
      </c>
    </row>
    <row r="273" spans="2:5" x14ac:dyDescent="0.25">
      <c r="B273" s="1" t="s">
        <v>68</v>
      </c>
      <c r="C273" s="29">
        <v>43631</v>
      </c>
      <c r="D273" s="30">
        <v>330000</v>
      </c>
      <c r="E273" s="18">
        <v>236057.54635850579</v>
      </c>
    </row>
    <row r="274" spans="2:5" x14ac:dyDescent="0.25">
      <c r="B274" s="1" t="s">
        <v>69</v>
      </c>
      <c r="C274" s="29">
        <v>43636</v>
      </c>
      <c r="D274" s="30">
        <v>35000</v>
      </c>
      <c r="E274" s="18">
        <v>25207.602197736571</v>
      </c>
    </row>
    <row r="275" spans="2:5" x14ac:dyDescent="0.25">
      <c r="B275" s="1" t="s">
        <v>69</v>
      </c>
      <c r="C275" s="29">
        <v>43636</v>
      </c>
      <c r="D275" s="30">
        <v>35000</v>
      </c>
      <c r="E275" s="18">
        <v>25207.602197736571</v>
      </c>
    </row>
    <row r="276" spans="2:5" x14ac:dyDescent="0.25">
      <c r="B276" s="1" t="s">
        <v>70</v>
      </c>
      <c r="C276" s="29">
        <v>43636</v>
      </c>
      <c r="D276" s="30">
        <v>1467326.39</v>
      </c>
      <c r="E276" s="18">
        <v>1056793.7123817389</v>
      </c>
    </row>
    <row r="277" spans="2:5" x14ac:dyDescent="0.25">
      <c r="B277" s="1" t="s">
        <v>71</v>
      </c>
      <c r="C277" s="29">
        <v>43648</v>
      </c>
      <c r="D277" s="30">
        <v>344000</v>
      </c>
      <c r="E277" s="18">
        <v>251792.98229269311</v>
      </c>
    </row>
    <row r="278" spans="2:5" x14ac:dyDescent="0.25">
      <c r="B278" s="1" t="s">
        <v>72</v>
      </c>
      <c r="C278" s="29">
        <v>43666</v>
      </c>
      <c r="D278" s="30">
        <v>180090.68</v>
      </c>
      <c r="E278" s="18">
        <v>134989.67977679597</v>
      </c>
    </row>
    <row r="279" spans="2:5" x14ac:dyDescent="0.25">
      <c r="B279" s="1" t="s">
        <v>73</v>
      </c>
      <c r="C279" s="29">
        <v>43679</v>
      </c>
      <c r="D279" s="30">
        <v>150000</v>
      </c>
      <c r="E279" s="18">
        <v>114342.3676431067</v>
      </c>
    </row>
    <row r="280" spans="2:5" x14ac:dyDescent="0.25">
      <c r="B280" s="1" t="s">
        <v>73</v>
      </c>
      <c r="C280" s="29">
        <v>43679</v>
      </c>
      <c r="D280" s="30">
        <v>150000</v>
      </c>
      <c r="E280" s="18">
        <v>114342.3676431067</v>
      </c>
    </row>
    <row r="281" spans="2:5" x14ac:dyDescent="0.25">
      <c r="B281" s="1" t="s">
        <v>74</v>
      </c>
      <c r="C281" s="29">
        <v>43679</v>
      </c>
      <c r="D281" s="30">
        <v>107460.2</v>
      </c>
      <c r="E281" s="18">
        <v>81915.024636011818</v>
      </c>
    </row>
    <row r="282" spans="2:5" x14ac:dyDescent="0.25">
      <c r="B282" s="1" t="s">
        <v>38</v>
      </c>
      <c r="C282" s="29">
        <v>43702</v>
      </c>
      <c r="D282" s="30">
        <v>261049.66</v>
      </c>
      <c r="E282" s="18">
        <v>204867.19589306338</v>
      </c>
    </row>
    <row r="283" spans="2:5" x14ac:dyDescent="0.25">
      <c r="B283" s="1" t="s">
        <v>38</v>
      </c>
      <c r="C283" s="29">
        <v>43710</v>
      </c>
      <c r="D283" s="30">
        <v>456496.59</v>
      </c>
      <c r="E283" s="18">
        <v>361823.10394732957</v>
      </c>
    </row>
    <row r="284" spans="2:5" x14ac:dyDescent="0.25">
      <c r="B284" s="1" t="s">
        <v>75</v>
      </c>
      <c r="C284" s="29">
        <v>43774</v>
      </c>
      <c r="D284" s="30">
        <v>211667.41</v>
      </c>
      <c r="E284" s="18">
        <v>181021.62986880826</v>
      </c>
    </row>
    <row r="285" spans="2:5" x14ac:dyDescent="0.25">
      <c r="B285" s="1" t="s">
        <v>76</v>
      </c>
      <c r="C285" s="29">
        <v>43788</v>
      </c>
      <c r="D285" s="30">
        <v>164689.88</v>
      </c>
      <c r="E285" s="18">
        <v>143101.17053530653</v>
      </c>
    </row>
    <row r="286" spans="2:5" x14ac:dyDescent="0.25">
      <c r="B286" s="1" t="s">
        <v>77</v>
      </c>
      <c r="C286" s="29">
        <v>43801</v>
      </c>
      <c r="D286" s="30">
        <v>255000</v>
      </c>
      <c r="E286" s="18">
        <v>224815.74084027592</v>
      </c>
    </row>
    <row r="287" spans="2:5" x14ac:dyDescent="0.25">
      <c r="B287" s="1" t="s">
        <v>78</v>
      </c>
      <c r="C287" s="29">
        <v>43804</v>
      </c>
      <c r="D287" s="30">
        <v>162000</v>
      </c>
      <c r="E287" s="18">
        <v>143299.55280838485</v>
      </c>
    </row>
    <row r="288" spans="2:5" x14ac:dyDescent="0.25">
      <c r="B288" s="1" t="s">
        <v>79</v>
      </c>
      <c r="C288" s="29">
        <v>43821</v>
      </c>
      <c r="D288" s="30">
        <v>356823.08</v>
      </c>
      <c r="E288" s="18">
        <v>321567.38489677565</v>
      </c>
    </row>
    <row r="289" spans="2:6" x14ac:dyDescent="0.25">
      <c r="B289" s="1" t="s">
        <v>80</v>
      </c>
      <c r="C289" s="29">
        <v>43825</v>
      </c>
      <c r="D289" s="30">
        <v>2749525.67</v>
      </c>
      <c r="E289" s="18">
        <v>2488619.4197069965</v>
      </c>
    </row>
    <row r="290" spans="2:6" x14ac:dyDescent="0.25">
      <c r="B290" s="1" t="s">
        <v>81</v>
      </c>
      <c r="C290" s="29">
        <v>43848</v>
      </c>
      <c r="D290" s="30">
        <v>175289.89</v>
      </c>
      <c r="E290" s="18">
        <v>162600.41780359345</v>
      </c>
    </row>
    <row r="291" spans="2:6" x14ac:dyDescent="0.25">
      <c r="B291" s="1" t="s">
        <v>82</v>
      </c>
      <c r="C291" s="29">
        <v>43881</v>
      </c>
      <c r="D291" s="30">
        <v>105316.1</v>
      </c>
      <c r="E291" s="18">
        <v>101092.00579485504</v>
      </c>
    </row>
    <row r="292" spans="2:6" x14ac:dyDescent="0.25">
      <c r="B292" s="1" t="s">
        <v>80</v>
      </c>
      <c r="C292" s="29">
        <v>43900</v>
      </c>
      <c r="D292" s="30">
        <v>4216512.83</v>
      </c>
      <c r="E292" s="18">
        <v>4125766.0806160276</v>
      </c>
    </row>
    <row r="293" spans="2:6" x14ac:dyDescent="0.25">
      <c r="B293" s="1" t="s">
        <v>83</v>
      </c>
      <c r="C293" s="29">
        <v>43902</v>
      </c>
      <c r="D293" s="30">
        <v>449370.46</v>
      </c>
      <c r="E293" s="18">
        <v>440578.42342676106</v>
      </c>
    </row>
    <row r="294" spans="2:6" x14ac:dyDescent="0.25">
      <c r="B294" s="1" t="s">
        <v>84</v>
      </c>
      <c r="C294" s="29">
        <v>43908</v>
      </c>
      <c r="D294" s="30">
        <v>124132.24</v>
      </c>
      <c r="E294" s="18">
        <v>122432.16688927828</v>
      </c>
    </row>
    <row r="295" spans="2:6" x14ac:dyDescent="0.25">
      <c r="B295" s="1" t="s">
        <v>85</v>
      </c>
      <c r="C295" s="29">
        <v>43910</v>
      </c>
      <c r="D295" s="30">
        <v>13927509.02</v>
      </c>
      <c r="E295" s="18">
        <v>13764012.066491365</v>
      </c>
    </row>
    <row r="296" spans="2:6" x14ac:dyDescent="0.25">
      <c r="B296" s="1" t="s">
        <v>80</v>
      </c>
      <c r="C296" s="9">
        <v>43678</v>
      </c>
      <c r="D296" s="30">
        <v>170000</v>
      </c>
      <c r="E296" s="31">
        <v>140658</v>
      </c>
      <c r="F296" s="10"/>
    </row>
    <row r="297" spans="2:6" x14ac:dyDescent="0.25">
      <c r="B297" s="1" t="s">
        <v>86</v>
      </c>
      <c r="C297" s="9">
        <v>43733</v>
      </c>
      <c r="D297" s="30">
        <v>339817.47</v>
      </c>
      <c r="E297" s="31">
        <v>294385.82403336884</v>
      </c>
    </row>
    <row r="298" spans="2:6" x14ac:dyDescent="0.25">
      <c r="B298" s="1" t="s">
        <v>87</v>
      </c>
      <c r="C298" s="9">
        <v>43809</v>
      </c>
      <c r="D298" s="30">
        <v>630000</v>
      </c>
      <c r="E298" s="31">
        <v>579641.82786885242</v>
      </c>
    </row>
    <row r="299" spans="2:6" x14ac:dyDescent="0.25">
      <c r="B299" s="1" t="s">
        <v>88</v>
      </c>
      <c r="C299" s="9">
        <v>43809</v>
      </c>
      <c r="D299" s="30">
        <v>220503.46</v>
      </c>
      <c r="E299" s="31">
        <v>202877.82318381965</v>
      </c>
    </row>
    <row r="300" spans="2:6" x14ac:dyDescent="0.25">
      <c r="B300" s="1" t="s">
        <v>89</v>
      </c>
      <c r="C300" s="9">
        <v>43908</v>
      </c>
      <c r="D300" s="30">
        <v>629652.62</v>
      </c>
      <c r="E300" s="31">
        <v>623416.99462718028</v>
      </c>
    </row>
    <row r="302" spans="2:6" x14ac:dyDescent="0.25">
      <c r="B302" s="32" t="s">
        <v>90</v>
      </c>
      <c r="C302" s="33"/>
      <c r="D302" s="34">
        <f>SUM(D7:D300)</f>
        <v>538607730.13000011</v>
      </c>
      <c r="E302" s="34">
        <f>SUM(E7:E300)</f>
        <v>140816391.21778959</v>
      </c>
    </row>
    <row r="304" spans="2:6" x14ac:dyDescent="0.25">
      <c r="E304" s="18"/>
    </row>
    <row r="306" spans="4:5" x14ac:dyDescent="0.25">
      <c r="D306" s="14"/>
      <c r="E306" s="14"/>
    </row>
    <row r="307" spans="4:5" x14ac:dyDescent="0.25">
      <c r="E307" s="14"/>
    </row>
  </sheetData>
  <mergeCells count="22">
    <mergeCell ref="E217:E218"/>
    <mergeCell ref="E230:E234"/>
    <mergeCell ref="E241:E242"/>
    <mergeCell ref="E247:E248"/>
    <mergeCell ref="E169:E170"/>
    <mergeCell ref="E172:E174"/>
    <mergeCell ref="E176:E178"/>
    <mergeCell ref="E184:E197"/>
    <mergeCell ref="E199:E200"/>
    <mergeCell ref="E206:E209"/>
    <mergeCell ref="E147:E162"/>
    <mergeCell ref="B1:E1"/>
    <mergeCell ref="B2:E2"/>
    <mergeCell ref="B3:E3"/>
    <mergeCell ref="E7:E27"/>
    <mergeCell ref="E41:E48"/>
    <mergeCell ref="E50:E54"/>
    <mergeCell ref="E60:E63"/>
    <mergeCell ref="E68:E74"/>
    <mergeCell ref="E80:E86"/>
    <mergeCell ref="E106:E110"/>
    <mergeCell ref="E143:E145"/>
  </mergeCells>
  <conditionalFormatting sqref="C29:C30">
    <cfRule type="cellIs" dxfId="3" priority="2" operator="greaterThan">
      <formula>42645</formula>
    </cfRule>
  </conditionalFormatting>
  <conditionalFormatting sqref="C36">
    <cfRule type="cellIs" dxfId="2" priority="1" operator="lessThan">
      <formula>43010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3"/>
  <sheetViews>
    <sheetView topLeftCell="G1" zoomScaleNormal="100" workbookViewId="0">
      <pane ySplit="3" topLeftCell="A250" activePane="bottomLeft" state="frozen"/>
      <selection pane="bottomLeft" activeCell="P4" sqref="P4"/>
    </sheetView>
  </sheetViews>
  <sheetFormatPr defaultRowHeight="15" x14ac:dyDescent="0.25"/>
  <cols>
    <col min="2" max="2" width="10.7109375" bestFit="1" customWidth="1"/>
    <col min="3" max="3" width="29.85546875" customWidth="1"/>
    <col min="4" max="4" width="15.5703125" bestFit="1" customWidth="1"/>
    <col min="5" max="5" width="14.140625" bestFit="1" customWidth="1"/>
    <col min="6" max="6" width="18.85546875" style="45" bestFit="1" customWidth="1"/>
    <col min="7" max="7" width="17.85546875" bestFit="1" customWidth="1"/>
    <col min="8" max="8" width="17" bestFit="1" customWidth="1"/>
    <col min="9" max="10" width="16.85546875" bestFit="1" customWidth="1"/>
    <col min="11" max="11" width="13.140625" customWidth="1"/>
    <col min="12" max="12" width="14.42578125" customWidth="1"/>
    <col min="13" max="13" width="17" bestFit="1" customWidth="1"/>
    <col min="14" max="14" width="16.140625" customWidth="1"/>
    <col min="15" max="15" width="13.28515625" style="51" customWidth="1"/>
    <col min="16" max="16" width="16.85546875" customWidth="1"/>
  </cols>
  <sheetData>
    <row r="1" spans="2:16" x14ac:dyDescent="0.25">
      <c r="O1"/>
    </row>
    <row r="2" spans="2:16" x14ac:dyDescent="0.25">
      <c r="B2" s="93" t="s">
        <v>155</v>
      </c>
      <c r="C2" s="93"/>
      <c r="D2" s="93"/>
      <c r="E2" s="93"/>
      <c r="F2" s="93"/>
      <c r="G2" s="93"/>
      <c r="H2" s="93"/>
      <c r="I2" s="93"/>
      <c r="J2" s="93"/>
      <c r="K2" s="93"/>
      <c r="L2" s="93"/>
      <c r="M2" s="93"/>
      <c r="N2" s="93"/>
      <c r="O2" s="93"/>
      <c r="P2" s="93"/>
    </row>
    <row r="3" spans="2:16" ht="68.25" customHeight="1" x14ac:dyDescent="0.25">
      <c r="B3" s="35" t="s">
        <v>91</v>
      </c>
      <c r="C3" s="35" t="s">
        <v>92</v>
      </c>
      <c r="D3" s="35" t="s">
        <v>93</v>
      </c>
      <c r="E3" s="35" t="s">
        <v>94</v>
      </c>
      <c r="F3" s="44" t="s">
        <v>95</v>
      </c>
      <c r="G3" s="35" t="s">
        <v>96</v>
      </c>
      <c r="H3" s="35" t="s">
        <v>97</v>
      </c>
      <c r="I3" s="35" t="s">
        <v>98</v>
      </c>
      <c r="J3" s="35" t="s">
        <v>99</v>
      </c>
      <c r="K3" s="36" t="s">
        <v>100</v>
      </c>
      <c r="L3" s="37" t="s">
        <v>101</v>
      </c>
      <c r="M3" s="37" t="s">
        <v>102</v>
      </c>
      <c r="N3" s="37" t="s">
        <v>103</v>
      </c>
      <c r="O3" s="37" t="s">
        <v>140</v>
      </c>
      <c r="P3" s="37" t="s">
        <v>104</v>
      </c>
    </row>
    <row r="4" spans="2:16" x14ac:dyDescent="0.25">
      <c r="B4" s="38">
        <v>1</v>
      </c>
      <c r="C4" s="52" t="s">
        <v>8</v>
      </c>
      <c r="D4" s="57">
        <v>41547</v>
      </c>
      <c r="E4" s="39">
        <v>44405</v>
      </c>
      <c r="F4" s="58">
        <f>(E4-D4)/365</f>
        <v>7.8301369863013699</v>
      </c>
      <c r="G4" s="38">
        <v>5</v>
      </c>
      <c r="H4" s="40">
        <f>(95/G4/100)</f>
        <v>0.19</v>
      </c>
      <c r="I4" s="59">
        <v>340902.99</v>
      </c>
      <c r="J4" s="95">
        <v>812048</v>
      </c>
      <c r="K4" s="41">
        <v>0.08</v>
      </c>
      <c r="L4" s="42">
        <f>I4*(1+K4)</f>
        <v>368175.2292</v>
      </c>
      <c r="M4" s="42">
        <f>F4*H4*L4</f>
        <v>547743.87112379179</v>
      </c>
      <c r="N4" s="42">
        <f>IF(L4-M4&lt;=0,5%*I4,L4-M4)</f>
        <v>17045.1495</v>
      </c>
      <c r="O4" s="50">
        <v>0.2</v>
      </c>
      <c r="P4" s="43">
        <f>IF(N4=I4*5%,N4,N4*(1-O4))</f>
        <v>17045.1495</v>
      </c>
    </row>
    <row r="5" spans="2:16" x14ac:dyDescent="0.25">
      <c r="B5" s="38">
        <v>2</v>
      </c>
      <c r="C5" s="52" t="s">
        <v>8</v>
      </c>
      <c r="D5" s="57">
        <v>41639</v>
      </c>
      <c r="E5" s="39">
        <v>44405</v>
      </c>
      <c r="F5" s="58">
        <f t="shared" ref="F5:F68" si="0">(E5-D5)/365</f>
        <v>7.5780821917808217</v>
      </c>
      <c r="G5" s="38">
        <v>5</v>
      </c>
      <c r="H5" s="40">
        <f t="shared" ref="H5:H68" si="1">(95/G5/100)</f>
        <v>0.19</v>
      </c>
      <c r="I5" s="59">
        <v>2049650</v>
      </c>
      <c r="J5" s="95"/>
      <c r="K5" s="41">
        <v>0.08</v>
      </c>
      <c r="L5" s="42">
        <f t="shared" ref="L5:L68" si="2">I5*(1+K5)</f>
        <v>2213622</v>
      </c>
      <c r="M5" s="42">
        <f t="shared" ref="M5:M68" si="3">F5*H5*L5</f>
        <v>3187251.7969315066</v>
      </c>
      <c r="N5" s="42">
        <f t="shared" ref="N5:N9" si="4">IF(L5-M5&lt;=0,5%*I5,L5-M5)</f>
        <v>102482.5</v>
      </c>
      <c r="O5" s="50">
        <v>0.2</v>
      </c>
      <c r="P5" s="43">
        <f t="shared" ref="P5:P68" si="5">IF(N5=I5*5%,N5,N5*(1-O5))</f>
        <v>102482.5</v>
      </c>
    </row>
    <row r="6" spans="2:16" x14ac:dyDescent="0.25">
      <c r="B6" s="38">
        <v>3</v>
      </c>
      <c r="C6" s="52" t="s">
        <v>8</v>
      </c>
      <c r="D6" s="57">
        <v>41729</v>
      </c>
      <c r="E6" s="39">
        <v>44405</v>
      </c>
      <c r="F6" s="58">
        <f t="shared" si="0"/>
        <v>7.3315068493150681</v>
      </c>
      <c r="G6" s="38">
        <v>5</v>
      </c>
      <c r="H6" s="40">
        <f t="shared" si="1"/>
        <v>0.19</v>
      </c>
      <c r="I6" s="59">
        <v>1210800</v>
      </c>
      <c r="J6" s="95"/>
      <c r="K6" s="41">
        <v>0.02</v>
      </c>
      <c r="L6" s="42">
        <f t="shared" si="2"/>
        <v>1235016</v>
      </c>
      <c r="M6" s="42">
        <f t="shared" si="3"/>
        <v>1720360.3699726027</v>
      </c>
      <c r="N6" s="42">
        <f t="shared" si="4"/>
        <v>60540</v>
      </c>
      <c r="O6" s="50">
        <v>0.2</v>
      </c>
      <c r="P6" s="43">
        <f t="shared" si="5"/>
        <v>60540</v>
      </c>
    </row>
    <row r="7" spans="2:16" x14ac:dyDescent="0.25">
      <c r="B7" s="38">
        <v>4</v>
      </c>
      <c r="C7" s="60" t="s">
        <v>8</v>
      </c>
      <c r="D7" s="53">
        <v>41759</v>
      </c>
      <c r="E7" s="39">
        <v>44405</v>
      </c>
      <c r="F7" s="58">
        <f t="shared" si="0"/>
        <v>7.2493150684931509</v>
      </c>
      <c r="G7" s="38">
        <v>5</v>
      </c>
      <c r="H7" s="40">
        <f t="shared" si="1"/>
        <v>0.19</v>
      </c>
      <c r="I7" s="61">
        <v>578000</v>
      </c>
      <c r="J7" s="95"/>
      <c r="K7" s="41">
        <v>0.02</v>
      </c>
      <c r="L7" s="42">
        <f t="shared" si="2"/>
        <v>589560</v>
      </c>
      <c r="M7" s="42">
        <f t="shared" si="3"/>
        <v>812042.17643835628</v>
      </c>
      <c r="N7" s="42">
        <f t="shared" si="4"/>
        <v>28900</v>
      </c>
      <c r="O7" s="50">
        <v>0.2</v>
      </c>
      <c r="P7" s="43">
        <f t="shared" si="5"/>
        <v>28900</v>
      </c>
    </row>
    <row r="8" spans="2:16" x14ac:dyDescent="0.25">
      <c r="B8" s="38">
        <v>5</v>
      </c>
      <c r="C8" s="60" t="s">
        <v>8</v>
      </c>
      <c r="D8" s="53">
        <v>41851</v>
      </c>
      <c r="E8" s="39">
        <v>44405</v>
      </c>
      <c r="F8" s="58">
        <f t="shared" si="0"/>
        <v>6.9972602739726026</v>
      </c>
      <c r="G8" s="38">
        <v>5</v>
      </c>
      <c r="H8" s="40">
        <f t="shared" si="1"/>
        <v>0.19</v>
      </c>
      <c r="I8" s="61">
        <v>540000</v>
      </c>
      <c r="J8" s="95"/>
      <c r="K8" s="41">
        <v>0.02</v>
      </c>
      <c r="L8" s="42">
        <f t="shared" si="2"/>
        <v>550800</v>
      </c>
      <c r="M8" s="42">
        <f t="shared" si="3"/>
        <v>732277.28219178086</v>
      </c>
      <c r="N8" s="42">
        <f t="shared" si="4"/>
        <v>27000</v>
      </c>
      <c r="O8" s="50">
        <v>0.2</v>
      </c>
      <c r="P8" s="43">
        <f t="shared" si="5"/>
        <v>27000</v>
      </c>
    </row>
    <row r="9" spans="2:16" x14ac:dyDescent="0.25">
      <c r="B9" s="38">
        <v>6</v>
      </c>
      <c r="C9" s="60" t="s">
        <v>8</v>
      </c>
      <c r="D9" s="53">
        <v>41882</v>
      </c>
      <c r="E9" s="39">
        <v>44405</v>
      </c>
      <c r="F9" s="58">
        <f t="shared" si="0"/>
        <v>6.912328767123288</v>
      </c>
      <c r="G9" s="38">
        <v>5</v>
      </c>
      <c r="H9" s="40">
        <f t="shared" si="1"/>
        <v>0.19</v>
      </c>
      <c r="I9" s="61">
        <v>160000</v>
      </c>
      <c r="J9" s="95"/>
      <c r="K9" s="41">
        <v>0.02</v>
      </c>
      <c r="L9" s="42">
        <f t="shared" si="2"/>
        <v>163200</v>
      </c>
      <c r="M9" s="42">
        <f t="shared" si="3"/>
        <v>214337.49041095891</v>
      </c>
      <c r="N9" s="42">
        <f t="shared" si="4"/>
        <v>8000</v>
      </c>
      <c r="O9" s="50">
        <v>0.2</v>
      </c>
      <c r="P9" s="43">
        <f t="shared" si="5"/>
        <v>8000</v>
      </c>
    </row>
    <row r="10" spans="2:16" x14ac:dyDescent="0.25">
      <c r="B10" s="38">
        <v>7</v>
      </c>
      <c r="C10" s="60" t="s">
        <v>8</v>
      </c>
      <c r="D10" s="53">
        <v>41912</v>
      </c>
      <c r="E10" s="39">
        <v>44405</v>
      </c>
      <c r="F10" s="58">
        <f t="shared" si="0"/>
        <v>6.8301369863013699</v>
      </c>
      <c r="G10" s="38">
        <v>5</v>
      </c>
      <c r="H10" s="40">
        <f t="shared" si="1"/>
        <v>0.19</v>
      </c>
      <c r="I10" s="61">
        <v>1064000</v>
      </c>
      <c r="J10" s="95"/>
      <c r="K10" s="41">
        <v>0.02</v>
      </c>
      <c r="L10" s="42">
        <f t="shared" si="2"/>
        <v>1085280</v>
      </c>
      <c r="M10" s="42">
        <f t="shared" si="3"/>
        <v>1408396.1030136987</v>
      </c>
      <c r="N10" s="42">
        <f t="shared" ref="N10:N73" si="6">IF(L10-M10&lt;=0,5%*L10,L10-M10)</f>
        <v>54264</v>
      </c>
      <c r="O10" s="50">
        <v>0.2</v>
      </c>
      <c r="P10" s="43">
        <f t="shared" si="5"/>
        <v>43411.200000000004</v>
      </c>
    </row>
    <row r="11" spans="2:16" x14ac:dyDescent="0.25">
      <c r="B11" s="38">
        <v>8</v>
      </c>
      <c r="C11" s="60" t="s">
        <v>8</v>
      </c>
      <c r="D11" s="53">
        <v>41943</v>
      </c>
      <c r="E11" s="39">
        <v>44405</v>
      </c>
      <c r="F11" s="58">
        <f t="shared" si="0"/>
        <v>6.7452054794520544</v>
      </c>
      <c r="G11" s="38">
        <v>5</v>
      </c>
      <c r="H11" s="40">
        <f t="shared" si="1"/>
        <v>0.19</v>
      </c>
      <c r="I11" s="61">
        <v>798000</v>
      </c>
      <c r="J11" s="95"/>
      <c r="K11" s="41">
        <v>0.02</v>
      </c>
      <c r="L11" s="42">
        <f t="shared" si="2"/>
        <v>813960</v>
      </c>
      <c r="M11" s="42">
        <f t="shared" si="3"/>
        <v>1043162.2158904109</v>
      </c>
      <c r="N11" s="42">
        <f t="shared" si="6"/>
        <v>40698</v>
      </c>
      <c r="O11" s="50">
        <v>0.2</v>
      </c>
      <c r="P11" s="43">
        <f t="shared" si="5"/>
        <v>32558.400000000001</v>
      </c>
    </row>
    <row r="12" spans="2:16" x14ac:dyDescent="0.25">
      <c r="B12" s="38">
        <v>9</v>
      </c>
      <c r="C12" s="60" t="s">
        <v>8</v>
      </c>
      <c r="D12" s="53">
        <v>41973</v>
      </c>
      <c r="E12" s="39">
        <v>44405</v>
      </c>
      <c r="F12" s="58">
        <f t="shared" si="0"/>
        <v>6.6630136986301371</v>
      </c>
      <c r="G12" s="38">
        <v>5</v>
      </c>
      <c r="H12" s="40">
        <f t="shared" si="1"/>
        <v>0.19</v>
      </c>
      <c r="I12" s="61">
        <v>1673700</v>
      </c>
      <c r="J12" s="95"/>
      <c r="K12" s="41">
        <v>0.02</v>
      </c>
      <c r="L12" s="42">
        <f t="shared" si="2"/>
        <v>1707174</v>
      </c>
      <c r="M12" s="42">
        <f t="shared" si="3"/>
        <v>2161235.5121095888</v>
      </c>
      <c r="N12" s="42">
        <f t="shared" si="6"/>
        <v>85358.700000000012</v>
      </c>
      <c r="O12" s="50">
        <v>0.2</v>
      </c>
      <c r="P12" s="43">
        <f t="shared" si="5"/>
        <v>68286.960000000006</v>
      </c>
    </row>
    <row r="13" spans="2:16" x14ac:dyDescent="0.25">
      <c r="B13" s="38">
        <v>10</v>
      </c>
      <c r="C13" s="60" t="s">
        <v>8</v>
      </c>
      <c r="D13" s="53">
        <v>42063</v>
      </c>
      <c r="E13" s="39">
        <v>44405</v>
      </c>
      <c r="F13" s="58">
        <f t="shared" si="0"/>
        <v>6.4164383561643836</v>
      </c>
      <c r="G13" s="38">
        <v>5</v>
      </c>
      <c r="H13" s="40">
        <f t="shared" si="1"/>
        <v>0.19</v>
      </c>
      <c r="I13" s="61">
        <v>360000</v>
      </c>
      <c r="J13" s="95"/>
      <c r="K13" s="41">
        <v>0.06</v>
      </c>
      <c r="L13" s="42">
        <f t="shared" si="2"/>
        <v>381600</v>
      </c>
      <c r="M13" s="42">
        <f t="shared" si="3"/>
        <v>465217.4465753425</v>
      </c>
      <c r="N13" s="42">
        <f t="shared" si="6"/>
        <v>19080</v>
      </c>
      <c r="O13" s="50">
        <v>0.2</v>
      </c>
      <c r="P13" s="43">
        <f t="shared" si="5"/>
        <v>15264</v>
      </c>
    </row>
    <row r="14" spans="2:16" x14ac:dyDescent="0.25">
      <c r="B14" s="38">
        <v>11</v>
      </c>
      <c r="C14" s="60" t="s">
        <v>8</v>
      </c>
      <c r="D14" s="53">
        <v>42094</v>
      </c>
      <c r="E14" s="39">
        <v>44405</v>
      </c>
      <c r="F14" s="58">
        <f t="shared" si="0"/>
        <v>6.3315068493150681</v>
      </c>
      <c r="G14" s="38">
        <v>5</v>
      </c>
      <c r="H14" s="40">
        <f t="shared" si="1"/>
        <v>0.19</v>
      </c>
      <c r="I14" s="61">
        <f>202900-7200</f>
        <v>195700</v>
      </c>
      <c r="J14" s="95"/>
      <c r="K14" s="41">
        <v>0.06</v>
      </c>
      <c r="L14" s="42">
        <f t="shared" si="2"/>
        <v>207442</v>
      </c>
      <c r="M14" s="42">
        <f t="shared" si="3"/>
        <v>249549.8843287671</v>
      </c>
      <c r="N14" s="42">
        <f t="shared" si="6"/>
        <v>10372.1</v>
      </c>
      <c r="O14" s="50">
        <v>0.2</v>
      </c>
      <c r="P14" s="43">
        <f t="shared" si="5"/>
        <v>8297.68</v>
      </c>
    </row>
    <row r="15" spans="2:16" x14ac:dyDescent="0.25">
      <c r="B15" s="38">
        <v>12</v>
      </c>
      <c r="C15" s="52" t="s">
        <v>8</v>
      </c>
      <c r="D15" s="53">
        <v>42105</v>
      </c>
      <c r="E15" s="39">
        <v>44405</v>
      </c>
      <c r="F15" s="58">
        <f t="shared" si="0"/>
        <v>6.3013698630136989</v>
      </c>
      <c r="G15" s="38">
        <v>5</v>
      </c>
      <c r="H15" s="40">
        <f t="shared" si="1"/>
        <v>0.19</v>
      </c>
      <c r="I15" s="61">
        <v>36496</v>
      </c>
      <c r="J15" s="95"/>
      <c r="K15" s="41">
        <v>0.06</v>
      </c>
      <c r="L15" s="42">
        <f t="shared" si="2"/>
        <v>38685.760000000002</v>
      </c>
      <c r="M15" s="42">
        <f t="shared" si="3"/>
        <v>46316.923616438362</v>
      </c>
      <c r="N15" s="42">
        <f t="shared" si="6"/>
        <v>1934.2880000000002</v>
      </c>
      <c r="O15" s="50">
        <v>0.2</v>
      </c>
      <c r="P15" s="43">
        <f t="shared" si="5"/>
        <v>1547.4304000000002</v>
      </c>
    </row>
    <row r="16" spans="2:16" x14ac:dyDescent="0.25">
      <c r="B16" s="38">
        <v>13</v>
      </c>
      <c r="C16" s="52" t="s">
        <v>8</v>
      </c>
      <c r="D16" s="53">
        <v>42155</v>
      </c>
      <c r="E16" s="39">
        <v>44405</v>
      </c>
      <c r="F16" s="58">
        <f t="shared" si="0"/>
        <v>6.1643835616438354</v>
      </c>
      <c r="G16" s="38">
        <v>5</v>
      </c>
      <c r="H16" s="40">
        <f t="shared" si="1"/>
        <v>0.19</v>
      </c>
      <c r="I16" s="61">
        <v>28000</v>
      </c>
      <c r="J16" s="95"/>
      <c r="K16" s="41">
        <v>0.06</v>
      </c>
      <c r="L16" s="42">
        <f t="shared" si="2"/>
        <v>29680</v>
      </c>
      <c r="M16" s="42">
        <f t="shared" si="3"/>
        <v>34762.191780821915</v>
      </c>
      <c r="N16" s="42">
        <f t="shared" si="6"/>
        <v>1484</v>
      </c>
      <c r="O16" s="50">
        <v>0.2</v>
      </c>
      <c r="P16" s="43">
        <f t="shared" si="5"/>
        <v>1187.2</v>
      </c>
    </row>
    <row r="17" spans="2:16" x14ac:dyDescent="0.25">
      <c r="B17" s="38">
        <v>14</v>
      </c>
      <c r="C17" s="52" t="s">
        <v>8</v>
      </c>
      <c r="D17" s="53">
        <v>42185</v>
      </c>
      <c r="E17" s="39">
        <v>44405</v>
      </c>
      <c r="F17" s="58">
        <f t="shared" si="0"/>
        <v>6.0821917808219181</v>
      </c>
      <c r="G17" s="38">
        <v>5</v>
      </c>
      <c r="H17" s="40">
        <f t="shared" si="1"/>
        <v>0.19</v>
      </c>
      <c r="I17" s="61">
        <v>212500</v>
      </c>
      <c r="J17" s="95"/>
      <c r="K17" s="41">
        <v>0.06</v>
      </c>
      <c r="L17" s="42">
        <f t="shared" si="2"/>
        <v>225250</v>
      </c>
      <c r="M17" s="42">
        <f t="shared" si="3"/>
        <v>260302.60273972605</v>
      </c>
      <c r="N17" s="42">
        <f t="shared" si="6"/>
        <v>11262.5</v>
      </c>
      <c r="O17" s="50">
        <v>0.2</v>
      </c>
      <c r="P17" s="43">
        <f t="shared" si="5"/>
        <v>9010</v>
      </c>
    </row>
    <row r="18" spans="2:16" x14ac:dyDescent="0.25">
      <c r="B18" s="38">
        <v>15</v>
      </c>
      <c r="C18" s="52" t="s">
        <v>8</v>
      </c>
      <c r="D18" s="53">
        <v>42216</v>
      </c>
      <c r="E18" s="39">
        <v>44405</v>
      </c>
      <c r="F18" s="58">
        <f t="shared" si="0"/>
        <v>5.9972602739726026</v>
      </c>
      <c r="G18" s="38">
        <v>5</v>
      </c>
      <c r="H18" s="40">
        <f t="shared" si="1"/>
        <v>0.19</v>
      </c>
      <c r="I18" s="61">
        <v>80000</v>
      </c>
      <c r="J18" s="95"/>
      <c r="K18" s="41">
        <v>0.06</v>
      </c>
      <c r="L18" s="42">
        <f t="shared" si="2"/>
        <v>84800</v>
      </c>
      <c r="M18" s="42">
        <f t="shared" si="3"/>
        <v>96627.857534246577</v>
      </c>
      <c r="N18" s="42">
        <f t="shared" si="6"/>
        <v>4240</v>
      </c>
      <c r="O18" s="50">
        <v>0.2</v>
      </c>
      <c r="P18" s="43">
        <f t="shared" si="5"/>
        <v>3392</v>
      </c>
    </row>
    <row r="19" spans="2:16" x14ac:dyDescent="0.25">
      <c r="B19" s="38">
        <v>16</v>
      </c>
      <c r="C19" s="52" t="s">
        <v>8</v>
      </c>
      <c r="D19" s="53">
        <v>42338</v>
      </c>
      <c r="E19" s="39">
        <v>44405</v>
      </c>
      <c r="F19" s="58">
        <f t="shared" si="0"/>
        <v>5.6630136986301371</v>
      </c>
      <c r="G19" s="38">
        <v>5</v>
      </c>
      <c r="H19" s="40">
        <f t="shared" si="1"/>
        <v>0.19</v>
      </c>
      <c r="I19" s="61">
        <v>212000</v>
      </c>
      <c r="J19" s="95"/>
      <c r="K19" s="41">
        <v>0.06</v>
      </c>
      <c r="L19" s="42">
        <f t="shared" si="2"/>
        <v>224720</v>
      </c>
      <c r="M19" s="42">
        <f t="shared" si="3"/>
        <v>241792.56328767125</v>
      </c>
      <c r="N19" s="42">
        <f t="shared" si="6"/>
        <v>11236</v>
      </c>
      <c r="O19" s="50">
        <v>0.2</v>
      </c>
      <c r="P19" s="43">
        <f t="shared" si="5"/>
        <v>8988.8000000000011</v>
      </c>
    </row>
    <row r="20" spans="2:16" x14ac:dyDescent="0.25">
      <c r="B20" s="38">
        <v>17</v>
      </c>
      <c r="C20" s="52" t="s">
        <v>8</v>
      </c>
      <c r="D20" s="53">
        <v>42338</v>
      </c>
      <c r="E20" s="39">
        <v>44405</v>
      </c>
      <c r="F20" s="58">
        <f t="shared" si="0"/>
        <v>5.6630136986301371</v>
      </c>
      <c r="G20" s="38">
        <v>5</v>
      </c>
      <c r="H20" s="40">
        <f t="shared" si="1"/>
        <v>0.19</v>
      </c>
      <c r="I20" s="61">
        <v>120000</v>
      </c>
      <c r="J20" s="95"/>
      <c r="K20" s="41">
        <v>0.06</v>
      </c>
      <c r="L20" s="42">
        <f t="shared" si="2"/>
        <v>127200</v>
      </c>
      <c r="M20" s="42">
        <f t="shared" si="3"/>
        <v>136863.71506849315</v>
      </c>
      <c r="N20" s="42">
        <f t="shared" si="6"/>
        <v>6360</v>
      </c>
      <c r="O20" s="50">
        <v>0.2</v>
      </c>
      <c r="P20" s="43">
        <f t="shared" si="5"/>
        <v>5088</v>
      </c>
    </row>
    <row r="21" spans="2:16" x14ac:dyDescent="0.25">
      <c r="B21" s="38">
        <v>18</v>
      </c>
      <c r="C21" s="52" t="s">
        <v>8</v>
      </c>
      <c r="D21" s="53">
        <v>42338</v>
      </c>
      <c r="E21" s="39">
        <v>44405</v>
      </c>
      <c r="F21" s="58">
        <f t="shared" si="0"/>
        <v>5.6630136986301371</v>
      </c>
      <c r="G21" s="38">
        <v>5</v>
      </c>
      <c r="H21" s="40">
        <f t="shared" si="1"/>
        <v>0.19</v>
      </c>
      <c r="I21" s="61">
        <v>51000</v>
      </c>
      <c r="J21" s="95"/>
      <c r="K21" s="41">
        <v>0.06</v>
      </c>
      <c r="L21" s="42">
        <f t="shared" si="2"/>
        <v>54060</v>
      </c>
      <c r="M21" s="42">
        <f t="shared" si="3"/>
        <v>58167.078904109592</v>
      </c>
      <c r="N21" s="42">
        <f t="shared" si="6"/>
        <v>2703</v>
      </c>
      <c r="O21" s="50">
        <v>0.2</v>
      </c>
      <c r="P21" s="43">
        <f t="shared" si="5"/>
        <v>2162.4</v>
      </c>
    </row>
    <row r="22" spans="2:16" x14ac:dyDescent="0.25">
      <c r="B22" s="38">
        <v>19</v>
      </c>
      <c r="C22" s="52" t="s">
        <v>8</v>
      </c>
      <c r="D22" s="53">
        <v>42369</v>
      </c>
      <c r="E22" s="39">
        <v>44405</v>
      </c>
      <c r="F22" s="58">
        <f t="shared" si="0"/>
        <v>5.5780821917808217</v>
      </c>
      <c r="G22" s="38">
        <v>5</v>
      </c>
      <c r="H22" s="40">
        <f t="shared" si="1"/>
        <v>0.19</v>
      </c>
      <c r="I22" s="61">
        <v>132000</v>
      </c>
      <c r="J22" s="95"/>
      <c r="K22" s="41">
        <v>0.06</v>
      </c>
      <c r="L22" s="42">
        <f t="shared" si="2"/>
        <v>139920</v>
      </c>
      <c r="M22" s="42">
        <f t="shared" si="3"/>
        <v>148292.1994520548</v>
      </c>
      <c r="N22" s="42">
        <f t="shared" si="6"/>
        <v>6996</v>
      </c>
      <c r="O22" s="50">
        <v>0.2</v>
      </c>
      <c r="P22" s="43">
        <f t="shared" si="5"/>
        <v>5596.8</v>
      </c>
    </row>
    <row r="23" spans="2:16" x14ac:dyDescent="0.25">
      <c r="B23" s="38">
        <v>20</v>
      </c>
      <c r="C23" s="52" t="s">
        <v>8</v>
      </c>
      <c r="D23" s="53">
        <v>42400</v>
      </c>
      <c r="E23" s="39">
        <v>44405</v>
      </c>
      <c r="F23" s="58">
        <f t="shared" si="0"/>
        <v>5.493150684931507</v>
      </c>
      <c r="G23" s="38">
        <v>5</v>
      </c>
      <c r="H23" s="40">
        <f t="shared" si="1"/>
        <v>0.19</v>
      </c>
      <c r="I23" s="61">
        <v>220000</v>
      </c>
      <c r="J23" s="95"/>
      <c r="K23" s="41">
        <v>0.06</v>
      </c>
      <c r="L23" s="42">
        <f t="shared" si="2"/>
        <v>233200</v>
      </c>
      <c r="M23" s="42">
        <f t="shared" si="3"/>
        <v>243390.52054794523</v>
      </c>
      <c r="N23" s="42">
        <f t="shared" si="6"/>
        <v>11660</v>
      </c>
      <c r="O23" s="50">
        <v>0.2</v>
      </c>
      <c r="P23" s="43">
        <f t="shared" si="5"/>
        <v>9328</v>
      </c>
    </row>
    <row r="24" spans="2:16" x14ac:dyDescent="0.25">
      <c r="B24" s="38">
        <v>21</v>
      </c>
      <c r="C24" s="52" t="s">
        <v>8</v>
      </c>
      <c r="D24" s="53">
        <v>42460</v>
      </c>
      <c r="E24" s="39">
        <v>44405</v>
      </c>
      <c r="F24" s="58">
        <f t="shared" si="0"/>
        <v>5.3287671232876717</v>
      </c>
      <c r="G24" s="38">
        <v>5</v>
      </c>
      <c r="H24" s="40">
        <f t="shared" si="1"/>
        <v>0.19</v>
      </c>
      <c r="I24" s="61">
        <v>352000</v>
      </c>
      <c r="J24" s="95"/>
      <c r="K24" s="41">
        <v>0.06</v>
      </c>
      <c r="L24" s="42">
        <f t="shared" si="2"/>
        <v>373120</v>
      </c>
      <c r="M24" s="42">
        <f t="shared" si="3"/>
        <v>377771.22191780829</v>
      </c>
      <c r="N24" s="42">
        <f t="shared" si="6"/>
        <v>18656</v>
      </c>
      <c r="O24" s="50">
        <v>0.2</v>
      </c>
      <c r="P24" s="43">
        <f t="shared" si="5"/>
        <v>14924.800000000001</v>
      </c>
    </row>
    <row r="25" spans="2:16" x14ac:dyDescent="0.25">
      <c r="B25" s="38">
        <v>22</v>
      </c>
      <c r="C25" s="62" t="s">
        <v>8</v>
      </c>
      <c r="D25" s="57">
        <v>42490</v>
      </c>
      <c r="E25" s="39">
        <v>44405</v>
      </c>
      <c r="F25" s="58">
        <f t="shared" si="0"/>
        <v>5.2465753424657535</v>
      </c>
      <c r="G25" s="38">
        <v>5</v>
      </c>
      <c r="H25" s="40">
        <f t="shared" si="1"/>
        <v>0.19</v>
      </c>
      <c r="I25" s="63">
        <v>176000</v>
      </c>
      <c r="J25" s="64">
        <v>30664.090531084199</v>
      </c>
      <c r="K25" s="41">
        <v>0.06</v>
      </c>
      <c r="L25" s="42">
        <f t="shared" si="2"/>
        <v>186560</v>
      </c>
      <c r="M25" s="42">
        <f t="shared" si="3"/>
        <v>185972.20821917808</v>
      </c>
      <c r="N25" s="42">
        <f t="shared" si="6"/>
        <v>587.79178082192084</v>
      </c>
      <c r="O25" s="50">
        <v>0.2</v>
      </c>
      <c r="P25" s="43">
        <f t="shared" si="5"/>
        <v>470.23342465753672</v>
      </c>
    </row>
    <row r="26" spans="2:16" x14ac:dyDescent="0.25">
      <c r="B26" s="38">
        <v>23</v>
      </c>
      <c r="C26" s="62" t="s">
        <v>8</v>
      </c>
      <c r="D26" s="57">
        <v>42582</v>
      </c>
      <c r="E26" s="39">
        <v>44405</v>
      </c>
      <c r="F26" s="58">
        <f t="shared" si="0"/>
        <v>4.9945205479452053</v>
      </c>
      <c r="G26" s="38">
        <v>5</v>
      </c>
      <c r="H26" s="40">
        <f t="shared" si="1"/>
        <v>0.19</v>
      </c>
      <c r="I26" s="63">
        <v>120000</v>
      </c>
      <c r="J26" s="64">
        <v>23768.424927614651</v>
      </c>
      <c r="K26" s="41">
        <v>0.06</v>
      </c>
      <c r="L26" s="42">
        <f t="shared" si="2"/>
        <v>127200</v>
      </c>
      <c r="M26" s="42">
        <f t="shared" si="3"/>
        <v>120707.57260273973</v>
      </c>
      <c r="N26" s="42">
        <f t="shared" si="6"/>
        <v>6492.4273972602678</v>
      </c>
      <c r="O26" s="50">
        <v>0.2</v>
      </c>
      <c r="P26" s="43">
        <f t="shared" si="5"/>
        <v>5193.9419178082144</v>
      </c>
    </row>
    <row r="27" spans="2:16" x14ac:dyDescent="0.25">
      <c r="B27" s="38">
        <v>24</v>
      </c>
      <c r="C27" s="62" t="s">
        <v>8</v>
      </c>
      <c r="D27" s="57">
        <v>42674</v>
      </c>
      <c r="E27" s="39">
        <v>44405</v>
      </c>
      <c r="F27" s="58">
        <f t="shared" si="0"/>
        <v>4.7424657534246579</v>
      </c>
      <c r="G27" s="38">
        <v>5</v>
      </c>
      <c r="H27" s="40">
        <f t="shared" si="1"/>
        <v>0.19</v>
      </c>
      <c r="I27" s="63">
        <v>88000</v>
      </c>
      <c r="J27" s="64">
        <v>19528.311294959392</v>
      </c>
      <c r="K27" s="41">
        <v>0.06</v>
      </c>
      <c r="L27" s="42">
        <f t="shared" si="2"/>
        <v>93280</v>
      </c>
      <c r="M27" s="42">
        <f t="shared" si="3"/>
        <v>84051.669041095898</v>
      </c>
      <c r="N27" s="42">
        <f t="shared" si="6"/>
        <v>9228.3309589041019</v>
      </c>
      <c r="O27" s="50">
        <v>0.2</v>
      </c>
      <c r="P27" s="43">
        <f t="shared" si="5"/>
        <v>7382.6647671232822</v>
      </c>
    </row>
    <row r="28" spans="2:16" x14ac:dyDescent="0.25">
      <c r="B28" s="38">
        <v>25</v>
      </c>
      <c r="C28" s="62" t="s">
        <v>8</v>
      </c>
      <c r="D28" s="57">
        <v>42819</v>
      </c>
      <c r="E28" s="39">
        <v>44405</v>
      </c>
      <c r="F28" s="58">
        <f t="shared" si="0"/>
        <v>4.3452054794520549</v>
      </c>
      <c r="G28" s="38">
        <v>5</v>
      </c>
      <c r="H28" s="40">
        <f t="shared" si="1"/>
        <v>0.19</v>
      </c>
      <c r="I28" s="63">
        <v>810666.65</v>
      </c>
      <c r="J28" s="64">
        <v>210360.17801566841</v>
      </c>
      <c r="K28" s="41">
        <v>0.05</v>
      </c>
      <c r="L28" s="42">
        <f t="shared" si="2"/>
        <v>851199.98250000004</v>
      </c>
      <c r="M28" s="42">
        <f t="shared" si="3"/>
        <v>702741.37733301381</v>
      </c>
      <c r="N28" s="42">
        <f t="shared" si="6"/>
        <v>148458.60516698624</v>
      </c>
      <c r="O28" s="50">
        <v>0.2</v>
      </c>
      <c r="P28" s="43">
        <f t="shared" si="5"/>
        <v>118766.88413358899</v>
      </c>
    </row>
    <row r="29" spans="2:16" x14ac:dyDescent="0.25">
      <c r="B29" s="38">
        <v>26</v>
      </c>
      <c r="C29" s="62" t="s">
        <v>8</v>
      </c>
      <c r="D29" s="57">
        <v>42704</v>
      </c>
      <c r="E29" s="39">
        <v>44405</v>
      </c>
      <c r="F29" s="58">
        <f t="shared" si="0"/>
        <v>4.6602739726027398</v>
      </c>
      <c r="G29" s="38">
        <v>5</v>
      </c>
      <c r="H29" s="40">
        <f t="shared" si="1"/>
        <v>0.19</v>
      </c>
      <c r="I29" s="63">
        <v>504000</v>
      </c>
      <c r="J29" s="64">
        <v>115762.41468713831</v>
      </c>
      <c r="K29" s="41">
        <v>0.06</v>
      </c>
      <c r="L29" s="42">
        <f t="shared" si="2"/>
        <v>534240</v>
      </c>
      <c r="M29" s="42">
        <f t="shared" si="3"/>
        <v>473043.90575342468</v>
      </c>
      <c r="N29" s="42">
        <f t="shared" si="6"/>
        <v>61196.094246575318</v>
      </c>
      <c r="O29" s="50">
        <v>0.2</v>
      </c>
      <c r="P29" s="43">
        <f t="shared" si="5"/>
        <v>48956.875397260257</v>
      </c>
    </row>
    <row r="30" spans="2:16" x14ac:dyDescent="0.25">
      <c r="B30" s="38">
        <v>27</v>
      </c>
      <c r="C30" s="62" t="s">
        <v>8</v>
      </c>
      <c r="D30" s="53">
        <v>42916</v>
      </c>
      <c r="E30" s="39">
        <v>44405</v>
      </c>
      <c r="F30" s="58">
        <f t="shared" si="0"/>
        <v>4.0794520547945208</v>
      </c>
      <c r="G30" s="38">
        <v>5</v>
      </c>
      <c r="H30" s="40">
        <f t="shared" si="1"/>
        <v>0.19</v>
      </c>
      <c r="I30" s="59">
        <v>400000</v>
      </c>
      <c r="J30" s="61">
        <v>119145</v>
      </c>
      <c r="K30" s="41">
        <v>0.05</v>
      </c>
      <c r="L30" s="42">
        <f t="shared" si="2"/>
        <v>420000</v>
      </c>
      <c r="M30" s="42">
        <f t="shared" si="3"/>
        <v>325540.27397260274</v>
      </c>
      <c r="N30" s="42">
        <f t="shared" si="6"/>
        <v>94459.726027397264</v>
      </c>
      <c r="O30" s="50">
        <v>0.2</v>
      </c>
      <c r="P30" s="43">
        <f t="shared" si="5"/>
        <v>75567.780821917811</v>
      </c>
    </row>
    <row r="31" spans="2:16" x14ac:dyDescent="0.25">
      <c r="B31" s="38">
        <v>28</v>
      </c>
      <c r="C31" s="62" t="s">
        <v>8</v>
      </c>
      <c r="D31" s="57">
        <v>42993</v>
      </c>
      <c r="E31" s="39">
        <v>44405</v>
      </c>
      <c r="F31" s="58">
        <f t="shared" si="0"/>
        <v>3.8684931506849316</v>
      </c>
      <c r="G31" s="38">
        <v>5</v>
      </c>
      <c r="H31" s="40">
        <f t="shared" si="1"/>
        <v>0.19</v>
      </c>
      <c r="I31" s="59">
        <v>1755000</v>
      </c>
      <c r="J31" s="61">
        <v>577641</v>
      </c>
      <c r="K31" s="41">
        <v>0.05</v>
      </c>
      <c r="L31" s="42">
        <f t="shared" si="2"/>
        <v>1842750</v>
      </c>
      <c r="M31" s="42">
        <f t="shared" si="3"/>
        <v>1354446.493150685</v>
      </c>
      <c r="N31" s="42">
        <f t="shared" si="6"/>
        <v>488303.50684931502</v>
      </c>
      <c r="O31" s="50">
        <v>0.2</v>
      </c>
      <c r="P31" s="43">
        <f t="shared" si="5"/>
        <v>390642.80547945201</v>
      </c>
    </row>
    <row r="32" spans="2:16" x14ac:dyDescent="0.25">
      <c r="B32" s="38">
        <v>29</v>
      </c>
      <c r="C32" s="62" t="s">
        <v>8</v>
      </c>
      <c r="D32" s="53">
        <v>43190</v>
      </c>
      <c r="E32" s="39">
        <v>44405</v>
      </c>
      <c r="F32" s="58">
        <f t="shared" si="0"/>
        <v>3.3287671232876712</v>
      </c>
      <c r="G32" s="38">
        <v>5</v>
      </c>
      <c r="H32" s="40">
        <f t="shared" si="1"/>
        <v>0.19</v>
      </c>
      <c r="I32" s="59">
        <v>2210730</v>
      </c>
      <c r="J32" s="61">
        <v>904547</v>
      </c>
      <c r="K32" s="41">
        <v>0.03</v>
      </c>
      <c r="L32" s="42">
        <f t="shared" si="2"/>
        <v>2277051.9</v>
      </c>
      <c r="M32" s="42">
        <f t="shared" si="3"/>
        <v>1440157.3455205478</v>
      </c>
      <c r="N32" s="42">
        <f t="shared" si="6"/>
        <v>836894.55447945208</v>
      </c>
      <c r="O32" s="50">
        <v>0.2</v>
      </c>
      <c r="P32" s="43">
        <f t="shared" si="5"/>
        <v>669515.64358356176</v>
      </c>
    </row>
    <row r="33" spans="2:16" x14ac:dyDescent="0.25">
      <c r="B33" s="38">
        <v>30</v>
      </c>
      <c r="C33" s="62" t="s">
        <v>9</v>
      </c>
      <c r="D33" s="53">
        <v>42855</v>
      </c>
      <c r="E33" s="39">
        <v>44405</v>
      </c>
      <c r="F33" s="58">
        <f t="shared" si="0"/>
        <v>4.2465753424657535</v>
      </c>
      <c r="G33" s="38">
        <v>10</v>
      </c>
      <c r="H33" s="40">
        <f t="shared" si="1"/>
        <v>9.5000000000000001E-2</v>
      </c>
      <c r="I33" s="61">
        <v>144000</v>
      </c>
      <c r="J33" s="61">
        <v>39324.140037013072</v>
      </c>
      <c r="K33" s="41">
        <v>0.1</v>
      </c>
      <c r="L33" s="42">
        <f t="shared" si="2"/>
        <v>158400</v>
      </c>
      <c r="M33" s="42">
        <f t="shared" si="3"/>
        <v>63902.465753424665</v>
      </c>
      <c r="N33" s="42">
        <f t="shared" si="6"/>
        <v>94497.534246575335</v>
      </c>
      <c r="O33" s="50">
        <v>0.2</v>
      </c>
      <c r="P33" s="43">
        <f t="shared" si="5"/>
        <v>75598.027397260274</v>
      </c>
    </row>
    <row r="34" spans="2:16" x14ac:dyDescent="0.25">
      <c r="B34" s="38">
        <v>31</v>
      </c>
      <c r="C34" s="62" t="s">
        <v>9</v>
      </c>
      <c r="D34" s="53">
        <v>43069</v>
      </c>
      <c r="E34" s="39">
        <v>44405</v>
      </c>
      <c r="F34" s="58">
        <f t="shared" si="0"/>
        <v>3.6602739726027398</v>
      </c>
      <c r="G34" s="38">
        <v>10</v>
      </c>
      <c r="H34" s="40">
        <f t="shared" si="1"/>
        <v>9.5000000000000001E-2</v>
      </c>
      <c r="I34" s="61">
        <v>294000</v>
      </c>
      <c r="J34" s="61">
        <v>105843.37810997492</v>
      </c>
      <c r="K34" s="41">
        <v>0.1</v>
      </c>
      <c r="L34" s="42">
        <f t="shared" si="2"/>
        <v>323400</v>
      </c>
      <c r="M34" s="42">
        <f t="shared" si="3"/>
        <v>112454.59726027398</v>
      </c>
      <c r="N34" s="42">
        <f t="shared" si="6"/>
        <v>210945.40273972601</v>
      </c>
      <c r="O34" s="50">
        <v>0.2</v>
      </c>
      <c r="P34" s="43">
        <f t="shared" si="5"/>
        <v>168756.32219178081</v>
      </c>
    </row>
    <row r="35" spans="2:16" x14ac:dyDescent="0.25">
      <c r="B35" s="38">
        <v>32</v>
      </c>
      <c r="C35" s="52" t="s">
        <v>10</v>
      </c>
      <c r="D35" s="53">
        <v>41547</v>
      </c>
      <c r="E35" s="39">
        <v>44405</v>
      </c>
      <c r="F35" s="58">
        <f t="shared" si="0"/>
        <v>7.8301369863013699</v>
      </c>
      <c r="G35" s="38">
        <v>10</v>
      </c>
      <c r="H35" s="40">
        <f t="shared" si="1"/>
        <v>9.5000000000000001E-2</v>
      </c>
      <c r="I35" s="61">
        <v>562401.42000000004</v>
      </c>
      <c r="J35" s="95">
        <v>193114</v>
      </c>
      <c r="K35" s="41">
        <v>0.09</v>
      </c>
      <c r="L35" s="42">
        <f t="shared" si="2"/>
        <v>613017.54780000006</v>
      </c>
      <c r="M35" s="42">
        <f t="shared" si="3"/>
        <v>456001.0805566521</v>
      </c>
      <c r="N35" s="42">
        <f t="shared" si="6"/>
        <v>157016.46724334796</v>
      </c>
      <c r="O35" s="50">
        <v>0.2</v>
      </c>
      <c r="P35" s="43">
        <f t="shared" si="5"/>
        <v>125613.17379467837</v>
      </c>
    </row>
    <row r="36" spans="2:16" x14ac:dyDescent="0.25">
      <c r="B36" s="38">
        <v>33</v>
      </c>
      <c r="C36" s="52" t="s">
        <v>10</v>
      </c>
      <c r="D36" s="53">
        <v>41729</v>
      </c>
      <c r="E36" s="39">
        <v>44405</v>
      </c>
      <c r="F36" s="58">
        <f t="shared" si="0"/>
        <v>7.3315068493150681</v>
      </c>
      <c r="G36" s="38">
        <v>10</v>
      </c>
      <c r="H36" s="40">
        <f t="shared" si="1"/>
        <v>9.5000000000000001E-2</v>
      </c>
      <c r="I36" s="61">
        <v>898475</v>
      </c>
      <c r="J36" s="95"/>
      <c r="K36" s="41">
        <v>0.08</v>
      </c>
      <c r="L36" s="42">
        <f t="shared" si="2"/>
        <v>970353.00000000012</v>
      </c>
      <c r="M36" s="42">
        <f t="shared" si="3"/>
        <v>675844.21824657533</v>
      </c>
      <c r="N36" s="42">
        <f t="shared" si="6"/>
        <v>294508.78175342479</v>
      </c>
      <c r="O36" s="50">
        <v>0.2</v>
      </c>
      <c r="P36" s="43">
        <f t="shared" si="5"/>
        <v>235607.02540273985</v>
      </c>
    </row>
    <row r="37" spans="2:16" x14ac:dyDescent="0.25">
      <c r="B37" s="38">
        <v>34</v>
      </c>
      <c r="C37" s="52" t="s">
        <v>10</v>
      </c>
      <c r="D37" s="53">
        <v>41759</v>
      </c>
      <c r="E37" s="39">
        <v>44405</v>
      </c>
      <c r="F37" s="58">
        <f t="shared" si="0"/>
        <v>7.2493150684931509</v>
      </c>
      <c r="G37" s="38">
        <v>10</v>
      </c>
      <c r="H37" s="40">
        <f t="shared" si="1"/>
        <v>9.5000000000000001E-2</v>
      </c>
      <c r="I37" s="54">
        <v>25000</v>
      </c>
      <c r="J37" s="95"/>
      <c r="K37" s="41">
        <v>0.08</v>
      </c>
      <c r="L37" s="42">
        <f t="shared" si="2"/>
        <v>27000</v>
      </c>
      <c r="M37" s="42">
        <f t="shared" si="3"/>
        <v>18594.493150684935</v>
      </c>
      <c r="N37" s="42">
        <f t="shared" si="6"/>
        <v>8405.5068493150648</v>
      </c>
      <c r="O37" s="50">
        <v>0.2</v>
      </c>
      <c r="P37" s="43">
        <f t="shared" si="5"/>
        <v>6724.4054794520525</v>
      </c>
    </row>
    <row r="38" spans="2:16" x14ac:dyDescent="0.25">
      <c r="B38" s="38">
        <v>35</v>
      </c>
      <c r="C38" s="52" t="s">
        <v>10</v>
      </c>
      <c r="D38" s="53">
        <v>41790</v>
      </c>
      <c r="E38" s="39">
        <v>44405</v>
      </c>
      <c r="F38" s="58">
        <f t="shared" si="0"/>
        <v>7.1643835616438354</v>
      </c>
      <c r="G38" s="38">
        <v>10</v>
      </c>
      <c r="H38" s="40">
        <f t="shared" si="1"/>
        <v>9.5000000000000001E-2</v>
      </c>
      <c r="I38" s="54">
        <v>181826</v>
      </c>
      <c r="J38" s="95"/>
      <c r="K38" s="41">
        <v>0.08</v>
      </c>
      <c r="L38" s="42">
        <f t="shared" si="2"/>
        <v>196372.08000000002</v>
      </c>
      <c r="M38" s="42">
        <f t="shared" si="3"/>
        <v>133654.06568219178</v>
      </c>
      <c r="N38" s="42">
        <f t="shared" si="6"/>
        <v>62718.014317808236</v>
      </c>
      <c r="O38" s="50">
        <v>0.2</v>
      </c>
      <c r="P38" s="43">
        <f t="shared" si="5"/>
        <v>50174.41145424659</v>
      </c>
    </row>
    <row r="39" spans="2:16" x14ac:dyDescent="0.25">
      <c r="B39" s="38">
        <v>36</v>
      </c>
      <c r="C39" s="52" t="s">
        <v>10</v>
      </c>
      <c r="D39" s="53">
        <v>41851</v>
      </c>
      <c r="E39" s="39">
        <v>44405</v>
      </c>
      <c r="F39" s="58">
        <f t="shared" si="0"/>
        <v>6.9972602739726026</v>
      </c>
      <c r="G39" s="38">
        <v>10</v>
      </c>
      <c r="H39" s="40">
        <f t="shared" si="1"/>
        <v>9.5000000000000001E-2</v>
      </c>
      <c r="I39" s="54">
        <v>294940</v>
      </c>
      <c r="J39" s="95"/>
      <c r="K39" s="41">
        <v>0.08</v>
      </c>
      <c r="L39" s="42">
        <f t="shared" si="2"/>
        <v>318535.2</v>
      </c>
      <c r="M39" s="42">
        <f t="shared" si="3"/>
        <v>211743.00157808221</v>
      </c>
      <c r="N39" s="42">
        <f t="shared" si="6"/>
        <v>106792.1984219178</v>
      </c>
      <c r="O39" s="50">
        <v>0.2</v>
      </c>
      <c r="P39" s="43">
        <f t="shared" si="5"/>
        <v>85433.758737534241</v>
      </c>
    </row>
    <row r="40" spans="2:16" x14ac:dyDescent="0.25">
      <c r="B40" s="38">
        <v>37</v>
      </c>
      <c r="C40" s="52" t="s">
        <v>10</v>
      </c>
      <c r="D40" s="53">
        <v>42004</v>
      </c>
      <c r="E40" s="39">
        <v>44405</v>
      </c>
      <c r="F40" s="58">
        <f t="shared" si="0"/>
        <v>6.5780821917808217</v>
      </c>
      <c r="G40" s="38">
        <v>10</v>
      </c>
      <c r="H40" s="40">
        <f t="shared" si="1"/>
        <v>9.5000000000000001E-2</v>
      </c>
      <c r="I40" s="54">
        <v>613236</v>
      </c>
      <c r="J40" s="95"/>
      <c r="K40" s="41">
        <v>0.08</v>
      </c>
      <c r="L40" s="42">
        <f t="shared" si="2"/>
        <v>662294.88</v>
      </c>
      <c r="M40" s="42">
        <f t="shared" si="3"/>
        <v>413879.86480438354</v>
      </c>
      <c r="N40" s="42">
        <f t="shared" si="6"/>
        <v>248415.01519561646</v>
      </c>
      <c r="O40" s="50">
        <v>0.2</v>
      </c>
      <c r="P40" s="43">
        <f t="shared" si="5"/>
        <v>198732.01215649318</v>
      </c>
    </row>
    <row r="41" spans="2:16" x14ac:dyDescent="0.25">
      <c r="B41" s="38">
        <v>38</v>
      </c>
      <c r="C41" s="52" t="s">
        <v>10</v>
      </c>
      <c r="D41" s="53">
        <v>42035</v>
      </c>
      <c r="E41" s="39">
        <v>44405</v>
      </c>
      <c r="F41" s="58">
        <f t="shared" si="0"/>
        <v>6.493150684931507</v>
      </c>
      <c r="G41" s="38">
        <v>10</v>
      </c>
      <c r="H41" s="40">
        <f t="shared" si="1"/>
        <v>9.5000000000000001E-2</v>
      </c>
      <c r="I41" s="54">
        <v>75710</v>
      </c>
      <c r="J41" s="95"/>
      <c r="K41" s="41">
        <v>0.14000000000000001</v>
      </c>
      <c r="L41" s="42">
        <f t="shared" si="2"/>
        <v>86309.400000000009</v>
      </c>
      <c r="M41" s="42">
        <f t="shared" si="3"/>
        <v>53239.894273972612</v>
      </c>
      <c r="N41" s="42">
        <f t="shared" si="6"/>
        <v>33069.505726027397</v>
      </c>
      <c r="O41" s="50">
        <v>0.2</v>
      </c>
      <c r="P41" s="43">
        <f t="shared" si="5"/>
        <v>26455.604580821921</v>
      </c>
    </row>
    <row r="42" spans="2:16" x14ac:dyDescent="0.25">
      <c r="B42" s="38">
        <v>39</v>
      </c>
      <c r="C42" s="62" t="s">
        <v>10</v>
      </c>
      <c r="D42" s="53">
        <v>42292</v>
      </c>
      <c r="E42" s="39">
        <v>44405</v>
      </c>
      <c r="F42" s="58">
        <f t="shared" si="0"/>
        <v>5.7890410958904113</v>
      </c>
      <c r="G42" s="38">
        <v>10</v>
      </c>
      <c r="H42" s="40">
        <f t="shared" si="1"/>
        <v>9.5000000000000001E-2</v>
      </c>
      <c r="I42" s="61">
        <v>45200</v>
      </c>
      <c r="J42" s="95"/>
      <c r="K42" s="41">
        <v>0.14000000000000001</v>
      </c>
      <c r="L42" s="42">
        <f t="shared" si="2"/>
        <v>51528.000000000007</v>
      </c>
      <c r="M42" s="42">
        <f t="shared" si="3"/>
        <v>28338.282410958909</v>
      </c>
      <c r="N42" s="42">
        <f t="shared" si="6"/>
        <v>23189.717589041098</v>
      </c>
      <c r="O42" s="50">
        <v>0.2</v>
      </c>
      <c r="P42" s="43">
        <f t="shared" si="5"/>
        <v>18551.774071232878</v>
      </c>
    </row>
    <row r="43" spans="2:16" x14ac:dyDescent="0.25">
      <c r="B43" s="38">
        <v>40</v>
      </c>
      <c r="C43" s="52" t="s">
        <v>11</v>
      </c>
      <c r="D43" s="57">
        <v>41547</v>
      </c>
      <c r="E43" s="39">
        <v>44405</v>
      </c>
      <c r="F43" s="58">
        <f t="shared" si="0"/>
        <v>7.8301369863013699</v>
      </c>
      <c r="G43" s="38">
        <v>15</v>
      </c>
      <c r="H43" s="40">
        <f t="shared" si="1"/>
        <v>6.3333333333333325E-2</v>
      </c>
      <c r="I43" s="59">
        <v>9356507.5500000007</v>
      </c>
      <c r="J43" s="94">
        <v>1953490</v>
      </c>
      <c r="K43" s="41">
        <v>0.09</v>
      </c>
      <c r="L43" s="42">
        <f t="shared" si="2"/>
        <v>10198593.229500001</v>
      </c>
      <c r="M43" s="42">
        <f t="shared" si="3"/>
        <v>5057570.8634548765</v>
      </c>
      <c r="N43" s="42">
        <f t="shared" si="6"/>
        <v>5141022.3660451248</v>
      </c>
      <c r="O43" s="50">
        <v>0.2</v>
      </c>
      <c r="P43" s="43">
        <f t="shared" si="5"/>
        <v>4112817.8928361</v>
      </c>
    </row>
    <row r="44" spans="2:16" x14ac:dyDescent="0.25">
      <c r="B44" s="38">
        <v>41</v>
      </c>
      <c r="C44" s="60" t="s">
        <v>12</v>
      </c>
      <c r="D44" s="53">
        <v>41883</v>
      </c>
      <c r="E44" s="39">
        <v>44405</v>
      </c>
      <c r="F44" s="58">
        <f t="shared" si="0"/>
        <v>6.9095890410958907</v>
      </c>
      <c r="G44" s="38">
        <v>15</v>
      </c>
      <c r="H44" s="40">
        <f t="shared" si="1"/>
        <v>6.3333333333333325E-2</v>
      </c>
      <c r="I44" s="61">
        <v>6849492.4000000004</v>
      </c>
      <c r="J44" s="94"/>
      <c r="K44" s="41">
        <v>0.08</v>
      </c>
      <c r="L44" s="42">
        <f t="shared" si="2"/>
        <v>7397451.7920000013</v>
      </c>
      <c r="M44" s="42">
        <f t="shared" si="3"/>
        <v>3237178.9494890962</v>
      </c>
      <c r="N44" s="42">
        <f t="shared" si="6"/>
        <v>4160272.8425109051</v>
      </c>
      <c r="O44" s="50">
        <v>0.2</v>
      </c>
      <c r="P44" s="43">
        <f t="shared" si="5"/>
        <v>3328218.2740087244</v>
      </c>
    </row>
    <row r="45" spans="2:16" x14ac:dyDescent="0.25">
      <c r="B45" s="38">
        <v>42</v>
      </c>
      <c r="C45" s="60" t="s">
        <v>13</v>
      </c>
      <c r="D45" s="53">
        <v>42094</v>
      </c>
      <c r="E45" s="39">
        <v>44405</v>
      </c>
      <c r="F45" s="58">
        <f t="shared" si="0"/>
        <v>6.3315068493150681</v>
      </c>
      <c r="G45" s="38">
        <v>15</v>
      </c>
      <c r="H45" s="40">
        <f t="shared" si="1"/>
        <v>6.3333333333333325E-2</v>
      </c>
      <c r="I45" s="61">
        <v>7818061</v>
      </c>
      <c r="J45" s="94"/>
      <c r="K45" s="41">
        <v>0.14000000000000001</v>
      </c>
      <c r="L45" s="42">
        <f t="shared" si="2"/>
        <v>8912589.540000001</v>
      </c>
      <c r="M45" s="42">
        <f t="shared" si="3"/>
        <v>3573907.7087841094</v>
      </c>
      <c r="N45" s="42">
        <f t="shared" si="6"/>
        <v>5338681.831215892</v>
      </c>
      <c r="O45" s="50">
        <v>0.2</v>
      </c>
      <c r="P45" s="43">
        <f t="shared" si="5"/>
        <v>4270945.464972714</v>
      </c>
    </row>
    <row r="46" spans="2:16" x14ac:dyDescent="0.25">
      <c r="B46" s="38">
        <v>43</v>
      </c>
      <c r="C46" s="52" t="s">
        <v>11</v>
      </c>
      <c r="D46" s="53">
        <v>42100</v>
      </c>
      <c r="E46" s="39">
        <v>44405</v>
      </c>
      <c r="F46" s="58">
        <f t="shared" si="0"/>
        <v>6.3150684931506849</v>
      </c>
      <c r="G46" s="38">
        <v>15</v>
      </c>
      <c r="H46" s="40">
        <f t="shared" si="1"/>
        <v>6.3333333333333325E-2</v>
      </c>
      <c r="I46" s="61">
        <f>79965.3-30000</f>
        <v>49965.3</v>
      </c>
      <c r="J46" s="94"/>
      <c r="K46" s="41">
        <v>0.14000000000000001</v>
      </c>
      <c r="L46" s="42">
        <f t="shared" si="2"/>
        <v>56960.44200000001</v>
      </c>
      <c r="M46" s="42">
        <f t="shared" si="3"/>
        <v>22781.575866575342</v>
      </c>
      <c r="N46" s="42">
        <f t="shared" si="6"/>
        <v>34178.866133424672</v>
      </c>
      <c r="O46" s="50">
        <v>0.2</v>
      </c>
      <c r="P46" s="43">
        <f t="shared" si="5"/>
        <v>27343.092906739737</v>
      </c>
    </row>
    <row r="47" spans="2:16" x14ac:dyDescent="0.25">
      <c r="B47" s="38">
        <v>44</v>
      </c>
      <c r="C47" s="52" t="s">
        <v>11</v>
      </c>
      <c r="D47" s="53">
        <v>42248</v>
      </c>
      <c r="E47" s="39">
        <v>44405</v>
      </c>
      <c r="F47" s="58">
        <f t="shared" si="0"/>
        <v>5.9095890410958907</v>
      </c>
      <c r="G47" s="38">
        <v>15</v>
      </c>
      <c r="H47" s="40">
        <f t="shared" si="1"/>
        <v>6.3333333333333325E-2</v>
      </c>
      <c r="I47" s="61">
        <v>30000</v>
      </c>
      <c r="J47" s="94"/>
      <c r="K47" s="41">
        <v>0.14000000000000001</v>
      </c>
      <c r="L47" s="42">
        <f t="shared" si="2"/>
        <v>34200.000000000007</v>
      </c>
      <c r="M47" s="42">
        <f t="shared" si="3"/>
        <v>12800.1698630137</v>
      </c>
      <c r="N47" s="42">
        <f t="shared" si="6"/>
        <v>21399.830136986307</v>
      </c>
      <c r="O47" s="50">
        <v>0.2</v>
      </c>
      <c r="P47" s="43">
        <f t="shared" si="5"/>
        <v>17119.864109589045</v>
      </c>
    </row>
    <row r="48" spans="2:16" x14ac:dyDescent="0.25">
      <c r="B48" s="38">
        <v>45</v>
      </c>
      <c r="C48" s="62" t="s">
        <v>11</v>
      </c>
      <c r="D48" s="57">
        <v>42643</v>
      </c>
      <c r="E48" s="39">
        <v>44405</v>
      </c>
      <c r="F48" s="58">
        <f t="shared" si="0"/>
        <v>4.8273972602739725</v>
      </c>
      <c r="G48" s="38">
        <v>15</v>
      </c>
      <c r="H48" s="40">
        <f t="shared" si="1"/>
        <v>6.3333333333333325E-2</v>
      </c>
      <c r="I48" s="63">
        <v>400000</v>
      </c>
      <c r="J48" s="61">
        <v>85552</v>
      </c>
      <c r="K48" s="41">
        <v>0.16</v>
      </c>
      <c r="L48" s="42">
        <f t="shared" si="2"/>
        <v>463999.99999999994</v>
      </c>
      <c r="M48" s="42">
        <f t="shared" si="3"/>
        <v>141861.1141552511</v>
      </c>
      <c r="N48" s="42">
        <f t="shared" si="6"/>
        <v>322138.88584474882</v>
      </c>
      <c r="O48" s="50">
        <v>0.2</v>
      </c>
      <c r="P48" s="43">
        <f t="shared" si="5"/>
        <v>257711.10867579907</v>
      </c>
    </row>
    <row r="49" spans="2:16" x14ac:dyDescent="0.25">
      <c r="B49" s="38">
        <v>46</v>
      </c>
      <c r="C49" s="62" t="s">
        <v>11</v>
      </c>
      <c r="D49" s="57">
        <v>42643</v>
      </c>
      <c r="E49" s="39">
        <v>44405</v>
      </c>
      <c r="F49" s="58">
        <f t="shared" si="0"/>
        <v>4.8273972602739725</v>
      </c>
      <c r="G49" s="38">
        <v>15</v>
      </c>
      <c r="H49" s="40">
        <f t="shared" si="1"/>
        <v>6.3333333333333325E-2</v>
      </c>
      <c r="I49" s="63">
        <v>72000</v>
      </c>
      <c r="J49" s="61">
        <v>15399</v>
      </c>
      <c r="K49" s="41">
        <v>0.16</v>
      </c>
      <c r="L49" s="42">
        <f t="shared" si="2"/>
        <v>83520</v>
      </c>
      <c r="M49" s="42">
        <f t="shared" si="3"/>
        <v>25535.000547945201</v>
      </c>
      <c r="N49" s="42">
        <f t="shared" si="6"/>
        <v>57984.999452054799</v>
      </c>
      <c r="O49" s="50">
        <v>0.2</v>
      </c>
      <c r="P49" s="43">
        <f t="shared" si="5"/>
        <v>46387.999561643839</v>
      </c>
    </row>
    <row r="50" spans="2:16" x14ac:dyDescent="0.25">
      <c r="B50" s="38">
        <v>47</v>
      </c>
      <c r="C50" s="62" t="s">
        <v>11</v>
      </c>
      <c r="D50" s="57">
        <v>42766</v>
      </c>
      <c r="E50" s="39">
        <v>44405</v>
      </c>
      <c r="F50" s="58">
        <f t="shared" si="0"/>
        <v>4.4904109589041097</v>
      </c>
      <c r="G50" s="38">
        <v>15</v>
      </c>
      <c r="H50" s="40">
        <f t="shared" si="1"/>
        <v>6.3333333333333325E-2</v>
      </c>
      <c r="I50" s="63">
        <v>1800000</v>
      </c>
      <c r="J50" s="61">
        <v>442359</v>
      </c>
      <c r="K50" s="41">
        <v>0.1</v>
      </c>
      <c r="L50" s="42">
        <f t="shared" si="2"/>
        <v>1980000.0000000002</v>
      </c>
      <c r="M50" s="42">
        <f t="shared" si="3"/>
        <v>563097.53424657532</v>
      </c>
      <c r="N50" s="42">
        <f t="shared" si="6"/>
        <v>1416902.4657534249</v>
      </c>
      <c r="O50" s="50">
        <v>0.2</v>
      </c>
      <c r="P50" s="43">
        <f t="shared" si="5"/>
        <v>1133521.9726027399</v>
      </c>
    </row>
    <row r="51" spans="2:16" x14ac:dyDescent="0.25">
      <c r="B51" s="38">
        <v>48</v>
      </c>
      <c r="C51" s="62" t="s">
        <v>14</v>
      </c>
      <c r="D51" s="57">
        <v>41547</v>
      </c>
      <c r="E51" s="39">
        <v>44405</v>
      </c>
      <c r="F51" s="58">
        <f t="shared" si="0"/>
        <v>7.8301369863013699</v>
      </c>
      <c r="G51" s="38">
        <v>15</v>
      </c>
      <c r="H51" s="40">
        <f t="shared" si="1"/>
        <v>6.3333333333333325E-2</v>
      </c>
      <c r="I51" s="59">
        <v>20044282.07</v>
      </c>
      <c r="J51" s="94">
        <v>2250251</v>
      </c>
      <c r="K51" s="41">
        <v>0.09</v>
      </c>
      <c r="L51" s="42">
        <f t="shared" si="2"/>
        <v>21848267.456300002</v>
      </c>
      <c r="M51" s="42">
        <f t="shared" si="3"/>
        <v>10834745.382758014</v>
      </c>
      <c r="N51" s="42">
        <f t="shared" si="6"/>
        <v>11013522.073541988</v>
      </c>
      <c r="O51" s="50">
        <v>0.2</v>
      </c>
      <c r="P51" s="43">
        <f t="shared" si="5"/>
        <v>8810817.6588335913</v>
      </c>
    </row>
    <row r="52" spans="2:16" x14ac:dyDescent="0.25">
      <c r="B52" s="38">
        <v>49</v>
      </c>
      <c r="C52" s="60" t="s">
        <v>14</v>
      </c>
      <c r="D52" s="53">
        <v>41912</v>
      </c>
      <c r="E52" s="39">
        <v>44405</v>
      </c>
      <c r="F52" s="58">
        <f t="shared" si="0"/>
        <v>6.8301369863013699</v>
      </c>
      <c r="G52" s="38">
        <v>15</v>
      </c>
      <c r="H52" s="40">
        <f t="shared" si="1"/>
        <v>6.3333333333333325E-2</v>
      </c>
      <c r="I52" s="61">
        <v>7097972.9400000004</v>
      </c>
      <c r="J52" s="94"/>
      <c r="K52" s="41">
        <v>0.08</v>
      </c>
      <c r="L52" s="42">
        <f t="shared" si="2"/>
        <v>7665810.775200001</v>
      </c>
      <c r="M52" s="42">
        <f t="shared" si="3"/>
        <v>3316040.7213598024</v>
      </c>
      <c r="N52" s="42">
        <f t="shared" si="6"/>
        <v>4349770.0538401986</v>
      </c>
      <c r="O52" s="50">
        <v>0.2</v>
      </c>
      <c r="P52" s="43">
        <f t="shared" si="5"/>
        <v>3479816.0430721589</v>
      </c>
    </row>
    <row r="53" spans="2:16" x14ac:dyDescent="0.25">
      <c r="B53" s="38">
        <v>50</v>
      </c>
      <c r="C53" s="60" t="s">
        <v>14</v>
      </c>
      <c r="D53" s="53">
        <v>42094</v>
      </c>
      <c r="E53" s="39">
        <v>44405</v>
      </c>
      <c r="F53" s="58">
        <f t="shared" si="0"/>
        <v>6.3315068493150681</v>
      </c>
      <c r="G53" s="38">
        <v>15</v>
      </c>
      <c r="H53" s="40">
        <f t="shared" si="1"/>
        <v>6.3333333333333325E-2</v>
      </c>
      <c r="I53" s="61">
        <v>3801560</v>
      </c>
      <c r="J53" s="94"/>
      <c r="K53" s="41">
        <v>0.14000000000000001</v>
      </c>
      <c r="L53" s="42">
        <f t="shared" si="2"/>
        <v>4333778.4000000004</v>
      </c>
      <c r="M53" s="42">
        <f t="shared" si="3"/>
        <v>1737825.3494575343</v>
      </c>
      <c r="N53" s="42">
        <f t="shared" si="6"/>
        <v>2595953.0505424663</v>
      </c>
      <c r="O53" s="50">
        <v>0.2</v>
      </c>
      <c r="P53" s="43">
        <f t="shared" si="5"/>
        <v>2076762.4404339732</v>
      </c>
    </row>
    <row r="54" spans="2:16" x14ac:dyDescent="0.25">
      <c r="B54" s="38">
        <v>51</v>
      </c>
      <c r="C54" s="52" t="s">
        <v>14</v>
      </c>
      <c r="D54" s="53">
        <v>42241</v>
      </c>
      <c r="E54" s="39">
        <v>44405</v>
      </c>
      <c r="F54" s="58">
        <f t="shared" si="0"/>
        <v>5.9287671232876713</v>
      </c>
      <c r="G54" s="38">
        <v>15</v>
      </c>
      <c r="H54" s="40">
        <f t="shared" si="1"/>
        <v>6.3333333333333325E-2</v>
      </c>
      <c r="I54" s="61">
        <v>240000</v>
      </c>
      <c r="J54" s="94"/>
      <c r="K54" s="41">
        <v>0.14000000000000001</v>
      </c>
      <c r="L54" s="42">
        <f t="shared" si="2"/>
        <v>273600.00000000006</v>
      </c>
      <c r="M54" s="42">
        <f t="shared" si="3"/>
        <v>102733.67671232879</v>
      </c>
      <c r="N54" s="42">
        <f t="shared" si="6"/>
        <v>170866.32328767126</v>
      </c>
      <c r="O54" s="50">
        <v>0.2</v>
      </c>
      <c r="P54" s="43">
        <f t="shared" si="5"/>
        <v>136693.05863013701</v>
      </c>
    </row>
    <row r="55" spans="2:16" x14ac:dyDescent="0.25">
      <c r="B55" s="38">
        <v>52</v>
      </c>
      <c r="C55" s="62" t="s">
        <v>14</v>
      </c>
      <c r="D55" s="53">
        <v>43183</v>
      </c>
      <c r="E55" s="39">
        <v>44405</v>
      </c>
      <c r="F55" s="58">
        <f t="shared" si="0"/>
        <v>3.3479452054794518</v>
      </c>
      <c r="G55" s="38">
        <v>15</v>
      </c>
      <c r="H55" s="40">
        <f t="shared" si="1"/>
        <v>6.3333333333333325E-2</v>
      </c>
      <c r="I55" s="59">
        <v>460000</v>
      </c>
      <c r="J55" s="61">
        <v>186907</v>
      </c>
      <c r="K55" s="41">
        <v>0.04</v>
      </c>
      <c r="L55" s="42">
        <f t="shared" si="2"/>
        <v>478400</v>
      </c>
      <c r="M55" s="42">
        <f t="shared" si="3"/>
        <v>101438.27579908674</v>
      </c>
      <c r="N55" s="42">
        <f t="shared" si="6"/>
        <v>376961.72420091328</v>
      </c>
      <c r="O55" s="50">
        <v>0.2</v>
      </c>
      <c r="P55" s="43">
        <f t="shared" si="5"/>
        <v>301569.37936073064</v>
      </c>
    </row>
    <row r="56" spans="2:16" x14ac:dyDescent="0.25">
      <c r="B56" s="38">
        <v>53</v>
      </c>
      <c r="C56" s="62" t="s">
        <v>14</v>
      </c>
      <c r="D56" s="53">
        <v>43190</v>
      </c>
      <c r="E56" s="39">
        <v>44405</v>
      </c>
      <c r="F56" s="58">
        <f t="shared" si="0"/>
        <v>3.3287671232876712</v>
      </c>
      <c r="G56" s="38">
        <v>15</v>
      </c>
      <c r="H56" s="40">
        <f t="shared" si="1"/>
        <v>6.3333333333333325E-2</v>
      </c>
      <c r="I56" s="59">
        <v>2800000</v>
      </c>
      <c r="J56" s="61">
        <v>1145653</v>
      </c>
      <c r="K56" s="41">
        <v>0.04</v>
      </c>
      <c r="L56" s="42">
        <f t="shared" si="2"/>
        <v>2912000</v>
      </c>
      <c r="M56" s="42">
        <f t="shared" si="3"/>
        <v>613913.42465753423</v>
      </c>
      <c r="N56" s="42">
        <f t="shared" si="6"/>
        <v>2298086.5753424657</v>
      </c>
      <c r="O56" s="50">
        <v>0.2</v>
      </c>
      <c r="P56" s="43">
        <f t="shared" si="5"/>
        <v>1838469.2602739725</v>
      </c>
    </row>
    <row r="57" spans="2:16" x14ac:dyDescent="0.25">
      <c r="B57" s="38">
        <v>54</v>
      </c>
      <c r="C57" s="62" t="s">
        <v>15</v>
      </c>
      <c r="D57" s="57">
        <v>41593</v>
      </c>
      <c r="E57" s="39">
        <v>44405</v>
      </c>
      <c r="F57" s="58">
        <f t="shared" si="0"/>
        <v>7.7041095890410958</v>
      </c>
      <c r="G57" s="38">
        <v>15</v>
      </c>
      <c r="H57" s="40">
        <f t="shared" si="1"/>
        <v>6.3333333333333325E-2</v>
      </c>
      <c r="I57" s="59">
        <v>3064578</v>
      </c>
      <c r="J57" s="94">
        <v>588972</v>
      </c>
      <c r="K57" s="41">
        <v>0.05</v>
      </c>
      <c r="L57" s="42">
        <f t="shared" si="2"/>
        <v>3217806.9</v>
      </c>
      <c r="M57" s="42">
        <f t="shared" si="3"/>
        <v>1570054.6762849311</v>
      </c>
      <c r="N57" s="42">
        <f t="shared" si="6"/>
        <v>1647752.2237150688</v>
      </c>
      <c r="O57" s="50">
        <v>0.2</v>
      </c>
      <c r="P57" s="43">
        <f t="shared" si="5"/>
        <v>1318201.7789720551</v>
      </c>
    </row>
    <row r="58" spans="2:16" x14ac:dyDescent="0.25">
      <c r="B58" s="38">
        <v>55</v>
      </c>
      <c r="C58" s="52" t="s">
        <v>15</v>
      </c>
      <c r="D58" s="53">
        <v>42124</v>
      </c>
      <c r="E58" s="39">
        <v>44405</v>
      </c>
      <c r="F58" s="58">
        <f t="shared" si="0"/>
        <v>6.2493150684931509</v>
      </c>
      <c r="G58" s="38">
        <v>15</v>
      </c>
      <c r="H58" s="40">
        <f t="shared" si="1"/>
        <v>6.3333333333333325E-2</v>
      </c>
      <c r="I58" s="61">
        <v>2649587</v>
      </c>
      <c r="J58" s="94"/>
      <c r="K58" s="41">
        <v>0.14000000000000001</v>
      </c>
      <c r="L58" s="42">
        <f t="shared" si="2"/>
        <v>3020529.18</v>
      </c>
      <c r="M58" s="42">
        <f t="shared" si="3"/>
        <v>1195495.1062284932</v>
      </c>
      <c r="N58" s="42">
        <f t="shared" si="6"/>
        <v>1825034.073771507</v>
      </c>
      <c r="O58" s="50">
        <v>0.2</v>
      </c>
      <c r="P58" s="43">
        <f t="shared" si="5"/>
        <v>1460027.2590172058</v>
      </c>
    </row>
    <row r="59" spans="2:16" x14ac:dyDescent="0.25">
      <c r="B59" s="38">
        <v>56</v>
      </c>
      <c r="C59" s="52" t="s">
        <v>15</v>
      </c>
      <c r="D59" s="53">
        <v>42171</v>
      </c>
      <c r="E59" s="39">
        <v>44405</v>
      </c>
      <c r="F59" s="58">
        <f t="shared" si="0"/>
        <v>6.1205479452054794</v>
      </c>
      <c r="G59" s="38">
        <v>15</v>
      </c>
      <c r="H59" s="40">
        <f t="shared" si="1"/>
        <v>6.3333333333333325E-2</v>
      </c>
      <c r="I59" s="61">
        <v>185000</v>
      </c>
      <c r="J59" s="94"/>
      <c r="K59" s="41">
        <v>0.14000000000000001</v>
      </c>
      <c r="L59" s="42">
        <f t="shared" si="2"/>
        <v>210900.00000000003</v>
      </c>
      <c r="M59" s="42">
        <f t="shared" si="3"/>
        <v>81752.158904109587</v>
      </c>
      <c r="N59" s="42">
        <f t="shared" si="6"/>
        <v>129147.84109589044</v>
      </c>
      <c r="O59" s="50">
        <v>0.2</v>
      </c>
      <c r="P59" s="43">
        <f t="shared" si="5"/>
        <v>103318.27287671236</v>
      </c>
    </row>
    <row r="60" spans="2:16" x14ac:dyDescent="0.25">
      <c r="B60" s="38">
        <v>57</v>
      </c>
      <c r="C60" s="52" t="s">
        <v>15</v>
      </c>
      <c r="D60" s="53">
        <v>42173</v>
      </c>
      <c r="E60" s="39">
        <v>44405</v>
      </c>
      <c r="F60" s="58">
        <f t="shared" si="0"/>
        <v>6.1150684931506847</v>
      </c>
      <c r="G60" s="38">
        <v>15</v>
      </c>
      <c r="H60" s="40">
        <f t="shared" si="1"/>
        <v>6.3333333333333325E-2</v>
      </c>
      <c r="I60" s="61">
        <v>90000</v>
      </c>
      <c r="J60" s="94"/>
      <c r="K60" s="41">
        <v>0.14000000000000001</v>
      </c>
      <c r="L60" s="42">
        <f t="shared" si="2"/>
        <v>102600.00000000001</v>
      </c>
      <c r="M60" s="42">
        <f t="shared" si="3"/>
        <v>39735.715068493155</v>
      </c>
      <c r="N60" s="42">
        <f t="shared" si="6"/>
        <v>62864.28493150686</v>
      </c>
      <c r="O60" s="50">
        <v>0.2</v>
      </c>
      <c r="P60" s="43">
        <f t="shared" si="5"/>
        <v>50291.427945205491</v>
      </c>
    </row>
    <row r="61" spans="2:16" x14ac:dyDescent="0.25">
      <c r="B61" s="38">
        <v>58</v>
      </c>
      <c r="C61" s="52" t="s">
        <v>15</v>
      </c>
      <c r="D61" s="53">
        <v>42277</v>
      </c>
      <c r="E61" s="39">
        <v>44405</v>
      </c>
      <c r="F61" s="58">
        <f t="shared" si="0"/>
        <v>5.8301369863013699</v>
      </c>
      <c r="G61" s="38">
        <v>15</v>
      </c>
      <c r="H61" s="40">
        <f t="shared" si="1"/>
        <v>6.3333333333333325E-2</v>
      </c>
      <c r="I61" s="61">
        <v>12000</v>
      </c>
      <c r="J61" s="94"/>
      <c r="K61" s="41">
        <v>0.14000000000000001</v>
      </c>
      <c r="L61" s="42">
        <f t="shared" si="2"/>
        <v>13680.000000000002</v>
      </c>
      <c r="M61" s="42">
        <f t="shared" si="3"/>
        <v>5051.2306849315073</v>
      </c>
      <c r="N61" s="42">
        <f t="shared" si="6"/>
        <v>8628.7693150684936</v>
      </c>
      <c r="O61" s="50">
        <v>0.2</v>
      </c>
      <c r="P61" s="43">
        <f t="shared" si="5"/>
        <v>6903.0154520547949</v>
      </c>
    </row>
    <row r="62" spans="2:16" x14ac:dyDescent="0.25">
      <c r="B62" s="38">
        <v>59</v>
      </c>
      <c r="C62" s="52" t="s">
        <v>15</v>
      </c>
      <c r="D62" s="53">
        <v>42429</v>
      </c>
      <c r="E62" s="39">
        <v>44405</v>
      </c>
      <c r="F62" s="58">
        <f t="shared" si="0"/>
        <v>5.4136986301369863</v>
      </c>
      <c r="G62" s="38">
        <v>15</v>
      </c>
      <c r="H62" s="40">
        <f t="shared" si="1"/>
        <v>6.3333333333333325E-2</v>
      </c>
      <c r="I62" s="61">
        <v>900000</v>
      </c>
      <c r="J62" s="94"/>
      <c r="K62" s="41">
        <v>0.1</v>
      </c>
      <c r="L62" s="42">
        <f t="shared" si="2"/>
        <v>990000.00000000012</v>
      </c>
      <c r="M62" s="42">
        <f t="shared" si="3"/>
        <v>339438.904109589</v>
      </c>
      <c r="N62" s="42">
        <f t="shared" si="6"/>
        <v>650561.09589041118</v>
      </c>
      <c r="O62" s="50">
        <v>0.2</v>
      </c>
      <c r="P62" s="43">
        <f t="shared" si="5"/>
        <v>520448.87671232899</v>
      </c>
    </row>
    <row r="63" spans="2:16" x14ac:dyDescent="0.25">
      <c r="B63" s="38">
        <v>60</v>
      </c>
      <c r="C63" s="52" t="s">
        <v>15</v>
      </c>
      <c r="D63" s="53">
        <v>42460</v>
      </c>
      <c r="E63" s="39">
        <v>44405</v>
      </c>
      <c r="F63" s="58">
        <f t="shared" si="0"/>
        <v>5.3287671232876717</v>
      </c>
      <c r="G63" s="38">
        <v>15</v>
      </c>
      <c r="H63" s="40">
        <f t="shared" si="1"/>
        <v>6.3333333333333325E-2</v>
      </c>
      <c r="I63" s="61">
        <v>82200</v>
      </c>
      <c r="J63" s="94"/>
      <c r="K63" s="41">
        <v>0.1</v>
      </c>
      <c r="L63" s="42">
        <f t="shared" si="2"/>
        <v>90420.000000000015</v>
      </c>
      <c r="M63" s="42">
        <f t="shared" si="3"/>
        <v>30515.717808219182</v>
      </c>
      <c r="N63" s="42">
        <f t="shared" si="6"/>
        <v>59904.282191780832</v>
      </c>
      <c r="O63" s="50">
        <v>0.2</v>
      </c>
      <c r="P63" s="43">
        <f t="shared" si="5"/>
        <v>47923.425753424672</v>
      </c>
    </row>
    <row r="64" spans="2:16" x14ac:dyDescent="0.25">
      <c r="B64" s="38">
        <v>61</v>
      </c>
      <c r="C64" s="62" t="s">
        <v>16</v>
      </c>
      <c r="D64" s="57">
        <v>42490</v>
      </c>
      <c r="E64" s="39">
        <v>44405</v>
      </c>
      <c r="F64" s="58">
        <f t="shared" si="0"/>
        <v>5.2465753424657535</v>
      </c>
      <c r="G64" s="38">
        <v>15</v>
      </c>
      <c r="H64" s="40">
        <f t="shared" si="1"/>
        <v>6.3333333333333325E-2</v>
      </c>
      <c r="I64" s="63">
        <v>212000</v>
      </c>
      <c r="J64" s="64">
        <v>36936</v>
      </c>
      <c r="K64" s="41">
        <v>0.1</v>
      </c>
      <c r="L64" s="42">
        <f t="shared" si="2"/>
        <v>233200.00000000003</v>
      </c>
      <c r="M64" s="42">
        <f t="shared" si="3"/>
        <v>77488.420091324209</v>
      </c>
      <c r="N64" s="42">
        <f t="shared" si="6"/>
        <v>155711.57990867581</v>
      </c>
      <c r="O64" s="50">
        <v>0.2</v>
      </c>
      <c r="P64" s="43">
        <f t="shared" si="5"/>
        <v>124569.26392694065</v>
      </c>
    </row>
    <row r="65" spans="2:16" x14ac:dyDescent="0.25">
      <c r="B65" s="38">
        <v>62</v>
      </c>
      <c r="C65" s="62" t="s">
        <v>16</v>
      </c>
      <c r="D65" s="57">
        <v>42551</v>
      </c>
      <c r="E65" s="39">
        <v>44405</v>
      </c>
      <c r="F65" s="58">
        <f t="shared" si="0"/>
        <v>5.0794520547945208</v>
      </c>
      <c r="G65" s="38">
        <v>15</v>
      </c>
      <c r="H65" s="40">
        <f t="shared" si="1"/>
        <v>6.3333333333333325E-2</v>
      </c>
      <c r="I65" s="63">
        <v>1400000</v>
      </c>
      <c r="J65" s="64">
        <v>266051</v>
      </c>
      <c r="K65" s="41">
        <v>0.1</v>
      </c>
      <c r="L65" s="42">
        <f t="shared" si="2"/>
        <v>1540000.0000000002</v>
      </c>
      <c r="M65" s="42">
        <f t="shared" si="3"/>
        <v>495415.89041095896</v>
      </c>
      <c r="N65" s="42">
        <f t="shared" si="6"/>
        <v>1044584.1095890412</v>
      </c>
      <c r="O65" s="50">
        <v>0.2</v>
      </c>
      <c r="P65" s="43">
        <f t="shared" si="5"/>
        <v>835667.28767123306</v>
      </c>
    </row>
    <row r="66" spans="2:16" x14ac:dyDescent="0.25">
      <c r="B66" s="38">
        <v>63</v>
      </c>
      <c r="C66" s="62" t="s">
        <v>16</v>
      </c>
      <c r="D66" s="57">
        <v>42674</v>
      </c>
      <c r="E66" s="39">
        <v>44405</v>
      </c>
      <c r="F66" s="58">
        <f t="shared" si="0"/>
        <v>4.7424657534246579</v>
      </c>
      <c r="G66" s="38">
        <v>15</v>
      </c>
      <c r="H66" s="40">
        <f t="shared" si="1"/>
        <v>6.3333333333333325E-2</v>
      </c>
      <c r="I66" s="63">
        <v>35000</v>
      </c>
      <c r="J66" s="64">
        <v>7767</v>
      </c>
      <c r="K66" s="41">
        <v>0.1</v>
      </c>
      <c r="L66" s="42">
        <f t="shared" si="2"/>
        <v>38500</v>
      </c>
      <c r="M66" s="42">
        <f t="shared" si="3"/>
        <v>11563.712328767122</v>
      </c>
      <c r="N66" s="42">
        <f t="shared" si="6"/>
        <v>26936.28767123288</v>
      </c>
      <c r="O66" s="50">
        <v>0.2</v>
      </c>
      <c r="P66" s="43">
        <f t="shared" si="5"/>
        <v>21549.030136986305</v>
      </c>
    </row>
    <row r="67" spans="2:16" x14ac:dyDescent="0.25">
      <c r="B67" s="38">
        <v>64</v>
      </c>
      <c r="C67" s="60" t="s">
        <v>17</v>
      </c>
      <c r="D67" s="57">
        <v>41547</v>
      </c>
      <c r="E67" s="39">
        <v>44405</v>
      </c>
      <c r="F67" s="58">
        <f t="shared" si="0"/>
        <v>7.8301369863013699</v>
      </c>
      <c r="G67" s="38">
        <v>15</v>
      </c>
      <c r="H67" s="40">
        <f t="shared" si="1"/>
        <v>6.3333333333333325E-2</v>
      </c>
      <c r="I67" s="59">
        <v>46963816.539999999</v>
      </c>
      <c r="J67" s="94">
        <f>5771243-1013</f>
        <v>5770230</v>
      </c>
      <c r="K67" s="41">
        <v>0.09</v>
      </c>
      <c r="L67" s="42">
        <f t="shared" si="2"/>
        <v>51190560.0286</v>
      </c>
      <c r="M67" s="42">
        <f t="shared" si="3"/>
        <v>25385842.837196685</v>
      </c>
      <c r="N67" s="42">
        <f t="shared" si="6"/>
        <v>25804717.191403314</v>
      </c>
      <c r="O67" s="50">
        <v>0.2</v>
      </c>
      <c r="P67" s="43">
        <f t="shared" si="5"/>
        <v>20643773.753122654</v>
      </c>
    </row>
    <row r="68" spans="2:16" x14ac:dyDescent="0.25">
      <c r="B68" s="38">
        <v>65</v>
      </c>
      <c r="C68" s="60" t="s">
        <v>17</v>
      </c>
      <c r="D68" s="57">
        <v>41639</v>
      </c>
      <c r="E68" s="39">
        <v>44405</v>
      </c>
      <c r="F68" s="58">
        <f t="shared" si="0"/>
        <v>7.5780821917808217</v>
      </c>
      <c r="G68" s="38">
        <v>15</v>
      </c>
      <c r="H68" s="40">
        <f t="shared" si="1"/>
        <v>6.3333333333333325E-2</v>
      </c>
      <c r="I68" s="59">
        <v>97550</v>
      </c>
      <c r="J68" s="94"/>
      <c r="K68" s="41">
        <v>0.09</v>
      </c>
      <c r="L68" s="42">
        <f t="shared" si="2"/>
        <v>106329.50000000001</v>
      </c>
      <c r="M68" s="42">
        <f t="shared" si="3"/>
        <v>51032.333726027391</v>
      </c>
      <c r="N68" s="42">
        <f t="shared" si="6"/>
        <v>55297.166273972623</v>
      </c>
      <c r="O68" s="50">
        <v>0.2</v>
      </c>
      <c r="P68" s="43">
        <f t="shared" si="5"/>
        <v>44237.7330191781</v>
      </c>
    </row>
    <row r="69" spans="2:16" x14ac:dyDescent="0.25">
      <c r="B69" s="38">
        <v>66</v>
      </c>
      <c r="C69" s="60" t="s">
        <v>17</v>
      </c>
      <c r="D69" s="57">
        <v>41670</v>
      </c>
      <c r="E69" s="39">
        <v>44405</v>
      </c>
      <c r="F69" s="58">
        <f t="shared" ref="F69:F132" si="7">(E69-D69)/365</f>
        <v>7.493150684931507</v>
      </c>
      <c r="G69" s="38">
        <v>15</v>
      </c>
      <c r="H69" s="40">
        <f t="shared" ref="H69:H132" si="8">(95/G69/100)</f>
        <v>6.3333333333333325E-2</v>
      </c>
      <c r="I69" s="59">
        <v>15640</v>
      </c>
      <c r="J69" s="94"/>
      <c r="K69" s="41">
        <v>0.08</v>
      </c>
      <c r="L69" s="42">
        <f t="shared" ref="L69:L132" si="9">I69*(1+K69)</f>
        <v>16891.2</v>
      </c>
      <c r="M69" s="42">
        <f t="shared" ref="M69:M132" si="10">F69*H69*L69</f>
        <v>8015.9927671232872</v>
      </c>
      <c r="N69" s="42">
        <f t="shared" si="6"/>
        <v>8875.2072328767135</v>
      </c>
      <c r="O69" s="50">
        <v>0.2</v>
      </c>
      <c r="P69" s="43">
        <f t="shared" ref="P69:P132" si="11">IF(N69=I69*5%,N69,N69*(1-O69))</f>
        <v>7100.1657863013716</v>
      </c>
    </row>
    <row r="70" spans="2:16" x14ac:dyDescent="0.25">
      <c r="B70" s="38">
        <v>67</v>
      </c>
      <c r="C70" s="60" t="s">
        <v>17</v>
      </c>
      <c r="D70" s="57">
        <v>41684</v>
      </c>
      <c r="E70" s="39">
        <v>44405</v>
      </c>
      <c r="F70" s="58">
        <f t="shared" si="7"/>
        <v>7.4547945205479449</v>
      </c>
      <c r="G70" s="38">
        <v>15</v>
      </c>
      <c r="H70" s="40">
        <f t="shared" si="8"/>
        <v>6.3333333333333325E-2</v>
      </c>
      <c r="I70" s="59">
        <v>40000</v>
      </c>
      <c r="J70" s="94"/>
      <c r="K70" s="41">
        <v>0.08</v>
      </c>
      <c r="L70" s="42">
        <f t="shared" si="9"/>
        <v>43200</v>
      </c>
      <c r="M70" s="42">
        <f t="shared" si="10"/>
        <v>20396.317808219177</v>
      </c>
      <c r="N70" s="42">
        <f t="shared" si="6"/>
        <v>22803.682191780823</v>
      </c>
      <c r="O70" s="50">
        <v>0.2</v>
      </c>
      <c r="P70" s="43">
        <f t="shared" si="11"/>
        <v>18242.945753424658</v>
      </c>
    </row>
    <row r="71" spans="2:16" x14ac:dyDescent="0.25">
      <c r="B71" s="38">
        <v>68</v>
      </c>
      <c r="C71" s="60" t="s">
        <v>17</v>
      </c>
      <c r="D71" s="53">
        <v>41912</v>
      </c>
      <c r="E71" s="39">
        <v>44405</v>
      </c>
      <c r="F71" s="58">
        <f t="shared" si="7"/>
        <v>6.8301369863013699</v>
      </c>
      <c r="G71" s="38">
        <v>15</v>
      </c>
      <c r="H71" s="40">
        <f t="shared" si="8"/>
        <v>6.3333333333333325E-2</v>
      </c>
      <c r="I71" s="61">
        <v>32060325.199999999</v>
      </c>
      <c r="J71" s="94"/>
      <c r="K71" s="41">
        <v>0.08</v>
      </c>
      <c r="L71" s="42">
        <f t="shared" si="9"/>
        <v>34625151.215999998</v>
      </c>
      <c r="M71" s="42">
        <f t="shared" si="10"/>
        <v>14977986.645189695</v>
      </c>
      <c r="N71" s="42">
        <f t="shared" si="6"/>
        <v>19647164.570810303</v>
      </c>
      <c r="O71" s="50">
        <v>0.2</v>
      </c>
      <c r="P71" s="43">
        <f t="shared" si="11"/>
        <v>15717731.656648243</v>
      </c>
    </row>
    <row r="72" spans="2:16" x14ac:dyDescent="0.25">
      <c r="B72" s="38">
        <v>69</v>
      </c>
      <c r="C72" s="60" t="s">
        <v>17</v>
      </c>
      <c r="D72" s="53">
        <v>42094</v>
      </c>
      <c r="E72" s="39">
        <v>44405</v>
      </c>
      <c r="F72" s="58">
        <f t="shared" si="7"/>
        <v>6.3315068493150681</v>
      </c>
      <c r="G72" s="38">
        <v>15</v>
      </c>
      <c r="H72" s="40">
        <f t="shared" si="8"/>
        <v>6.3333333333333325E-2</v>
      </c>
      <c r="I72" s="61">
        <v>1444697.5</v>
      </c>
      <c r="J72" s="94"/>
      <c r="K72" s="41">
        <v>0.14000000000000001</v>
      </c>
      <c r="L72" s="42">
        <f t="shared" si="9"/>
        <v>1646955.1500000001</v>
      </c>
      <c r="M72" s="42">
        <f t="shared" si="10"/>
        <v>660421.49480684928</v>
      </c>
      <c r="N72" s="42">
        <f t="shared" si="6"/>
        <v>986533.65519315086</v>
      </c>
      <c r="O72" s="50">
        <v>0.2</v>
      </c>
      <c r="P72" s="43">
        <f t="shared" si="11"/>
        <v>789226.92415452073</v>
      </c>
    </row>
    <row r="73" spans="2:16" x14ac:dyDescent="0.25">
      <c r="B73" s="38">
        <v>70</v>
      </c>
      <c r="C73" s="60" t="s">
        <v>17</v>
      </c>
      <c r="D73" s="53">
        <v>42494</v>
      </c>
      <c r="E73" s="39">
        <v>44405</v>
      </c>
      <c r="F73" s="58">
        <f t="shared" si="7"/>
        <v>5.2356164383561641</v>
      </c>
      <c r="G73" s="38">
        <v>15</v>
      </c>
      <c r="H73" s="40">
        <f t="shared" si="8"/>
        <v>6.3333333333333325E-2</v>
      </c>
      <c r="I73" s="61">
        <v>109000</v>
      </c>
      <c r="J73" s="94"/>
      <c r="K73" s="41">
        <v>0.16</v>
      </c>
      <c r="L73" s="42">
        <f t="shared" si="9"/>
        <v>126439.99999999999</v>
      </c>
      <c r="M73" s="42">
        <f t="shared" si="10"/>
        <v>41926.11835616437</v>
      </c>
      <c r="N73" s="42">
        <f t="shared" si="6"/>
        <v>84513.881643835615</v>
      </c>
      <c r="O73" s="50">
        <v>0.2</v>
      </c>
      <c r="P73" s="43">
        <f t="shared" si="11"/>
        <v>67611.105315068489</v>
      </c>
    </row>
    <row r="74" spans="2:16" x14ac:dyDescent="0.25">
      <c r="B74" s="38">
        <v>71</v>
      </c>
      <c r="C74" s="62" t="s">
        <v>17</v>
      </c>
      <c r="D74" s="57">
        <v>42766</v>
      </c>
      <c r="E74" s="39">
        <v>44405</v>
      </c>
      <c r="F74" s="58">
        <f t="shared" si="7"/>
        <v>4.4904109589041097</v>
      </c>
      <c r="G74" s="38">
        <v>15</v>
      </c>
      <c r="H74" s="40">
        <f t="shared" si="8"/>
        <v>6.3333333333333325E-2</v>
      </c>
      <c r="I74" s="63">
        <f>40650+48000+67000+27000</f>
        <v>182650</v>
      </c>
      <c r="J74" s="61">
        <v>44887</v>
      </c>
      <c r="K74" s="41">
        <v>0.1</v>
      </c>
      <c r="L74" s="42">
        <f t="shared" si="9"/>
        <v>200915.00000000003</v>
      </c>
      <c r="M74" s="42">
        <f t="shared" si="10"/>
        <v>57138.758127853886</v>
      </c>
      <c r="N74" s="42">
        <f t="shared" ref="N74:N137" si="12">IF(L74-M74&lt;=0,5%*L74,L74-M74)</f>
        <v>143776.24187214614</v>
      </c>
      <c r="O74" s="50">
        <v>0.2</v>
      </c>
      <c r="P74" s="43">
        <f t="shared" si="11"/>
        <v>115020.99349771692</v>
      </c>
    </row>
    <row r="75" spans="2:16" x14ac:dyDescent="0.25">
      <c r="B75" s="38">
        <v>72</v>
      </c>
      <c r="C75" s="62" t="s">
        <v>17</v>
      </c>
      <c r="D75" s="57">
        <v>42794</v>
      </c>
      <c r="E75" s="39">
        <v>44405</v>
      </c>
      <c r="F75" s="58">
        <f t="shared" si="7"/>
        <v>4.4136986301369863</v>
      </c>
      <c r="G75" s="38">
        <v>15</v>
      </c>
      <c r="H75" s="40">
        <f t="shared" si="8"/>
        <v>6.3333333333333325E-2</v>
      </c>
      <c r="I75" s="63">
        <f>12423375+180000</f>
        <v>12603375</v>
      </c>
      <c r="J75" s="61">
        <v>3188798</v>
      </c>
      <c r="K75" s="41">
        <v>0.1</v>
      </c>
      <c r="L75" s="42">
        <f t="shared" si="9"/>
        <v>13863712.500000002</v>
      </c>
      <c r="M75" s="42">
        <f t="shared" si="10"/>
        <v>3875382.4284246573</v>
      </c>
      <c r="N75" s="42">
        <f t="shared" si="12"/>
        <v>9988330.0715753436</v>
      </c>
      <c r="O75" s="50">
        <v>0.2</v>
      </c>
      <c r="P75" s="43">
        <f t="shared" si="11"/>
        <v>7990664.0572602749</v>
      </c>
    </row>
    <row r="76" spans="2:16" x14ac:dyDescent="0.25">
      <c r="B76" s="38">
        <v>73</v>
      </c>
      <c r="C76" s="62" t="s">
        <v>17</v>
      </c>
      <c r="D76" s="57">
        <v>42794</v>
      </c>
      <c r="E76" s="39">
        <v>44405</v>
      </c>
      <c r="F76" s="58">
        <f t="shared" si="7"/>
        <v>4.4136986301369863</v>
      </c>
      <c r="G76" s="38">
        <v>15</v>
      </c>
      <c r="H76" s="40">
        <f t="shared" si="8"/>
        <v>6.3333333333333325E-2</v>
      </c>
      <c r="I76" s="63">
        <v>282487.08</v>
      </c>
      <c r="J76" s="61">
        <v>71472</v>
      </c>
      <c r="K76" s="41">
        <v>0.1</v>
      </c>
      <c r="L76" s="42">
        <f t="shared" si="9"/>
        <v>310735.78800000006</v>
      </c>
      <c r="M76" s="42">
        <f t="shared" si="10"/>
        <v>86861.294382575346</v>
      </c>
      <c r="N76" s="42">
        <f t="shared" si="12"/>
        <v>223874.49361742471</v>
      </c>
      <c r="O76" s="50">
        <v>0.2</v>
      </c>
      <c r="P76" s="43">
        <f t="shared" si="11"/>
        <v>179099.59489393979</v>
      </c>
    </row>
    <row r="77" spans="2:16" x14ac:dyDescent="0.25">
      <c r="B77" s="38">
        <v>74</v>
      </c>
      <c r="C77" s="62" t="s">
        <v>17</v>
      </c>
      <c r="D77" s="57">
        <v>42825</v>
      </c>
      <c r="E77" s="39">
        <v>44405</v>
      </c>
      <c r="F77" s="58">
        <f t="shared" si="7"/>
        <v>4.3287671232876717</v>
      </c>
      <c r="G77" s="38">
        <v>15</v>
      </c>
      <c r="H77" s="40">
        <f t="shared" si="8"/>
        <v>6.3333333333333325E-2</v>
      </c>
      <c r="I77" s="63">
        <f>42000+494909</f>
        <v>536909</v>
      </c>
      <c r="J77" s="61">
        <v>140158</v>
      </c>
      <c r="K77" s="41">
        <v>0.1</v>
      </c>
      <c r="L77" s="42">
        <f t="shared" si="9"/>
        <v>590599.9</v>
      </c>
      <c r="M77" s="42">
        <f t="shared" si="10"/>
        <v>161916.06390867577</v>
      </c>
      <c r="N77" s="42">
        <f t="shared" si="12"/>
        <v>428683.83609132422</v>
      </c>
      <c r="O77" s="50">
        <v>0.2</v>
      </c>
      <c r="P77" s="43">
        <f t="shared" si="11"/>
        <v>342947.06887305941</v>
      </c>
    </row>
    <row r="78" spans="2:16" x14ac:dyDescent="0.25">
      <c r="B78" s="38">
        <v>75</v>
      </c>
      <c r="C78" s="62" t="s">
        <v>17</v>
      </c>
      <c r="D78" s="53">
        <v>42855</v>
      </c>
      <c r="E78" s="39">
        <v>44405</v>
      </c>
      <c r="F78" s="58">
        <f t="shared" si="7"/>
        <v>4.2465753424657535</v>
      </c>
      <c r="G78" s="38">
        <v>15</v>
      </c>
      <c r="H78" s="40">
        <f t="shared" si="8"/>
        <v>6.3333333333333325E-2</v>
      </c>
      <c r="I78" s="59">
        <v>225000</v>
      </c>
      <c r="J78" s="61">
        <v>61443.968807832913</v>
      </c>
      <c r="K78" s="41">
        <v>0.1</v>
      </c>
      <c r="L78" s="42">
        <f t="shared" si="9"/>
        <v>247500.00000000003</v>
      </c>
      <c r="M78" s="42">
        <f t="shared" si="10"/>
        <v>66565.068493150684</v>
      </c>
      <c r="N78" s="42">
        <f t="shared" si="12"/>
        <v>180934.93150684936</v>
      </c>
      <c r="O78" s="50">
        <v>0.2</v>
      </c>
      <c r="P78" s="43">
        <f t="shared" si="11"/>
        <v>144747.94520547948</v>
      </c>
    </row>
    <row r="79" spans="2:16" x14ac:dyDescent="0.25">
      <c r="B79" s="38">
        <v>76</v>
      </c>
      <c r="C79" s="62" t="s">
        <v>17</v>
      </c>
      <c r="D79" s="53">
        <v>42977</v>
      </c>
      <c r="E79" s="39">
        <v>44405</v>
      </c>
      <c r="F79" s="58">
        <f t="shared" si="7"/>
        <v>3.9123287671232876</v>
      </c>
      <c r="G79" s="38">
        <v>15</v>
      </c>
      <c r="H79" s="40">
        <f t="shared" si="8"/>
        <v>6.3333333333333325E-2</v>
      </c>
      <c r="I79" s="61">
        <v>31500</v>
      </c>
      <c r="J79" s="61">
        <v>10163.189135365104</v>
      </c>
      <c r="K79" s="41">
        <v>0.1</v>
      </c>
      <c r="L79" s="42">
        <f t="shared" si="9"/>
        <v>34650</v>
      </c>
      <c r="M79" s="42">
        <f t="shared" si="10"/>
        <v>8585.6054794520533</v>
      </c>
      <c r="N79" s="42">
        <f t="shared" si="12"/>
        <v>26064.394520547947</v>
      </c>
      <c r="O79" s="50">
        <v>0.2</v>
      </c>
      <c r="P79" s="43">
        <f t="shared" si="11"/>
        <v>20851.515616438359</v>
      </c>
    </row>
    <row r="80" spans="2:16" x14ac:dyDescent="0.25">
      <c r="B80" s="38">
        <v>77</v>
      </c>
      <c r="C80" s="62" t="s">
        <v>17</v>
      </c>
      <c r="D80" s="53">
        <v>43008</v>
      </c>
      <c r="E80" s="39">
        <v>44405</v>
      </c>
      <c r="F80" s="58">
        <f t="shared" si="7"/>
        <v>3.8273972602739725</v>
      </c>
      <c r="G80" s="38">
        <v>15</v>
      </c>
      <c r="H80" s="40">
        <f t="shared" si="8"/>
        <v>6.3333333333333325E-2</v>
      </c>
      <c r="I80" s="61">
        <v>90000</v>
      </c>
      <c r="J80" s="61">
        <v>30170.986254914886</v>
      </c>
      <c r="K80" s="41">
        <v>0.1</v>
      </c>
      <c r="L80" s="42">
        <f t="shared" si="9"/>
        <v>99000.000000000015</v>
      </c>
      <c r="M80" s="42">
        <f t="shared" si="10"/>
        <v>23997.780821917808</v>
      </c>
      <c r="N80" s="42">
        <f t="shared" si="12"/>
        <v>75002.219178082203</v>
      </c>
      <c r="O80" s="50">
        <v>0.2</v>
      </c>
      <c r="P80" s="43">
        <f t="shared" si="11"/>
        <v>60001.775342465764</v>
      </c>
    </row>
    <row r="81" spans="2:16" x14ac:dyDescent="0.25">
      <c r="B81" s="38">
        <v>78</v>
      </c>
      <c r="C81" s="62" t="s">
        <v>17</v>
      </c>
      <c r="D81" s="53">
        <v>43131</v>
      </c>
      <c r="E81" s="39">
        <v>44405</v>
      </c>
      <c r="F81" s="58">
        <f t="shared" si="7"/>
        <v>3.4904109589041097</v>
      </c>
      <c r="G81" s="38">
        <v>15</v>
      </c>
      <c r="H81" s="40">
        <f t="shared" si="8"/>
        <v>6.3333333333333325E-2</v>
      </c>
      <c r="I81" s="61">
        <v>180000</v>
      </c>
      <c r="J81" s="61">
        <v>69335.280274655277</v>
      </c>
      <c r="K81" s="41">
        <v>0.04</v>
      </c>
      <c r="L81" s="42">
        <f t="shared" si="9"/>
        <v>187200</v>
      </c>
      <c r="M81" s="42">
        <f t="shared" si="10"/>
        <v>41382.312328767119</v>
      </c>
      <c r="N81" s="42">
        <f t="shared" si="12"/>
        <v>145817.68767123288</v>
      </c>
      <c r="O81" s="50">
        <v>0.2</v>
      </c>
      <c r="P81" s="43">
        <f t="shared" si="11"/>
        <v>116654.15013698631</v>
      </c>
    </row>
    <row r="82" spans="2:16" x14ac:dyDescent="0.25">
      <c r="B82" s="38">
        <v>79</v>
      </c>
      <c r="C82" s="60" t="s">
        <v>18</v>
      </c>
      <c r="D82" s="53">
        <v>43221</v>
      </c>
      <c r="E82" s="39">
        <v>44405</v>
      </c>
      <c r="F82" s="58">
        <f t="shared" si="7"/>
        <v>3.2438356164383562</v>
      </c>
      <c r="G82" s="38">
        <v>15</v>
      </c>
      <c r="H82" s="40">
        <f t="shared" si="8"/>
        <v>6.3333333333333325E-2</v>
      </c>
      <c r="I82" s="61">
        <v>340000</v>
      </c>
      <c r="J82" s="61">
        <v>145963.76363260721</v>
      </c>
      <c r="K82" s="41">
        <v>0.04</v>
      </c>
      <c r="L82" s="42">
        <f t="shared" si="9"/>
        <v>353600</v>
      </c>
      <c r="M82" s="42">
        <f t="shared" si="10"/>
        <v>72644.617351598165</v>
      </c>
      <c r="N82" s="42">
        <f t="shared" si="12"/>
        <v>280955.38264840184</v>
      </c>
      <c r="O82" s="50">
        <v>0.2</v>
      </c>
      <c r="P82" s="43">
        <f t="shared" si="11"/>
        <v>224764.30611872149</v>
      </c>
    </row>
    <row r="83" spans="2:16" x14ac:dyDescent="0.25">
      <c r="B83" s="38">
        <v>80</v>
      </c>
      <c r="C83" s="60" t="s">
        <v>19</v>
      </c>
      <c r="D83" s="53">
        <v>43282</v>
      </c>
      <c r="E83" s="39">
        <v>44405</v>
      </c>
      <c r="F83" s="58">
        <f t="shared" si="7"/>
        <v>3.0767123287671234</v>
      </c>
      <c r="G83" s="38">
        <v>15</v>
      </c>
      <c r="H83" s="40">
        <f t="shared" si="8"/>
        <v>6.3333333333333325E-2</v>
      </c>
      <c r="I83" s="61">
        <v>14169472.699999999</v>
      </c>
      <c r="J83" s="61">
        <v>6633334.6824293677</v>
      </c>
      <c r="K83" s="41">
        <v>0.04</v>
      </c>
      <c r="L83" s="42">
        <f t="shared" si="9"/>
        <v>14736251.607999999</v>
      </c>
      <c r="M83" s="42">
        <f t="shared" si="10"/>
        <v>2871483.1101360363</v>
      </c>
      <c r="N83" s="42">
        <f t="shared" si="12"/>
        <v>11864768.497863963</v>
      </c>
      <c r="O83" s="50">
        <v>0.2</v>
      </c>
      <c r="P83" s="43">
        <f t="shared" si="11"/>
        <v>9491814.798291171</v>
      </c>
    </row>
    <row r="84" spans="2:16" x14ac:dyDescent="0.25">
      <c r="B84" s="38">
        <v>81</v>
      </c>
      <c r="C84" s="60" t="s">
        <v>20</v>
      </c>
      <c r="D84" s="53">
        <v>43364</v>
      </c>
      <c r="E84" s="39">
        <v>44405</v>
      </c>
      <c r="F84" s="58">
        <f t="shared" si="7"/>
        <v>2.8520547945205479</v>
      </c>
      <c r="G84" s="38">
        <v>15</v>
      </c>
      <c r="H84" s="40">
        <f t="shared" si="8"/>
        <v>6.3333333333333325E-2</v>
      </c>
      <c r="I84" s="61">
        <v>10000000</v>
      </c>
      <c r="J84" s="61">
        <v>5203504.173066847</v>
      </c>
      <c r="K84" s="41">
        <v>0.04</v>
      </c>
      <c r="L84" s="42">
        <f t="shared" si="9"/>
        <v>10400000</v>
      </c>
      <c r="M84" s="42">
        <f t="shared" si="10"/>
        <v>1878553.4246575339</v>
      </c>
      <c r="N84" s="42">
        <f t="shared" si="12"/>
        <v>8521446.5753424652</v>
      </c>
      <c r="O84" s="50">
        <v>0.2</v>
      </c>
      <c r="P84" s="43">
        <f t="shared" si="11"/>
        <v>6817157.2602739725</v>
      </c>
    </row>
    <row r="85" spans="2:16" x14ac:dyDescent="0.25">
      <c r="B85" s="38">
        <v>82</v>
      </c>
      <c r="C85" s="60" t="s">
        <v>21</v>
      </c>
      <c r="D85" s="53">
        <v>43500</v>
      </c>
      <c r="E85" s="39">
        <v>44405</v>
      </c>
      <c r="F85" s="58">
        <f t="shared" si="7"/>
        <v>2.4794520547945207</v>
      </c>
      <c r="G85" s="38">
        <v>15</v>
      </c>
      <c r="H85" s="40">
        <f t="shared" si="8"/>
        <v>6.3333333333333325E-2</v>
      </c>
      <c r="I85" s="61">
        <v>13453752.58</v>
      </c>
      <c r="J85" s="61">
        <v>8165605.6295347139</v>
      </c>
      <c r="K85" s="41">
        <v>0.06</v>
      </c>
      <c r="L85" s="42">
        <f t="shared" si="9"/>
        <v>14260977.734800002</v>
      </c>
      <c r="M85" s="42">
        <f t="shared" si="10"/>
        <v>2239429.3347021551</v>
      </c>
      <c r="N85" s="42">
        <f t="shared" si="12"/>
        <v>12021548.400097847</v>
      </c>
      <c r="O85" s="50">
        <v>0.2</v>
      </c>
      <c r="P85" s="43">
        <f t="shared" si="11"/>
        <v>9617238.7200782783</v>
      </c>
    </row>
    <row r="86" spans="2:16" x14ac:dyDescent="0.25">
      <c r="B86" s="38">
        <v>83</v>
      </c>
      <c r="C86" s="60" t="s">
        <v>22</v>
      </c>
      <c r="D86" s="53">
        <v>42124</v>
      </c>
      <c r="E86" s="39">
        <v>44405</v>
      </c>
      <c r="F86" s="58">
        <f t="shared" si="7"/>
        <v>6.2493150684931509</v>
      </c>
      <c r="G86" s="38">
        <v>15</v>
      </c>
      <c r="H86" s="40">
        <f t="shared" si="8"/>
        <v>6.3333333333333325E-2</v>
      </c>
      <c r="I86" s="61">
        <v>471865</v>
      </c>
      <c r="J86" s="61">
        <v>52373.233554722232</v>
      </c>
      <c r="K86" s="41">
        <v>0.14000000000000001</v>
      </c>
      <c r="L86" s="42">
        <f t="shared" si="9"/>
        <v>537926.10000000009</v>
      </c>
      <c r="M86" s="42">
        <f t="shared" si="10"/>
        <v>212905.74655616438</v>
      </c>
      <c r="N86" s="42">
        <f t="shared" si="12"/>
        <v>325020.35344383575</v>
      </c>
      <c r="O86" s="50">
        <v>0.2</v>
      </c>
      <c r="P86" s="43">
        <f t="shared" si="11"/>
        <v>260016.28275506862</v>
      </c>
    </row>
    <row r="87" spans="2:16" x14ac:dyDescent="0.25">
      <c r="B87" s="38">
        <v>84</v>
      </c>
      <c r="C87" s="60" t="s">
        <v>22</v>
      </c>
      <c r="D87" s="53">
        <v>42825</v>
      </c>
      <c r="E87" s="39">
        <v>44405</v>
      </c>
      <c r="F87" s="58">
        <f t="shared" si="7"/>
        <v>4.3287671232876717</v>
      </c>
      <c r="G87" s="38">
        <v>15</v>
      </c>
      <c r="H87" s="40">
        <f t="shared" si="8"/>
        <v>6.3333333333333325E-2</v>
      </c>
      <c r="I87" s="54">
        <v>8489.7999999999993</v>
      </c>
      <c r="J87" s="61">
        <v>2216</v>
      </c>
      <c r="K87" s="41">
        <v>0.1</v>
      </c>
      <c r="L87" s="42">
        <f t="shared" si="9"/>
        <v>9338.7800000000007</v>
      </c>
      <c r="M87" s="42">
        <f t="shared" si="10"/>
        <v>2560.2755762557076</v>
      </c>
      <c r="N87" s="42">
        <f t="shared" si="12"/>
        <v>6778.5044237442926</v>
      </c>
      <c r="O87" s="50">
        <v>0.2</v>
      </c>
      <c r="P87" s="43">
        <f t="shared" si="11"/>
        <v>5422.8035389954348</v>
      </c>
    </row>
    <row r="88" spans="2:16" x14ac:dyDescent="0.25">
      <c r="B88" s="38">
        <v>85</v>
      </c>
      <c r="C88" s="60" t="s">
        <v>22</v>
      </c>
      <c r="D88" s="53">
        <v>42916</v>
      </c>
      <c r="E88" s="39">
        <v>44405</v>
      </c>
      <c r="F88" s="58">
        <f t="shared" si="7"/>
        <v>4.0794520547945208</v>
      </c>
      <c r="G88" s="38">
        <v>15</v>
      </c>
      <c r="H88" s="40">
        <f t="shared" si="8"/>
        <v>6.3333333333333325E-2</v>
      </c>
      <c r="I88" s="54">
        <v>270000</v>
      </c>
      <c r="J88" s="61">
        <v>80422.906150550203</v>
      </c>
      <c r="K88" s="41">
        <v>0.1</v>
      </c>
      <c r="L88" s="42">
        <f t="shared" si="9"/>
        <v>297000</v>
      </c>
      <c r="M88" s="42">
        <f t="shared" si="10"/>
        <v>76734.493150684924</v>
      </c>
      <c r="N88" s="42">
        <f t="shared" si="12"/>
        <v>220265.50684931508</v>
      </c>
      <c r="O88" s="50">
        <v>0.2</v>
      </c>
      <c r="P88" s="43">
        <f t="shared" si="11"/>
        <v>176212.40547945208</v>
      </c>
    </row>
    <row r="89" spans="2:16" x14ac:dyDescent="0.25">
      <c r="B89" s="38">
        <v>86</v>
      </c>
      <c r="C89" s="60" t="s">
        <v>22</v>
      </c>
      <c r="D89" s="53">
        <v>43039</v>
      </c>
      <c r="E89" s="39">
        <v>44405</v>
      </c>
      <c r="F89" s="58">
        <f t="shared" si="7"/>
        <v>3.7424657534246575</v>
      </c>
      <c r="G89" s="38">
        <v>15</v>
      </c>
      <c r="H89" s="40">
        <f t="shared" si="8"/>
        <v>6.3333333333333325E-2</v>
      </c>
      <c r="I89" s="54">
        <v>270000</v>
      </c>
      <c r="J89" s="61">
        <v>93912.867797788451</v>
      </c>
      <c r="K89" s="41">
        <v>0.1</v>
      </c>
      <c r="L89" s="42">
        <f t="shared" si="9"/>
        <v>297000</v>
      </c>
      <c r="M89" s="42">
        <f t="shared" si="10"/>
        <v>70395.780821917797</v>
      </c>
      <c r="N89" s="42">
        <f t="shared" si="12"/>
        <v>226604.21917808219</v>
      </c>
      <c r="O89" s="50">
        <v>0.2</v>
      </c>
      <c r="P89" s="43">
        <f t="shared" si="11"/>
        <v>181283.37534246576</v>
      </c>
    </row>
    <row r="90" spans="2:16" x14ac:dyDescent="0.25">
      <c r="B90" s="38">
        <v>87</v>
      </c>
      <c r="C90" s="60" t="s">
        <v>23</v>
      </c>
      <c r="D90" s="53">
        <v>41912</v>
      </c>
      <c r="E90" s="39">
        <v>44405</v>
      </c>
      <c r="F90" s="58">
        <f t="shared" si="7"/>
        <v>6.8301369863013699</v>
      </c>
      <c r="G90" s="38">
        <v>8</v>
      </c>
      <c r="H90" s="40">
        <f t="shared" si="8"/>
        <v>0.11874999999999999</v>
      </c>
      <c r="I90" s="61">
        <v>91564953.209999993</v>
      </c>
      <c r="J90" s="94">
        <v>8761775</v>
      </c>
      <c r="K90" s="41">
        <v>0.08</v>
      </c>
      <c r="L90" s="42">
        <f t="shared" si="9"/>
        <v>98890149.466800004</v>
      </c>
      <c r="M90" s="42">
        <f t="shared" si="10"/>
        <v>80207700.510169789</v>
      </c>
      <c r="N90" s="42">
        <f t="shared" si="12"/>
        <v>18682448.956630215</v>
      </c>
      <c r="O90" s="50">
        <v>0.2</v>
      </c>
      <c r="P90" s="43">
        <f t="shared" si="11"/>
        <v>14945959.165304173</v>
      </c>
    </row>
    <row r="91" spans="2:16" x14ac:dyDescent="0.25">
      <c r="B91" s="38">
        <v>88</v>
      </c>
      <c r="C91" s="60" t="s">
        <v>23</v>
      </c>
      <c r="D91" s="53">
        <v>42094</v>
      </c>
      <c r="E91" s="39">
        <v>44405</v>
      </c>
      <c r="F91" s="58">
        <f t="shared" si="7"/>
        <v>6.3315068493150681</v>
      </c>
      <c r="G91" s="38">
        <v>5</v>
      </c>
      <c r="H91" s="40">
        <f t="shared" si="8"/>
        <v>0.19</v>
      </c>
      <c r="I91" s="61">
        <v>6394522.0499999998</v>
      </c>
      <c r="J91" s="94"/>
      <c r="K91" s="41">
        <v>0.14000000000000001</v>
      </c>
      <c r="L91" s="42">
        <f t="shared" si="9"/>
        <v>7289755.137000001</v>
      </c>
      <c r="M91" s="42">
        <f t="shared" si="10"/>
        <v>8769475.5701515898</v>
      </c>
      <c r="N91" s="42">
        <f t="shared" si="12"/>
        <v>364487.75685000006</v>
      </c>
      <c r="O91" s="50">
        <v>0.2</v>
      </c>
      <c r="P91" s="43">
        <f t="shared" si="11"/>
        <v>291590.20548000006</v>
      </c>
    </row>
    <row r="92" spans="2:16" x14ac:dyDescent="0.25">
      <c r="B92" s="38">
        <v>89</v>
      </c>
      <c r="C92" s="60" t="s">
        <v>23</v>
      </c>
      <c r="D92" s="53">
        <v>42116</v>
      </c>
      <c r="E92" s="39">
        <v>44405</v>
      </c>
      <c r="F92" s="58">
        <f t="shared" si="7"/>
        <v>6.2712328767123289</v>
      </c>
      <c r="G92" s="38">
        <v>5</v>
      </c>
      <c r="H92" s="40">
        <f t="shared" si="8"/>
        <v>0.19</v>
      </c>
      <c r="I92" s="61">
        <v>200000</v>
      </c>
      <c r="J92" s="94"/>
      <c r="K92" s="41">
        <v>0.14000000000000001</v>
      </c>
      <c r="L92" s="42">
        <f t="shared" si="9"/>
        <v>228000.00000000003</v>
      </c>
      <c r="M92" s="42">
        <f t="shared" si="10"/>
        <v>271669.80821917811</v>
      </c>
      <c r="N92" s="42">
        <f t="shared" si="12"/>
        <v>11400.000000000002</v>
      </c>
      <c r="O92" s="50">
        <v>0.2</v>
      </c>
      <c r="P92" s="43">
        <f t="shared" si="11"/>
        <v>9120.0000000000018</v>
      </c>
    </row>
    <row r="93" spans="2:16" x14ac:dyDescent="0.25">
      <c r="B93" s="38">
        <v>90</v>
      </c>
      <c r="C93" s="60" t="s">
        <v>23</v>
      </c>
      <c r="D93" s="53">
        <v>42287</v>
      </c>
      <c r="E93" s="39">
        <v>44405</v>
      </c>
      <c r="F93" s="58">
        <f t="shared" si="7"/>
        <v>5.8027397260273972</v>
      </c>
      <c r="G93" s="38">
        <v>5</v>
      </c>
      <c r="H93" s="40">
        <f t="shared" si="8"/>
        <v>0.19</v>
      </c>
      <c r="I93" s="61">
        <v>24703.8</v>
      </c>
      <c r="J93" s="94"/>
      <c r="K93" s="41">
        <v>0.14000000000000001</v>
      </c>
      <c r="L93" s="42">
        <f t="shared" si="9"/>
        <v>28162.332000000002</v>
      </c>
      <c r="M93" s="42">
        <f t="shared" si="10"/>
        <v>31049.549708054794</v>
      </c>
      <c r="N93" s="42">
        <f t="shared" si="12"/>
        <v>1408.1166000000003</v>
      </c>
      <c r="O93" s="50">
        <v>0.2</v>
      </c>
      <c r="P93" s="43">
        <f t="shared" si="11"/>
        <v>1126.4932800000004</v>
      </c>
    </row>
    <row r="94" spans="2:16" x14ac:dyDescent="0.25">
      <c r="B94" s="38">
        <v>91</v>
      </c>
      <c r="C94" s="60" t="s">
        <v>23</v>
      </c>
      <c r="D94" s="53">
        <v>42292</v>
      </c>
      <c r="E94" s="39">
        <v>44405</v>
      </c>
      <c r="F94" s="58">
        <f t="shared" si="7"/>
        <v>5.7890410958904113</v>
      </c>
      <c r="G94" s="38">
        <v>5</v>
      </c>
      <c r="H94" s="40">
        <f t="shared" si="8"/>
        <v>0.19</v>
      </c>
      <c r="I94" s="61">
        <v>62900</v>
      </c>
      <c r="J94" s="94"/>
      <c r="K94" s="41">
        <v>0.14000000000000001</v>
      </c>
      <c r="L94" s="42">
        <f t="shared" si="9"/>
        <v>71706.000000000015</v>
      </c>
      <c r="M94" s="42">
        <f t="shared" si="10"/>
        <v>78870.706356164403</v>
      </c>
      <c r="N94" s="42">
        <f t="shared" si="12"/>
        <v>3585.3000000000011</v>
      </c>
      <c r="O94" s="50">
        <v>0.2</v>
      </c>
      <c r="P94" s="43">
        <f t="shared" si="11"/>
        <v>2868.2400000000011</v>
      </c>
    </row>
    <row r="95" spans="2:16" x14ac:dyDescent="0.25">
      <c r="B95" s="38">
        <v>92</v>
      </c>
      <c r="C95" s="62" t="s">
        <v>23</v>
      </c>
      <c r="D95" s="57">
        <v>42551</v>
      </c>
      <c r="E95" s="39">
        <v>44405</v>
      </c>
      <c r="F95" s="58">
        <f t="shared" si="7"/>
        <v>5.0794520547945208</v>
      </c>
      <c r="G95" s="38">
        <v>5</v>
      </c>
      <c r="H95" s="40">
        <f t="shared" si="8"/>
        <v>0.19</v>
      </c>
      <c r="I95" s="63">
        <f>37991+8400</f>
        <v>46391</v>
      </c>
      <c r="J95" s="64">
        <v>8897.4736367499136</v>
      </c>
      <c r="K95" s="41">
        <v>0.16</v>
      </c>
      <c r="L95" s="42">
        <f t="shared" si="9"/>
        <v>53813.56</v>
      </c>
      <c r="M95" s="42">
        <f t="shared" si="10"/>
        <v>51935.245604383563</v>
      </c>
      <c r="N95" s="42">
        <f t="shared" si="12"/>
        <v>1878.3143956164349</v>
      </c>
      <c r="O95" s="50">
        <v>0.2</v>
      </c>
      <c r="P95" s="43">
        <f t="shared" si="11"/>
        <v>1502.6515164931479</v>
      </c>
    </row>
    <row r="96" spans="2:16" x14ac:dyDescent="0.25">
      <c r="B96" s="38">
        <v>93</v>
      </c>
      <c r="C96" s="62" t="s">
        <v>23</v>
      </c>
      <c r="D96" s="57">
        <v>42643</v>
      </c>
      <c r="E96" s="39">
        <v>44405</v>
      </c>
      <c r="F96" s="58">
        <f t="shared" si="7"/>
        <v>4.8273972602739725</v>
      </c>
      <c r="G96" s="38">
        <v>8</v>
      </c>
      <c r="H96" s="40">
        <f t="shared" si="8"/>
        <v>0.11874999999999999</v>
      </c>
      <c r="I96" s="63">
        <f>7075845+10400+3000</f>
        <v>7089245</v>
      </c>
      <c r="J96" s="64">
        <v>1530255.5393047207</v>
      </c>
      <c r="K96" s="41">
        <v>0.16</v>
      </c>
      <c r="L96" s="42">
        <f t="shared" si="9"/>
        <v>8223524.1999999993</v>
      </c>
      <c r="M96" s="42">
        <f t="shared" si="10"/>
        <v>4714163.4104041094</v>
      </c>
      <c r="N96" s="42">
        <f t="shared" si="12"/>
        <v>3509360.7895958899</v>
      </c>
      <c r="O96" s="50">
        <v>0.2</v>
      </c>
      <c r="P96" s="43">
        <f t="shared" si="11"/>
        <v>2807488.6316767121</v>
      </c>
    </row>
    <row r="97" spans="2:16" x14ac:dyDescent="0.25">
      <c r="B97" s="38">
        <v>94</v>
      </c>
      <c r="C97" s="62" t="s">
        <v>23</v>
      </c>
      <c r="D97" s="57">
        <v>42673</v>
      </c>
      <c r="E97" s="39">
        <v>44405</v>
      </c>
      <c r="F97" s="58">
        <f t="shared" si="7"/>
        <v>4.7452054794520544</v>
      </c>
      <c r="G97" s="38">
        <v>5</v>
      </c>
      <c r="H97" s="40">
        <f t="shared" si="8"/>
        <v>0.19</v>
      </c>
      <c r="I97" s="63">
        <f>295000+22750</f>
        <v>317750</v>
      </c>
      <c r="J97" s="64">
        <v>71081.469138291941</v>
      </c>
      <c r="K97" s="41">
        <v>0.16</v>
      </c>
      <c r="L97" s="42">
        <f t="shared" si="9"/>
        <v>368590</v>
      </c>
      <c r="M97" s="42">
        <f t="shared" si="10"/>
        <v>332316.7046575342</v>
      </c>
      <c r="N97" s="42">
        <f t="shared" si="12"/>
        <v>36273.295342465804</v>
      </c>
      <c r="O97" s="50">
        <v>0.2</v>
      </c>
      <c r="P97" s="43">
        <f t="shared" si="11"/>
        <v>29018.636273972646</v>
      </c>
    </row>
    <row r="98" spans="2:16" x14ac:dyDescent="0.25">
      <c r="B98" s="38">
        <v>95</v>
      </c>
      <c r="C98" s="62" t="s">
        <v>23</v>
      </c>
      <c r="D98" s="57">
        <v>42704</v>
      </c>
      <c r="E98" s="39">
        <v>44405</v>
      </c>
      <c r="F98" s="58">
        <f t="shared" si="7"/>
        <v>4.6602739726027398</v>
      </c>
      <c r="G98" s="38">
        <v>5</v>
      </c>
      <c r="H98" s="40">
        <f t="shared" si="8"/>
        <v>0.19</v>
      </c>
      <c r="I98" s="63">
        <f>17575</f>
        <v>17575</v>
      </c>
      <c r="J98" s="64">
        <v>4074.0717458551694</v>
      </c>
      <c r="K98" s="41">
        <v>0.16</v>
      </c>
      <c r="L98" s="42">
        <f t="shared" si="9"/>
        <v>20387</v>
      </c>
      <c r="M98" s="42">
        <f t="shared" si="10"/>
        <v>18051.711041095892</v>
      </c>
      <c r="N98" s="42">
        <f t="shared" si="12"/>
        <v>2335.2889589041079</v>
      </c>
      <c r="O98" s="50">
        <v>0.2</v>
      </c>
      <c r="P98" s="43">
        <f t="shared" si="11"/>
        <v>1868.2311671232865</v>
      </c>
    </row>
    <row r="99" spans="2:16" x14ac:dyDescent="0.25">
      <c r="B99" s="38">
        <v>96</v>
      </c>
      <c r="C99" s="62" t="s">
        <v>23</v>
      </c>
      <c r="D99" s="57">
        <v>42735</v>
      </c>
      <c r="E99" s="39">
        <v>44405</v>
      </c>
      <c r="F99" s="58">
        <f t="shared" si="7"/>
        <v>4.5753424657534243</v>
      </c>
      <c r="G99" s="38">
        <v>5</v>
      </c>
      <c r="H99" s="40">
        <f t="shared" si="8"/>
        <v>0.19</v>
      </c>
      <c r="I99" s="63">
        <v>21000</v>
      </c>
      <c r="J99" s="64">
        <v>5038.2937930787921</v>
      </c>
      <c r="K99" s="41">
        <v>0.16</v>
      </c>
      <c r="L99" s="42">
        <f t="shared" si="9"/>
        <v>24360</v>
      </c>
      <c r="M99" s="42">
        <f t="shared" si="10"/>
        <v>21176.51506849315</v>
      </c>
      <c r="N99" s="42">
        <f t="shared" si="12"/>
        <v>3183.4849315068495</v>
      </c>
      <c r="O99" s="50">
        <v>0.2</v>
      </c>
      <c r="P99" s="43">
        <f t="shared" si="11"/>
        <v>2546.7879452054799</v>
      </c>
    </row>
    <row r="100" spans="2:16" x14ac:dyDescent="0.25">
      <c r="B100" s="38">
        <v>97</v>
      </c>
      <c r="C100" s="62" t="s">
        <v>23</v>
      </c>
      <c r="D100" s="57">
        <v>42766</v>
      </c>
      <c r="E100" s="39">
        <v>44405</v>
      </c>
      <c r="F100" s="58">
        <f t="shared" si="7"/>
        <v>4.4904109589041097</v>
      </c>
      <c r="G100" s="38">
        <v>5</v>
      </c>
      <c r="H100" s="40">
        <f t="shared" si="8"/>
        <v>0.19</v>
      </c>
      <c r="I100" s="63">
        <f>80000+31000+135000+1503</f>
        <v>247503</v>
      </c>
      <c r="J100" s="64">
        <v>61387.396496894486</v>
      </c>
      <c r="K100" s="41">
        <v>0.1</v>
      </c>
      <c r="L100" s="42">
        <f t="shared" si="9"/>
        <v>272253.30000000005</v>
      </c>
      <c r="M100" s="42">
        <f t="shared" si="10"/>
        <v>232280.54836438361</v>
      </c>
      <c r="N100" s="42">
        <f t="shared" si="12"/>
        <v>39972.751635616441</v>
      </c>
      <c r="O100" s="50">
        <v>0.2</v>
      </c>
      <c r="P100" s="43">
        <f t="shared" si="11"/>
        <v>31978.201308493153</v>
      </c>
    </row>
    <row r="101" spans="2:16" x14ac:dyDescent="0.25">
      <c r="B101" s="38">
        <v>98</v>
      </c>
      <c r="C101" s="62" t="s">
        <v>23</v>
      </c>
      <c r="D101" s="57">
        <v>42794</v>
      </c>
      <c r="E101" s="39">
        <v>44405</v>
      </c>
      <c r="F101" s="58">
        <f t="shared" si="7"/>
        <v>4.4136986301369863</v>
      </c>
      <c r="G101" s="38">
        <v>5</v>
      </c>
      <c r="H101" s="40">
        <f t="shared" si="8"/>
        <v>0.19</v>
      </c>
      <c r="I101" s="63">
        <f>257000+60000</f>
        <v>317000</v>
      </c>
      <c r="J101" s="64">
        <v>80946.060143020164</v>
      </c>
      <c r="K101" s="41">
        <v>0.1</v>
      </c>
      <c r="L101" s="42">
        <f t="shared" si="9"/>
        <v>348700</v>
      </c>
      <c r="M101" s="42">
        <f t="shared" si="10"/>
        <v>292420.77534246573</v>
      </c>
      <c r="N101" s="42">
        <f t="shared" si="12"/>
        <v>56279.224657534272</v>
      </c>
      <c r="O101" s="50">
        <v>0.2</v>
      </c>
      <c r="P101" s="43">
        <f t="shared" si="11"/>
        <v>45023.379726027422</v>
      </c>
    </row>
    <row r="102" spans="2:16" x14ac:dyDescent="0.25">
      <c r="B102" s="38">
        <v>99</v>
      </c>
      <c r="C102" s="62" t="s">
        <v>23</v>
      </c>
      <c r="D102" s="57">
        <v>42825</v>
      </c>
      <c r="E102" s="39">
        <v>44405</v>
      </c>
      <c r="F102" s="58">
        <f t="shared" si="7"/>
        <v>4.3287671232876717</v>
      </c>
      <c r="G102" s="38">
        <v>5</v>
      </c>
      <c r="H102" s="40">
        <f t="shared" si="8"/>
        <v>0.19</v>
      </c>
      <c r="I102" s="63">
        <f>700000+21000+11564</f>
        <v>732564</v>
      </c>
      <c r="J102" s="64">
        <v>193000.19343927043</v>
      </c>
      <c r="K102" s="41">
        <v>0.1</v>
      </c>
      <c r="L102" s="42">
        <f t="shared" si="9"/>
        <v>805820.4</v>
      </c>
      <c r="M102" s="42">
        <f t="shared" si="10"/>
        <v>662759.68241095904</v>
      </c>
      <c r="N102" s="42">
        <f t="shared" si="12"/>
        <v>143060.71758904099</v>
      </c>
      <c r="O102" s="50">
        <v>0.2</v>
      </c>
      <c r="P102" s="43">
        <f t="shared" si="11"/>
        <v>114448.5740712328</v>
      </c>
    </row>
    <row r="103" spans="2:16" x14ac:dyDescent="0.25">
      <c r="B103" s="38">
        <v>100</v>
      </c>
      <c r="C103" s="62" t="s">
        <v>23</v>
      </c>
      <c r="D103" s="53">
        <v>42855</v>
      </c>
      <c r="E103" s="39">
        <v>44405</v>
      </c>
      <c r="F103" s="58">
        <f t="shared" si="7"/>
        <v>4.2465753424657535</v>
      </c>
      <c r="G103" s="38">
        <v>5</v>
      </c>
      <c r="H103" s="40">
        <f t="shared" si="8"/>
        <v>0.19</v>
      </c>
      <c r="I103" s="61">
        <v>70000</v>
      </c>
      <c r="J103" s="61">
        <v>19293</v>
      </c>
      <c r="K103" s="41">
        <v>0.1</v>
      </c>
      <c r="L103" s="42">
        <f t="shared" si="9"/>
        <v>77000</v>
      </c>
      <c r="M103" s="42">
        <f t="shared" si="10"/>
        <v>62127.397260273981</v>
      </c>
      <c r="N103" s="42">
        <f t="shared" si="12"/>
        <v>14872.602739726019</v>
      </c>
      <c r="O103" s="50">
        <v>0.2</v>
      </c>
      <c r="P103" s="43">
        <f t="shared" si="11"/>
        <v>11898.082191780815</v>
      </c>
    </row>
    <row r="104" spans="2:16" x14ac:dyDescent="0.25">
      <c r="B104" s="38">
        <v>101</v>
      </c>
      <c r="C104" s="62" t="s">
        <v>23</v>
      </c>
      <c r="D104" s="53">
        <v>42886</v>
      </c>
      <c r="E104" s="39">
        <v>44405</v>
      </c>
      <c r="F104" s="58">
        <f t="shared" si="7"/>
        <v>4.161643835616438</v>
      </c>
      <c r="G104" s="38">
        <v>5</v>
      </c>
      <c r="H104" s="40">
        <f t="shared" si="8"/>
        <v>0.19</v>
      </c>
      <c r="I104" s="61">
        <v>70000</v>
      </c>
      <c r="J104" s="61">
        <v>20182</v>
      </c>
      <c r="K104" s="41">
        <v>0.1</v>
      </c>
      <c r="L104" s="42">
        <f t="shared" si="9"/>
        <v>77000</v>
      </c>
      <c r="M104" s="42">
        <f t="shared" si="10"/>
        <v>60884.849315068495</v>
      </c>
      <c r="N104" s="42">
        <f t="shared" si="12"/>
        <v>16115.150684931505</v>
      </c>
      <c r="O104" s="50">
        <v>0.2</v>
      </c>
      <c r="P104" s="43">
        <f t="shared" si="11"/>
        <v>12892.120547945204</v>
      </c>
    </row>
    <row r="105" spans="2:16" x14ac:dyDescent="0.25">
      <c r="B105" s="38">
        <v>102</v>
      </c>
      <c r="C105" s="62" t="s">
        <v>23</v>
      </c>
      <c r="D105" s="53">
        <v>42916</v>
      </c>
      <c r="E105" s="39">
        <v>44405</v>
      </c>
      <c r="F105" s="58">
        <f t="shared" si="7"/>
        <v>4.0794520547945208</v>
      </c>
      <c r="G105" s="38">
        <v>5</v>
      </c>
      <c r="H105" s="40">
        <f t="shared" si="8"/>
        <v>0.19</v>
      </c>
      <c r="I105" s="61">
        <v>140000</v>
      </c>
      <c r="J105" s="61">
        <v>42086</v>
      </c>
      <c r="K105" s="41">
        <v>0.1</v>
      </c>
      <c r="L105" s="42">
        <f t="shared" si="9"/>
        <v>154000</v>
      </c>
      <c r="M105" s="42">
        <f t="shared" si="10"/>
        <v>119364.76712328767</v>
      </c>
      <c r="N105" s="42">
        <f t="shared" si="12"/>
        <v>34635.232876712325</v>
      </c>
      <c r="O105" s="50">
        <v>0.2</v>
      </c>
      <c r="P105" s="43">
        <f t="shared" si="11"/>
        <v>27708.18630136986</v>
      </c>
    </row>
    <row r="106" spans="2:16" x14ac:dyDescent="0.25">
      <c r="B106" s="38">
        <v>103</v>
      </c>
      <c r="C106" s="62" t="s">
        <v>23</v>
      </c>
      <c r="D106" s="53">
        <v>42947</v>
      </c>
      <c r="E106" s="39">
        <v>44405</v>
      </c>
      <c r="F106" s="58">
        <f t="shared" si="7"/>
        <v>3.9945205479452053</v>
      </c>
      <c r="G106" s="38">
        <v>5</v>
      </c>
      <c r="H106" s="40">
        <f t="shared" si="8"/>
        <v>0.19</v>
      </c>
      <c r="I106" s="61">
        <v>225000</v>
      </c>
      <c r="J106" s="61">
        <v>70498</v>
      </c>
      <c r="K106" s="41">
        <v>0.1</v>
      </c>
      <c r="L106" s="42">
        <f t="shared" si="9"/>
        <v>247500.00000000003</v>
      </c>
      <c r="M106" s="42">
        <f t="shared" si="10"/>
        <v>187842.32876712331</v>
      </c>
      <c r="N106" s="42">
        <f t="shared" si="12"/>
        <v>59657.671232876717</v>
      </c>
      <c r="O106" s="50">
        <v>0.2</v>
      </c>
      <c r="P106" s="43">
        <f t="shared" si="11"/>
        <v>47726.136986301375</v>
      </c>
    </row>
    <row r="107" spans="2:16" x14ac:dyDescent="0.25">
      <c r="B107" s="38">
        <v>104</v>
      </c>
      <c r="C107" s="62" t="s">
        <v>23</v>
      </c>
      <c r="D107" s="53">
        <v>43008</v>
      </c>
      <c r="E107" s="39">
        <v>44405</v>
      </c>
      <c r="F107" s="58">
        <f t="shared" si="7"/>
        <v>3.8273972602739725</v>
      </c>
      <c r="G107" s="38">
        <v>5</v>
      </c>
      <c r="H107" s="40">
        <f t="shared" si="8"/>
        <v>0.19</v>
      </c>
      <c r="I107" s="61">
        <v>396000</v>
      </c>
      <c r="J107" s="61">
        <v>133980</v>
      </c>
      <c r="K107" s="41">
        <v>0.1</v>
      </c>
      <c r="L107" s="42">
        <f t="shared" si="9"/>
        <v>435600.00000000006</v>
      </c>
      <c r="M107" s="42">
        <f t="shared" si="10"/>
        <v>316770.70684931515</v>
      </c>
      <c r="N107" s="42">
        <f t="shared" si="12"/>
        <v>118829.29315068491</v>
      </c>
      <c r="O107" s="50">
        <v>0.2</v>
      </c>
      <c r="P107" s="43">
        <f t="shared" si="11"/>
        <v>95063.434520547933</v>
      </c>
    </row>
    <row r="108" spans="2:16" x14ac:dyDescent="0.25">
      <c r="B108" s="38">
        <v>105</v>
      </c>
      <c r="C108" s="62" t="s">
        <v>23</v>
      </c>
      <c r="D108" s="53">
        <v>43039</v>
      </c>
      <c r="E108" s="39">
        <v>44405</v>
      </c>
      <c r="F108" s="58">
        <f t="shared" si="7"/>
        <v>3.7424657534246575</v>
      </c>
      <c r="G108" s="38">
        <v>5</v>
      </c>
      <c r="H108" s="40">
        <f t="shared" si="8"/>
        <v>0.19</v>
      </c>
      <c r="I108" s="61">
        <v>650000</v>
      </c>
      <c r="J108" s="61">
        <v>228176.5417205001</v>
      </c>
      <c r="K108" s="41">
        <v>0.1</v>
      </c>
      <c r="L108" s="42">
        <f t="shared" si="9"/>
        <v>715000</v>
      </c>
      <c r="M108" s="42">
        <f t="shared" si="10"/>
        <v>508413.9726027397</v>
      </c>
      <c r="N108" s="42">
        <f t="shared" si="12"/>
        <v>206586.0273972603</v>
      </c>
      <c r="O108" s="50">
        <v>0.2</v>
      </c>
      <c r="P108" s="43">
        <f t="shared" si="11"/>
        <v>165268.82191780827</v>
      </c>
    </row>
    <row r="109" spans="2:16" x14ac:dyDescent="0.25">
      <c r="B109" s="38">
        <v>106</v>
      </c>
      <c r="C109" s="60" t="s">
        <v>23</v>
      </c>
      <c r="D109" s="53">
        <v>43282</v>
      </c>
      <c r="E109" s="39">
        <v>44405</v>
      </c>
      <c r="F109" s="58">
        <f t="shared" si="7"/>
        <v>3.0767123287671234</v>
      </c>
      <c r="G109" s="38">
        <v>8</v>
      </c>
      <c r="H109" s="40">
        <f t="shared" si="8"/>
        <v>0.11874999999999999</v>
      </c>
      <c r="I109" s="61">
        <v>2410848.73</v>
      </c>
      <c r="J109" s="61">
        <v>1139054.4388694491</v>
      </c>
      <c r="K109" s="41">
        <v>0.04</v>
      </c>
      <c r="L109" s="42">
        <f t="shared" si="9"/>
        <v>2507282.6792000001</v>
      </c>
      <c r="M109" s="42">
        <f t="shared" si="10"/>
        <v>916059.76928236987</v>
      </c>
      <c r="N109" s="42">
        <f t="shared" si="12"/>
        <v>1591222.9099176303</v>
      </c>
      <c r="O109" s="50">
        <v>0.2</v>
      </c>
      <c r="P109" s="43">
        <f t="shared" si="11"/>
        <v>1272978.3279341043</v>
      </c>
    </row>
    <row r="110" spans="2:16" x14ac:dyDescent="0.25">
      <c r="B110" s="38">
        <v>107</v>
      </c>
      <c r="C110" s="60" t="s">
        <v>24</v>
      </c>
      <c r="D110" s="53">
        <v>41912</v>
      </c>
      <c r="E110" s="39">
        <v>44405</v>
      </c>
      <c r="F110" s="58">
        <f t="shared" si="7"/>
        <v>6.8301369863013699</v>
      </c>
      <c r="G110" s="38">
        <v>8</v>
      </c>
      <c r="H110" s="40">
        <f t="shared" si="8"/>
        <v>0.11874999999999999</v>
      </c>
      <c r="I110" s="64">
        <v>16903485.699999999</v>
      </c>
      <c r="J110" s="65">
        <v>1471585</v>
      </c>
      <c r="K110" s="41">
        <v>0.08</v>
      </c>
      <c r="L110" s="42">
        <f t="shared" si="9"/>
        <v>18255764.556000002</v>
      </c>
      <c r="M110" s="42">
        <f t="shared" si="10"/>
        <v>14806863.008973494</v>
      </c>
      <c r="N110" s="42">
        <f t="shared" si="12"/>
        <v>3448901.5470265076</v>
      </c>
      <c r="O110" s="50">
        <v>0.2</v>
      </c>
      <c r="P110" s="43">
        <f t="shared" si="11"/>
        <v>2759121.2376212063</v>
      </c>
    </row>
    <row r="111" spans="2:16" x14ac:dyDescent="0.25">
      <c r="B111" s="38">
        <v>108</v>
      </c>
      <c r="C111" s="60" t="s">
        <v>25</v>
      </c>
      <c r="D111" s="53">
        <v>42109</v>
      </c>
      <c r="E111" s="39">
        <v>44405</v>
      </c>
      <c r="F111" s="58">
        <f t="shared" si="7"/>
        <v>6.2904109589041095</v>
      </c>
      <c r="G111" s="38">
        <v>15</v>
      </c>
      <c r="H111" s="40">
        <f t="shared" si="8"/>
        <v>6.3333333333333325E-2</v>
      </c>
      <c r="I111" s="65">
        <v>1076250</v>
      </c>
      <c r="J111" s="65">
        <v>116786</v>
      </c>
      <c r="K111" s="41">
        <v>0</v>
      </c>
      <c r="L111" s="42">
        <f t="shared" si="9"/>
        <v>1076250</v>
      </c>
      <c r="M111" s="42">
        <f t="shared" si="10"/>
        <v>428770.13698630128</v>
      </c>
      <c r="N111" s="42">
        <f t="shared" si="12"/>
        <v>647479.86301369872</v>
      </c>
      <c r="O111" s="50">
        <v>0.2</v>
      </c>
      <c r="P111" s="43">
        <f t="shared" si="11"/>
        <v>517983.89041095902</v>
      </c>
    </row>
    <row r="112" spans="2:16" x14ac:dyDescent="0.25">
      <c r="B112" s="38">
        <v>109</v>
      </c>
      <c r="C112" s="62" t="s">
        <v>25</v>
      </c>
      <c r="D112" s="57">
        <v>42704</v>
      </c>
      <c r="E112" s="39">
        <v>44405</v>
      </c>
      <c r="F112" s="58">
        <f t="shared" si="7"/>
        <v>4.6602739726027398</v>
      </c>
      <c r="G112" s="38">
        <v>15</v>
      </c>
      <c r="H112" s="40">
        <f t="shared" si="8"/>
        <v>6.3333333333333325E-2</v>
      </c>
      <c r="I112" s="63">
        <v>46000</v>
      </c>
      <c r="J112" s="65">
        <v>10566</v>
      </c>
      <c r="K112" s="41">
        <v>0.01</v>
      </c>
      <c r="L112" s="42">
        <f t="shared" si="9"/>
        <v>46460</v>
      </c>
      <c r="M112" s="42">
        <f t="shared" si="10"/>
        <v>13712.700821917806</v>
      </c>
      <c r="N112" s="42">
        <f t="shared" si="12"/>
        <v>32747.299178082194</v>
      </c>
      <c r="O112" s="50">
        <v>0.2</v>
      </c>
      <c r="P112" s="43">
        <f t="shared" si="11"/>
        <v>26197.839342465755</v>
      </c>
    </row>
    <row r="113" spans="2:16" x14ac:dyDescent="0.25">
      <c r="B113" s="38">
        <v>110</v>
      </c>
      <c r="C113" s="62" t="s">
        <v>26</v>
      </c>
      <c r="D113" s="57">
        <v>42551</v>
      </c>
      <c r="E113" s="39">
        <v>44405</v>
      </c>
      <c r="F113" s="58">
        <f t="shared" si="7"/>
        <v>5.0794520547945208</v>
      </c>
      <c r="G113" s="38">
        <v>10</v>
      </c>
      <c r="H113" s="40">
        <f t="shared" si="8"/>
        <v>9.5000000000000001E-2</v>
      </c>
      <c r="I113" s="63">
        <v>357273</v>
      </c>
      <c r="J113" s="64">
        <v>67894.856376081778</v>
      </c>
      <c r="K113" s="41">
        <v>0</v>
      </c>
      <c r="L113" s="42">
        <f t="shared" si="9"/>
        <v>357273</v>
      </c>
      <c r="M113" s="42">
        <f t="shared" si="10"/>
        <v>172401.35202739728</v>
      </c>
      <c r="N113" s="42">
        <f t="shared" si="12"/>
        <v>184871.64797260272</v>
      </c>
      <c r="O113" s="50">
        <v>0.2</v>
      </c>
      <c r="P113" s="43">
        <f t="shared" si="11"/>
        <v>147897.31837808219</v>
      </c>
    </row>
    <row r="114" spans="2:16" x14ac:dyDescent="0.25">
      <c r="B114" s="38">
        <v>111</v>
      </c>
      <c r="C114" s="62" t="s">
        <v>26</v>
      </c>
      <c r="D114" s="57">
        <v>42643</v>
      </c>
      <c r="E114" s="39">
        <v>44405</v>
      </c>
      <c r="F114" s="58">
        <f t="shared" si="7"/>
        <v>4.8273972602739725</v>
      </c>
      <c r="G114" s="38">
        <v>10</v>
      </c>
      <c r="H114" s="40">
        <f t="shared" si="8"/>
        <v>9.5000000000000001E-2</v>
      </c>
      <c r="I114" s="63">
        <f>887250+100000</f>
        <v>987250</v>
      </c>
      <c r="J114" s="64">
        <v>211151.81492161212</v>
      </c>
      <c r="K114" s="41">
        <v>0</v>
      </c>
      <c r="L114" s="42">
        <f t="shared" si="9"/>
        <v>987250</v>
      </c>
      <c r="M114" s="42">
        <f t="shared" si="10"/>
        <v>452755.55479452055</v>
      </c>
      <c r="N114" s="42">
        <f t="shared" si="12"/>
        <v>534494.44520547939</v>
      </c>
      <c r="O114" s="50">
        <v>0.2</v>
      </c>
      <c r="P114" s="43">
        <f t="shared" si="11"/>
        <v>427595.55616438354</v>
      </c>
    </row>
    <row r="115" spans="2:16" x14ac:dyDescent="0.25">
      <c r="B115" s="38">
        <v>112</v>
      </c>
      <c r="C115" s="62" t="s">
        <v>27</v>
      </c>
      <c r="D115" s="57">
        <v>42819</v>
      </c>
      <c r="E115" s="39">
        <v>44405</v>
      </c>
      <c r="F115" s="58">
        <f t="shared" si="7"/>
        <v>4.3452054794520549</v>
      </c>
      <c r="G115" s="38">
        <v>15</v>
      </c>
      <c r="H115" s="40">
        <f t="shared" si="8"/>
        <v>6.3333333333333325E-2</v>
      </c>
      <c r="I115" s="63">
        <v>15793433.75</v>
      </c>
      <c r="J115" s="61">
        <v>4098244</v>
      </c>
      <c r="K115" s="41">
        <v>7.0000000000000007E-2</v>
      </c>
      <c r="L115" s="42">
        <f t="shared" si="9"/>
        <v>16898974.112500001</v>
      </c>
      <c r="M115" s="42">
        <f t="shared" si="10"/>
        <v>4650535.9443477169</v>
      </c>
      <c r="N115" s="42">
        <f t="shared" si="12"/>
        <v>12248438.168152284</v>
      </c>
      <c r="O115" s="50">
        <v>0.2</v>
      </c>
      <c r="P115" s="43">
        <f t="shared" si="11"/>
        <v>9798750.5345218275</v>
      </c>
    </row>
    <row r="116" spans="2:16" x14ac:dyDescent="0.25">
      <c r="B116" s="38">
        <v>113</v>
      </c>
      <c r="C116" s="62" t="s">
        <v>27</v>
      </c>
      <c r="D116" s="57">
        <v>43069</v>
      </c>
      <c r="E116" s="39">
        <v>44405</v>
      </c>
      <c r="F116" s="58">
        <f t="shared" si="7"/>
        <v>3.6602739726027398</v>
      </c>
      <c r="G116" s="38">
        <v>15</v>
      </c>
      <c r="H116" s="40">
        <f t="shared" si="8"/>
        <v>6.3333333333333325E-2</v>
      </c>
      <c r="I116" s="63">
        <v>171600</v>
      </c>
      <c r="J116" s="61">
        <v>61778</v>
      </c>
      <c r="K116" s="41">
        <v>7.0000000000000007E-2</v>
      </c>
      <c r="L116" s="42">
        <f t="shared" si="9"/>
        <v>183612</v>
      </c>
      <c r="M116" s="42">
        <f t="shared" si="10"/>
        <v>42564.447561643829</v>
      </c>
      <c r="N116" s="42">
        <f t="shared" si="12"/>
        <v>141047.55243835616</v>
      </c>
      <c r="O116" s="50">
        <v>0.2</v>
      </c>
      <c r="P116" s="43">
        <f t="shared" si="11"/>
        <v>112838.04195068493</v>
      </c>
    </row>
    <row r="117" spans="2:16" x14ac:dyDescent="0.25">
      <c r="B117" s="38">
        <v>114</v>
      </c>
      <c r="C117" s="62" t="s">
        <v>27</v>
      </c>
      <c r="D117" s="57">
        <v>43100</v>
      </c>
      <c r="E117" s="39">
        <v>44405</v>
      </c>
      <c r="F117" s="58">
        <f t="shared" si="7"/>
        <v>3.5753424657534247</v>
      </c>
      <c r="G117" s="38">
        <v>15</v>
      </c>
      <c r="H117" s="40">
        <f t="shared" si="8"/>
        <v>6.3333333333333325E-2</v>
      </c>
      <c r="I117" s="63">
        <v>123120</v>
      </c>
      <c r="J117" s="61">
        <v>45875</v>
      </c>
      <c r="K117" s="41">
        <v>7.0000000000000007E-2</v>
      </c>
      <c r="L117" s="42">
        <f t="shared" si="9"/>
        <v>131738.4</v>
      </c>
      <c r="M117" s="42">
        <f t="shared" si="10"/>
        <v>29830.626739726024</v>
      </c>
      <c r="N117" s="42">
        <f t="shared" si="12"/>
        <v>101907.77326027397</v>
      </c>
      <c r="O117" s="50">
        <v>0.2</v>
      </c>
      <c r="P117" s="43">
        <f t="shared" si="11"/>
        <v>81526.218608219177</v>
      </c>
    </row>
    <row r="118" spans="2:16" x14ac:dyDescent="0.25">
      <c r="B118" s="38">
        <v>115</v>
      </c>
      <c r="C118" s="62" t="s">
        <v>27</v>
      </c>
      <c r="D118" s="57">
        <v>43100</v>
      </c>
      <c r="E118" s="39">
        <v>44405</v>
      </c>
      <c r="F118" s="58">
        <f t="shared" si="7"/>
        <v>3.5753424657534247</v>
      </c>
      <c r="G118" s="38">
        <v>15</v>
      </c>
      <c r="H118" s="40">
        <f t="shared" si="8"/>
        <v>6.3333333333333325E-2</v>
      </c>
      <c r="I118" s="61">
        <v>128700</v>
      </c>
      <c r="J118" s="61">
        <v>47954</v>
      </c>
      <c r="K118" s="41">
        <v>7.0000000000000007E-2</v>
      </c>
      <c r="L118" s="42">
        <f t="shared" si="9"/>
        <v>137709</v>
      </c>
      <c r="M118" s="42">
        <f t="shared" si="10"/>
        <v>31182.599589041092</v>
      </c>
      <c r="N118" s="42">
        <f t="shared" si="12"/>
        <v>106526.40041095892</v>
      </c>
      <c r="O118" s="50">
        <v>0.2</v>
      </c>
      <c r="P118" s="43">
        <f t="shared" si="11"/>
        <v>85221.120328767138</v>
      </c>
    </row>
    <row r="119" spans="2:16" x14ac:dyDescent="0.25">
      <c r="B119" s="38">
        <v>116</v>
      </c>
      <c r="C119" s="60" t="s">
        <v>28</v>
      </c>
      <c r="D119" s="53">
        <v>43387</v>
      </c>
      <c r="E119" s="39">
        <v>44405</v>
      </c>
      <c r="F119" s="58">
        <f t="shared" si="7"/>
        <v>2.7890410958904108</v>
      </c>
      <c r="G119" s="38">
        <v>15</v>
      </c>
      <c r="H119" s="40">
        <f t="shared" si="8"/>
        <v>6.3333333333333325E-2</v>
      </c>
      <c r="I119" s="61">
        <v>3749019.04</v>
      </c>
      <c r="J119" s="61">
        <v>2005702.9011913496</v>
      </c>
      <c r="K119" s="41">
        <v>0.04</v>
      </c>
      <c r="L119" s="42">
        <f t="shared" si="9"/>
        <v>3898979.8016000004</v>
      </c>
      <c r="M119" s="42">
        <f t="shared" si="10"/>
        <v>688712.94358490582</v>
      </c>
      <c r="N119" s="42">
        <f t="shared" si="12"/>
        <v>3210266.8580150944</v>
      </c>
      <c r="O119" s="50">
        <v>0.2</v>
      </c>
      <c r="P119" s="43">
        <f t="shared" si="11"/>
        <v>2568213.4864120758</v>
      </c>
    </row>
    <row r="120" spans="2:16" x14ac:dyDescent="0.25">
      <c r="B120" s="38">
        <v>117</v>
      </c>
      <c r="C120" s="60" t="s">
        <v>29</v>
      </c>
      <c r="D120" s="53">
        <v>43459</v>
      </c>
      <c r="E120" s="39">
        <v>44405</v>
      </c>
      <c r="F120" s="58">
        <f t="shared" si="7"/>
        <v>2.591780821917808</v>
      </c>
      <c r="G120" s="38">
        <v>15</v>
      </c>
      <c r="H120" s="40">
        <f t="shared" si="8"/>
        <v>6.3333333333333325E-2</v>
      </c>
      <c r="I120" s="61">
        <v>3771569.04</v>
      </c>
      <c r="J120" s="61">
        <v>2190659.3439466208</v>
      </c>
      <c r="K120" s="41">
        <v>0.04</v>
      </c>
      <c r="L120" s="42">
        <f t="shared" si="9"/>
        <v>3922431.8016000004</v>
      </c>
      <c r="M120" s="42">
        <f t="shared" si="10"/>
        <v>643851.95618226845</v>
      </c>
      <c r="N120" s="42">
        <f t="shared" si="12"/>
        <v>3278579.8454177319</v>
      </c>
      <c r="O120" s="50">
        <v>0.2</v>
      </c>
      <c r="P120" s="43">
        <f t="shared" si="11"/>
        <v>2622863.8763341857</v>
      </c>
    </row>
    <row r="121" spans="2:16" x14ac:dyDescent="0.25">
      <c r="B121" s="38">
        <v>118</v>
      </c>
      <c r="C121" s="60" t="s">
        <v>30</v>
      </c>
      <c r="D121" s="53">
        <v>41547</v>
      </c>
      <c r="E121" s="39">
        <v>44405</v>
      </c>
      <c r="F121" s="58">
        <f t="shared" si="7"/>
        <v>7.8301369863013699</v>
      </c>
      <c r="G121" s="38">
        <v>3</v>
      </c>
      <c r="H121" s="40">
        <f t="shared" si="8"/>
        <v>0.31666666666666665</v>
      </c>
      <c r="I121" s="61">
        <v>1157527.21</v>
      </c>
      <c r="J121" s="94">
        <v>286139</v>
      </c>
      <c r="K121" s="41">
        <v>0.04</v>
      </c>
      <c r="L121" s="42">
        <f t="shared" si="9"/>
        <v>1203828.2984</v>
      </c>
      <c r="M121" s="42">
        <f t="shared" si="10"/>
        <v>2984944.486745059</v>
      </c>
      <c r="N121" s="42">
        <f t="shared" si="12"/>
        <v>60191.414920000003</v>
      </c>
      <c r="O121" s="50">
        <v>0.2</v>
      </c>
      <c r="P121" s="43">
        <f t="shared" si="11"/>
        <v>48153.131936000005</v>
      </c>
    </row>
    <row r="122" spans="2:16" x14ac:dyDescent="0.25">
      <c r="B122" s="38">
        <v>119</v>
      </c>
      <c r="C122" s="60" t="s">
        <v>31</v>
      </c>
      <c r="D122" s="53">
        <v>41762</v>
      </c>
      <c r="E122" s="39">
        <v>44405</v>
      </c>
      <c r="F122" s="58">
        <f t="shared" si="7"/>
        <v>7.2410958904109588</v>
      </c>
      <c r="G122" s="38">
        <v>3</v>
      </c>
      <c r="H122" s="40">
        <f t="shared" si="8"/>
        <v>0.31666666666666665</v>
      </c>
      <c r="I122" s="54">
        <v>27930</v>
      </c>
      <c r="J122" s="94"/>
      <c r="K122" s="41">
        <v>0.04</v>
      </c>
      <c r="L122" s="42">
        <f t="shared" si="9"/>
        <v>29047.200000000001</v>
      </c>
      <c r="M122" s="42">
        <f t="shared" si="10"/>
        <v>66605.627506849312</v>
      </c>
      <c r="N122" s="42">
        <f t="shared" si="12"/>
        <v>1452.3600000000001</v>
      </c>
      <c r="O122" s="50">
        <v>0.2</v>
      </c>
      <c r="P122" s="43">
        <f t="shared" si="11"/>
        <v>1161.8880000000001</v>
      </c>
    </row>
    <row r="123" spans="2:16" x14ac:dyDescent="0.25">
      <c r="B123" s="38">
        <v>120</v>
      </c>
      <c r="C123" s="60" t="s">
        <v>31</v>
      </c>
      <c r="D123" s="53">
        <v>41883</v>
      </c>
      <c r="E123" s="39">
        <v>44405</v>
      </c>
      <c r="F123" s="58">
        <f t="shared" si="7"/>
        <v>6.9095890410958907</v>
      </c>
      <c r="G123" s="38">
        <v>3</v>
      </c>
      <c r="H123" s="40">
        <f t="shared" si="8"/>
        <v>0.31666666666666665</v>
      </c>
      <c r="I123" s="54">
        <v>611669</v>
      </c>
      <c r="J123" s="94"/>
      <c r="K123" s="41">
        <v>0.04</v>
      </c>
      <c r="L123" s="42">
        <f t="shared" si="9"/>
        <v>636135.76</v>
      </c>
      <c r="M123" s="42">
        <f t="shared" si="10"/>
        <v>1391888.2807159817</v>
      </c>
      <c r="N123" s="42">
        <f t="shared" si="12"/>
        <v>31806.788</v>
      </c>
      <c r="O123" s="50">
        <v>0.2</v>
      </c>
      <c r="P123" s="43">
        <f t="shared" si="11"/>
        <v>25445.430400000001</v>
      </c>
    </row>
    <row r="124" spans="2:16" x14ac:dyDescent="0.25">
      <c r="B124" s="38">
        <v>121</v>
      </c>
      <c r="C124" s="60" t="s">
        <v>32</v>
      </c>
      <c r="D124" s="53">
        <v>41547</v>
      </c>
      <c r="E124" s="39">
        <v>44405</v>
      </c>
      <c r="F124" s="58">
        <f t="shared" si="7"/>
        <v>7.8301369863013699</v>
      </c>
      <c r="G124" s="38">
        <v>15</v>
      </c>
      <c r="H124" s="40">
        <f t="shared" si="8"/>
        <v>6.3333333333333325E-2</v>
      </c>
      <c r="I124" s="61">
        <v>20134676.32</v>
      </c>
      <c r="J124" s="94">
        <v>4425315</v>
      </c>
      <c r="K124" s="41">
        <v>7.0000000000000007E-2</v>
      </c>
      <c r="L124" s="42">
        <f t="shared" si="9"/>
        <v>21544103.6624</v>
      </c>
      <c r="M124" s="42">
        <f t="shared" si="10"/>
        <v>10683907.918499038</v>
      </c>
      <c r="N124" s="42">
        <f t="shared" si="12"/>
        <v>10860195.743900962</v>
      </c>
      <c r="O124" s="50">
        <v>0.2</v>
      </c>
      <c r="P124" s="43">
        <f t="shared" si="11"/>
        <v>8688156.5951207709</v>
      </c>
    </row>
    <row r="125" spans="2:16" x14ac:dyDescent="0.25">
      <c r="B125" s="38">
        <v>122</v>
      </c>
      <c r="C125" s="60" t="s">
        <v>32</v>
      </c>
      <c r="D125" s="53">
        <v>41790</v>
      </c>
      <c r="E125" s="39">
        <v>44405</v>
      </c>
      <c r="F125" s="58">
        <f t="shared" si="7"/>
        <v>7.1643835616438354</v>
      </c>
      <c r="G125" s="38">
        <v>15</v>
      </c>
      <c r="H125" s="40">
        <f t="shared" si="8"/>
        <v>6.3333333333333325E-2</v>
      </c>
      <c r="I125" s="54">
        <v>179997.8</v>
      </c>
      <c r="J125" s="94"/>
      <c r="K125" s="41">
        <v>0.04</v>
      </c>
      <c r="L125" s="42">
        <f t="shared" si="9"/>
        <v>187197.712</v>
      </c>
      <c r="M125" s="42">
        <f t="shared" si="10"/>
        <v>84939.893339908653</v>
      </c>
      <c r="N125" s="42">
        <f t="shared" si="12"/>
        <v>102257.81866009135</v>
      </c>
      <c r="O125" s="50">
        <v>0.2</v>
      </c>
      <c r="P125" s="43">
        <f t="shared" si="11"/>
        <v>81806.254928073089</v>
      </c>
    </row>
    <row r="126" spans="2:16" x14ac:dyDescent="0.25">
      <c r="B126" s="38">
        <v>123</v>
      </c>
      <c r="C126" s="60" t="s">
        <v>32</v>
      </c>
      <c r="D126" s="53">
        <v>41820</v>
      </c>
      <c r="E126" s="39">
        <v>44405</v>
      </c>
      <c r="F126" s="58">
        <f t="shared" si="7"/>
        <v>7.0821917808219181</v>
      </c>
      <c r="G126" s="38">
        <v>15</v>
      </c>
      <c r="H126" s="40">
        <f t="shared" si="8"/>
        <v>6.3333333333333325E-2</v>
      </c>
      <c r="I126" s="54">
        <v>129892.71</v>
      </c>
      <c r="J126" s="94"/>
      <c r="K126" s="41">
        <v>0.04</v>
      </c>
      <c r="L126" s="42">
        <f t="shared" si="9"/>
        <v>135088.41840000002</v>
      </c>
      <c r="M126" s="42">
        <f t="shared" si="10"/>
        <v>60592.398810191786</v>
      </c>
      <c r="N126" s="42">
        <f t="shared" si="12"/>
        <v>74496.019589808246</v>
      </c>
      <c r="O126" s="50">
        <v>0.2</v>
      </c>
      <c r="P126" s="43">
        <f t="shared" si="11"/>
        <v>59596.815671846598</v>
      </c>
    </row>
    <row r="127" spans="2:16" x14ac:dyDescent="0.25">
      <c r="B127" s="38">
        <v>124</v>
      </c>
      <c r="C127" s="60" t="s">
        <v>32</v>
      </c>
      <c r="D127" s="53">
        <v>41851</v>
      </c>
      <c r="E127" s="39">
        <v>44405</v>
      </c>
      <c r="F127" s="58">
        <f t="shared" si="7"/>
        <v>6.9972602739726026</v>
      </c>
      <c r="G127" s="38">
        <v>15</v>
      </c>
      <c r="H127" s="40">
        <f t="shared" si="8"/>
        <v>6.3333333333333325E-2</v>
      </c>
      <c r="I127" s="54">
        <v>112626.43</v>
      </c>
      <c r="J127" s="94"/>
      <c r="K127" s="41">
        <v>0.04</v>
      </c>
      <c r="L127" s="42">
        <f t="shared" si="9"/>
        <v>117131.4872</v>
      </c>
      <c r="M127" s="42">
        <f t="shared" si="10"/>
        <v>51907.968473673049</v>
      </c>
      <c r="N127" s="42">
        <f t="shared" si="12"/>
        <v>65223.518726326954</v>
      </c>
      <c r="O127" s="50">
        <v>0.2</v>
      </c>
      <c r="P127" s="43">
        <f t="shared" si="11"/>
        <v>52178.814981061565</v>
      </c>
    </row>
    <row r="128" spans="2:16" x14ac:dyDescent="0.25">
      <c r="B128" s="38">
        <v>125</v>
      </c>
      <c r="C128" s="60" t="s">
        <v>32</v>
      </c>
      <c r="D128" s="53">
        <v>41882</v>
      </c>
      <c r="E128" s="39">
        <v>44405</v>
      </c>
      <c r="F128" s="58">
        <f t="shared" si="7"/>
        <v>6.912328767123288</v>
      </c>
      <c r="G128" s="38">
        <v>15</v>
      </c>
      <c r="H128" s="40">
        <f t="shared" si="8"/>
        <v>6.3333333333333325E-2</v>
      </c>
      <c r="I128" s="54">
        <v>270667.03999999998</v>
      </c>
      <c r="J128" s="94"/>
      <c r="K128" s="41">
        <v>0.04</v>
      </c>
      <c r="L128" s="42">
        <f t="shared" si="9"/>
        <v>281493.72159999999</v>
      </c>
      <c r="M128" s="42">
        <f t="shared" si="10"/>
        <v>123232.55280675068</v>
      </c>
      <c r="N128" s="42">
        <f t="shared" si="12"/>
        <v>158261.16879324929</v>
      </c>
      <c r="O128" s="50">
        <v>0.2</v>
      </c>
      <c r="P128" s="43">
        <f t="shared" si="11"/>
        <v>126608.93503459945</v>
      </c>
    </row>
    <row r="129" spans="2:16" x14ac:dyDescent="0.25">
      <c r="B129" s="38">
        <v>126</v>
      </c>
      <c r="C129" s="60" t="s">
        <v>32</v>
      </c>
      <c r="D129" s="53">
        <v>41912</v>
      </c>
      <c r="E129" s="39">
        <v>44405</v>
      </c>
      <c r="F129" s="58">
        <f t="shared" si="7"/>
        <v>6.8301369863013699</v>
      </c>
      <c r="G129" s="38">
        <v>15</v>
      </c>
      <c r="H129" s="40">
        <f t="shared" si="8"/>
        <v>6.3333333333333325E-2</v>
      </c>
      <c r="I129" s="54">
        <v>3124197.2</v>
      </c>
      <c r="J129" s="94"/>
      <c r="K129" s="41">
        <v>0.04</v>
      </c>
      <c r="L129" s="42">
        <f t="shared" si="9"/>
        <v>3249165.0880000005</v>
      </c>
      <c r="M129" s="42">
        <f t="shared" si="10"/>
        <v>1405508.7006693699</v>
      </c>
      <c r="N129" s="42">
        <f t="shared" si="12"/>
        <v>1843656.3873306306</v>
      </c>
      <c r="O129" s="50">
        <v>0.2</v>
      </c>
      <c r="P129" s="43">
        <f t="shared" si="11"/>
        <v>1474925.1098645045</v>
      </c>
    </row>
    <row r="130" spans="2:16" x14ac:dyDescent="0.25">
      <c r="B130" s="38">
        <v>127</v>
      </c>
      <c r="C130" s="60" t="s">
        <v>32</v>
      </c>
      <c r="D130" s="53">
        <v>41943</v>
      </c>
      <c r="E130" s="39">
        <v>44405</v>
      </c>
      <c r="F130" s="58">
        <f t="shared" si="7"/>
        <v>6.7452054794520544</v>
      </c>
      <c r="G130" s="38">
        <v>15</v>
      </c>
      <c r="H130" s="40">
        <f t="shared" si="8"/>
        <v>6.3333333333333325E-2</v>
      </c>
      <c r="I130" s="54">
        <v>834409.07</v>
      </c>
      <c r="J130" s="94"/>
      <c r="K130" s="41">
        <v>0.04</v>
      </c>
      <c r="L130" s="42">
        <f t="shared" si="9"/>
        <v>867785.43279999995</v>
      </c>
      <c r="M130" s="42">
        <f t="shared" si="10"/>
        <v>370714.76689971134</v>
      </c>
      <c r="N130" s="42">
        <f t="shared" si="12"/>
        <v>497070.66590028862</v>
      </c>
      <c r="O130" s="50">
        <v>0.2</v>
      </c>
      <c r="P130" s="43">
        <f t="shared" si="11"/>
        <v>397656.53272023093</v>
      </c>
    </row>
    <row r="131" spans="2:16" x14ac:dyDescent="0.25">
      <c r="B131" s="38">
        <v>128</v>
      </c>
      <c r="C131" s="60" t="s">
        <v>32</v>
      </c>
      <c r="D131" s="53">
        <v>41973</v>
      </c>
      <c r="E131" s="39">
        <v>44405</v>
      </c>
      <c r="F131" s="58">
        <f t="shared" si="7"/>
        <v>6.6630136986301371</v>
      </c>
      <c r="G131" s="38">
        <v>15</v>
      </c>
      <c r="H131" s="40">
        <f t="shared" si="8"/>
        <v>6.3333333333333325E-2</v>
      </c>
      <c r="I131" s="54">
        <v>81768.100000000006</v>
      </c>
      <c r="J131" s="94"/>
      <c r="K131" s="41">
        <v>0.04</v>
      </c>
      <c r="L131" s="42">
        <f t="shared" si="9"/>
        <v>85038.824000000008</v>
      </c>
      <c r="M131" s="42">
        <f t="shared" si="10"/>
        <v>35885.607117735155</v>
      </c>
      <c r="N131" s="42">
        <f t="shared" si="12"/>
        <v>49153.216882264853</v>
      </c>
      <c r="O131" s="50">
        <v>0.2</v>
      </c>
      <c r="P131" s="43">
        <f t="shared" si="11"/>
        <v>39322.573505811888</v>
      </c>
    </row>
    <row r="132" spans="2:16" x14ac:dyDescent="0.25">
      <c r="B132" s="38">
        <v>129</v>
      </c>
      <c r="C132" s="60" t="s">
        <v>32</v>
      </c>
      <c r="D132" s="53">
        <v>42004</v>
      </c>
      <c r="E132" s="39">
        <v>44405</v>
      </c>
      <c r="F132" s="58">
        <f t="shared" si="7"/>
        <v>6.5780821917808217</v>
      </c>
      <c r="G132" s="38">
        <v>15</v>
      </c>
      <c r="H132" s="40">
        <f t="shared" si="8"/>
        <v>6.3333333333333325E-2</v>
      </c>
      <c r="I132" s="54">
        <v>393346.44</v>
      </c>
      <c r="J132" s="94"/>
      <c r="K132" s="41">
        <v>0.04</v>
      </c>
      <c r="L132" s="42">
        <f t="shared" si="9"/>
        <v>409080.29759999999</v>
      </c>
      <c r="M132" s="42">
        <f t="shared" si="10"/>
        <v>170427.70864122736</v>
      </c>
      <c r="N132" s="42">
        <f t="shared" si="12"/>
        <v>238652.58895877263</v>
      </c>
      <c r="O132" s="50">
        <v>0.2</v>
      </c>
      <c r="P132" s="43">
        <f t="shared" si="11"/>
        <v>190922.07116701812</v>
      </c>
    </row>
    <row r="133" spans="2:16" x14ac:dyDescent="0.25">
      <c r="B133" s="38">
        <v>130</v>
      </c>
      <c r="C133" s="60" t="s">
        <v>32</v>
      </c>
      <c r="D133" s="53">
        <v>42035</v>
      </c>
      <c r="E133" s="39">
        <v>44405</v>
      </c>
      <c r="F133" s="58">
        <f t="shared" ref="F133:F196" si="13">(E133-D133)/365</f>
        <v>6.493150684931507</v>
      </c>
      <c r="G133" s="38">
        <v>15</v>
      </c>
      <c r="H133" s="40">
        <f t="shared" ref="H133:H196" si="14">(95/G133/100)</f>
        <v>6.3333333333333325E-2</v>
      </c>
      <c r="I133" s="54">
        <v>560000</v>
      </c>
      <c r="J133" s="94"/>
      <c r="K133" s="41">
        <v>0.1</v>
      </c>
      <c r="L133" s="42">
        <f t="shared" ref="L133:L196" si="15">I133*(1+K133)</f>
        <v>616000</v>
      </c>
      <c r="M133" s="42">
        <f t="shared" ref="M133:M196" si="16">F133*H133*L133</f>
        <v>253319.4520547945</v>
      </c>
      <c r="N133" s="42">
        <f t="shared" si="12"/>
        <v>362680.54794520547</v>
      </c>
      <c r="O133" s="50">
        <v>0.2</v>
      </c>
      <c r="P133" s="43">
        <f t="shared" ref="P133:P196" si="17">IF(N133=I133*5%,N133,N133*(1-O133))</f>
        <v>290144.43835616438</v>
      </c>
    </row>
    <row r="134" spans="2:16" x14ac:dyDescent="0.25">
      <c r="B134" s="38">
        <v>131</v>
      </c>
      <c r="C134" s="60" t="s">
        <v>32</v>
      </c>
      <c r="D134" s="53">
        <v>42063</v>
      </c>
      <c r="E134" s="39">
        <v>44405</v>
      </c>
      <c r="F134" s="58">
        <f t="shared" si="13"/>
        <v>6.4164383561643836</v>
      </c>
      <c r="G134" s="38">
        <v>15</v>
      </c>
      <c r="H134" s="40">
        <f t="shared" si="14"/>
        <v>6.3333333333333325E-2</v>
      </c>
      <c r="I134" s="54">
        <v>6953</v>
      </c>
      <c r="J134" s="94"/>
      <c r="K134" s="41">
        <v>0.1</v>
      </c>
      <c r="L134" s="42">
        <f t="shared" si="15"/>
        <v>7648.3</v>
      </c>
      <c r="M134" s="42">
        <f t="shared" si="16"/>
        <v>3108.0735470319632</v>
      </c>
      <c r="N134" s="42">
        <f t="shared" si="12"/>
        <v>4540.2264529680369</v>
      </c>
      <c r="O134" s="50">
        <v>0.2</v>
      </c>
      <c r="P134" s="43">
        <f t="shared" si="17"/>
        <v>3632.1811623744297</v>
      </c>
    </row>
    <row r="135" spans="2:16" x14ac:dyDescent="0.25">
      <c r="B135" s="38">
        <v>132</v>
      </c>
      <c r="C135" s="60" t="s">
        <v>32</v>
      </c>
      <c r="D135" s="53">
        <v>42094</v>
      </c>
      <c r="E135" s="39">
        <v>44405</v>
      </c>
      <c r="F135" s="58">
        <f t="shared" si="13"/>
        <v>6.3315068493150681</v>
      </c>
      <c r="G135" s="38">
        <v>15</v>
      </c>
      <c r="H135" s="40">
        <f t="shared" si="14"/>
        <v>6.3333333333333325E-2</v>
      </c>
      <c r="I135" s="54">
        <v>427153.9</v>
      </c>
      <c r="J135" s="94"/>
      <c r="K135" s="41">
        <v>0.1</v>
      </c>
      <c r="L135" s="42">
        <f t="shared" si="15"/>
        <v>469869.29000000004</v>
      </c>
      <c r="M135" s="42">
        <f t="shared" si="16"/>
        <v>188415.43976812784</v>
      </c>
      <c r="N135" s="42">
        <f t="shared" si="12"/>
        <v>281453.85023187217</v>
      </c>
      <c r="O135" s="50">
        <v>0.2</v>
      </c>
      <c r="P135" s="43">
        <f t="shared" si="17"/>
        <v>225163.08018549776</v>
      </c>
    </row>
    <row r="136" spans="2:16" x14ac:dyDescent="0.25">
      <c r="B136" s="38">
        <v>133</v>
      </c>
      <c r="C136" s="60" t="s">
        <v>32</v>
      </c>
      <c r="D136" s="53">
        <v>42101</v>
      </c>
      <c r="E136" s="39">
        <v>44405</v>
      </c>
      <c r="F136" s="58">
        <f t="shared" si="13"/>
        <v>6.3123287671232875</v>
      </c>
      <c r="G136" s="38">
        <v>15</v>
      </c>
      <c r="H136" s="40">
        <f t="shared" si="14"/>
        <v>6.3333333333333325E-2</v>
      </c>
      <c r="I136" s="61">
        <v>15497.25</v>
      </c>
      <c r="J136" s="94"/>
      <c r="K136" s="41">
        <v>0.1</v>
      </c>
      <c r="L136" s="42">
        <f t="shared" si="15"/>
        <v>17046.975000000002</v>
      </c>
      <c r="M136" s="42">
        <f t="shared" si="16"/>
        <v>6815.0536767123285</v>
      </c>
      <c r="N136" s="42">
        <f t="shared" si="12"/>
        <v>10231.921323287674</v>
      </c>
      <c r="O136" s="50">
        <v>0.2</v>
      </c>
      <c r="P136" s="43">
        <f t="shared" si="17"/>
        <v>8185.5370586301397</v>
      </c>
    </row>
    <row r="137" spans="2:16" x14ac:dyDescent="0.25">
      <c r="B137" s="38">
        <v>134</v>
      </c>
      <c r="C137" s="60" t="s">
        <v>32</v>
      </c>
      <c r="D137" s="53">
        <v>42331</v>
      </c>
      <c r="E137" s="39">
        <v>44405</v>
      </c>
      <c r="F137" s="58">
        <f t="shared" si="13"/>
        <v>5.6821917808219178</v>
      </c>
      <c r="G137" s="38">
        <v>15</v>
      </c>
      <c r="H137" s="40">
        <f t="shared" si="14"/>
        <v>6.3333333333333325E-2</v>
      </c>
      <c r="I137" s="61">
        <v>880000</v>
      </c>
      <c r="J137" s="94"/>
      <c r="K137" s="41">
        <v>0.1</v>
      </c>
      <c r="L137" s="42">
        <f t="shared" si="15"/>
        <v>968000.00000000012</v>
      </c>
      <c r="M137" s="42">
        <f t="shared" si="16"/>
        <v>348356.23744292237</v>
      </c>
      <c r="N137" s="42">
        <f t="shared" si="12"/>
        <v>619643.76255707769</v>
      </c>
      <c r="O137" s="50">
        <v>0.2</v>
      </c>
      <c r="P137" s="43">
        <f t="shared" si="17"/>
        <v>495715.01004566217</v>
      </c>
    </row>
    <row r="138" spans="2:16" x14ac:dyDescent="0.25">
      <c r="B138" s="38">
        <v>135</v>
      </c>
      <c r="C138" s="60" t="s">
        <v>32</v>
      </c>
      <c r="D138" s="53">
        <v>42346</v>
      </c>
      <c r="E138" s="39">
        <v>44405</v>
      </c>
      <c r="F138" s="58">
        <f t="shared" si="13"/>
        <v>5.6410958904109592</v>
      </c>
      <c r="G138" s="38">
        <v>15</v>
      </c>
      <c r="H138" s="40">
        <f t="shared" si="14"/>
        <v>6.3333333333333325E-2</v>
      </c>
      <c r="I138" s="61">
        <v>362800</v>
      </c>
      <c r="J138" s="94"/>
      <c r="K138" s="41">
        <v>0.1</v>
      </c>
      <c r="L138" s="42">
        <f t="shared" si="15"/>
        <v>399080.00000000006</v>
      </c>
      <c r="M138" s="42">
        <f t="shared" si="16"/>
        <v>142579.07470319635</v>
      </c>
      <c r="N138" s="42">
        <f t="shared" ref="N138:N201" si="18">IF(L138-M138&lt;=0,5%*L138,L138-M138)</f>
        <v>256500.9252968037</v>
      </c>
      <c r="O138" s="50">
        <v>0.2</v>
      </c>
      <c r="P138" s="43">
        <f t="shared" si="17"/>
        <v>205200.74023744298</v>
      </c>
    </row>
    <row r="139" spans="2:16" x14ac:dyDescent="0.25">
      <c r="B139" s="38">
        <v>136</v>
      </c>
      <c r="C139" s="60" t="s">
        <v>32</v>
      </c>
      <c r="D139" s="53">
        <v>42359</v>
      </c>
      <c r="E139" s="39">
        <v>44405</v>
      </c>
      <c r="F139" s="58">
        <f t="shared" si="13"/>
        <v>5.6054794520547944</v>
      </c>
      <c r="G139" s="38">
        <v>15</v>
      </c>
      <c r="H139" s="40">
        <f t="shared" si="14"/>
        <v>6.3333333333333325E-2</v>
      </c>
      <c r="I139" s="61">
        <v>137900</v>
      </c>
      <c r="J139" s="94"/>
      <c r="K139" s="41">
        <v>0.1</v>
      </c>
      <c r="L139" s="42">
        <f t="shared" si="15"/>
        <v>151690</v>
      </c>
      <c r="M139" s="42">
        <f t="shared" si="16"/>
        <v>53852.027945205475</v>
      </c>
      <c r="N139" s="42">
        <f t="shared" si="18"/>
        <v>97837.972054794518</v>
      </c>
      <c r="O139" s="50">
        <v>0.2</v>
      </c>
      <c r="P139" s="43">
        <f t="shared" si="17"/>
        <v>78270.377643835614</v>
      </c>
    </row>
    <row r="140" spans="2:16" x14ac:dyDescent="0.25">
      <c r="B140" s="38">
        <v>137</v>
      </c>
      <c r="C140" s="60" t="s">
        <v>32</v>
      </c>
      <c r="D140" s="53">
        <v>42613</v>
      </c>
      <c r="E140" s="39">
        <v>44405</v>
      </c>
      <c r="F140" s="58">
        <f t="shared" si="13"/>
        <v>4.9095890410958907</v>
      </c>
      <c r="G140" s="38">
        <v>15</v>
      </c>
      <c r="H140" s="40">
        <f t="shared" si="14"/>
        <v>6.3333333333333325E-2</v>
      </c>
      <c r="I140" s="54">
        <v>45472.88</v>
      </c>
      <c r="J140" s="61">
        <v>15713</v>
      </c>
      <c r="K140" s="41">
        <v>0.04</v>
      </c>
      <c r="L140" s="42">
        <f t="shared" si="15"/>
        <v>47291.7952</v>
      </c>
      <c r="M140" s="42">
        <f t="shared" si="16"/>
        <v>14704.941031685843</v>
      </c>
      <c r="N140" s="42">
        <f t="shared" si="18"/>
        <v>32586.854168314159</v>
      </c>
      <c r="O140" s="50">
        <v>0.2</v>
      </c>
      <c r="P140" s="43">
        <f t="shared" si="17"/>
        <v>26069.48333465133</v>
      </c>
    </row>
    <row r="141" spans="2:16" x14ac:dyDescent="0.25">
      <c r="B141" s="38">
        <v>138</v>
      </c>
      <c r="C141" s="60" t="s">
        <v>32</v>
      </c>
      <c r="D141" s="53">
        <v>42613</v>
      </c>
      <c r="E141" s="39">
        <v>44405</v>
      </c>
      <c r="F141" s="58">
        <f t="shared" si="13"/>
        <v>4.9095890410958907</v>
      </c>
      <c r="G141" s="38">
        <v>15</v>
      </c>
      <c r="H141" s="40">
        <f t="shared" si="14"/>
        <v>6.3333333333333325E-2</v>
      </c>
      <c r="I141" s="54">
        <v>24000</v>
      </c>
      <c r="J141" s="61">
        <v>8293</v>
      </c>
      <c r="K141" s="41">
        <v>0.04</v>
      </c>
      <c r="L141" s="42">
        <f t="shared" si="15"/>
        <v>24960</v>
      </c>
      <c r="M141" s="42">
        <f t="shared" si="16"/>
        <v>7761.0783561643821</v>
      </c>
      <c r="N141" s="42">
        <f t="shared" si="18"/>
        <v>17198.921643835616</v>
      </c>
      <c r="O141" s="50">
        <v>0.2</v>
      </c>
      <c r="P141" s="43">
        <f t="shared" si="17"/>
        <v>13759.137315068494</v>
      </c>
    </row>
    <row r="142" spans="2:16" x14ac:dyDescent="0.25">
      <c r="B142" s="38">
        <v>139</v>
      </c>
      <c r="C142" s="62" t="s">
        <v>32</v>
      </c>
      <c r="D142" s="53">
        <v>43054</v>
      </c>
      <c r="E142" s="39">
        <v>44405</v>
      </c>
      <c r="F142" s="58">
        <f t="shared" si="13"/>
        <v>3.7013698630136984</v>
      </c>
      <c r="G142" s="38">
        <v>15</v>
      </c>
      <c r="H142" s="40">
        <f t="shared" si="14"/>
        <v>6.3333333333333325E-2</v>
      </c>
      <c r="I142" s="54">
        <v>675000</v>
      </c>
      <c r="J142" s="61">
        <v>372135.87369863014</v>
      </c>
      <c r="K142" s="41">
        <v>0.1</v>
      </c>
      <c r="L142" s="42">
        <f t="shared" si="15"/>
        <v>742500.00000000012</v>
      </c>
      <c r="M142" s="42">
        <f t="shared" si="16"/>
        <v>174056.91780821915</v>
      </c>
      <c r="N142" s="42">
        <f t="shared" si="18"/>
        <v>568443.08219178091</v>
      </c>
      <c r="O142" s="50">
        <v>0.2</v>
      </c>
      <c r="P142" s="43">
        <f t="shared" si="17"/>
        <v>454754.46575342474</v>
      </c>
    </row>
    <row r="143" spans="2:16" x14ac:dyDescent="0.25">
      <c r="B143" s="38">
        <v>140</v>
      </c>
      <c r="C143" s="62" t="s">
        <v>32</v>
      </c>
      <c r="D143" s="53">
        <v>42947</v>
      </c>
      <c r="E143" s="39">
        <v>44405</v>
      </c>
      <c r="F143" s="58">
        <f t="shared" si="13"/>
        <v>3.9945205479452053</v>
      </c>
      <c r="G143" s="38">
        <v>15</v>
      </c>
      <c r="H143" s="40">
        <f t="shared" si="14"/>
        <v>6.3333333333333325E-2</v>
      </c>
      <c r="I143" s="54">
        <v>53000</v>
      </c>
      <c r="J143" s="61">
        <v>31261</v>
      </c>
      <c r="K143" s="41">
        <v>0.1</v>
      </c>
      <c r="L143" s="42">
        <f t="shared" si="15"/>
        <v>58300.000000000007</v>
      </c>
      <c r="M143" s="42">
        <f t="shared" si="16"/>
        <v>14749.101369863012</v>
      </c>
      <c r="N143" s="42">
        <f t="shared" si="18"/>
        <v>43550.898630136995</v>
      </c>
      <c r="O143" s="50">
        <v>0.2</v>
      </c>
      <c r="P143" s="43">
        <f t="shared" si="17"/>
        <v>34840.718904109599</v>
      </c>
    </row>
    <row r="144" spans="2:16" x14ac:dyDescent="0.25">
      <c r="B144" s="38">
        <v>141</v>
      </c>
      <c r="C144" s="60" t="s">
        <v>33</v>
      </c>
      <c r="D144" s="53">
        <v>41547</v>
      </c>
      <c r="E144" s="39">
        <v>44405</v>
      </c>
      <c r="F144" s="58">
        <f t="shared" si="13"/>
        <v>7.8301369863013699</v>
      </c>
      <c r="G144" s="38">
        <v>10</v>
      </c>
      <c r="H144" s="40">
        <f t="shared" si="14"/>
        <v>9.5000000000000001E-2</v>
      </c>
      <c r="I144" s="61">
        <v>210060.24</v>
      </c>
      <c r="J144" s="94">
        <v>54793</v>
      </c>
      <c r="K144" s="41">
        <v>0.1</v>
      </c>
      <c r="L144" s="42">
        <f t="shared" si="15"/>
        <v>231066.264</v>
      </c>
      <c r="M144" s="42">
        <f t="shared" si="16"/>
        <v>171881.6475031233</v>
      </c>
      <c r="N144" s="42">
        <f t="shared" si="18"/>
        <v>59184.616496876697</v>
      </c>
      <c r="O144" s="50">
        <v>0.2</v>
      </c>
      <c r="P144" s="43">
        <f t="shared" si="17"/>
        <v>47347.693197501358</v>
      </c>
    </row>
    <row r="145" spans="2:16" x14ac:dyDescent="0.25">
      <c r="B145" s="38">
        <v>142</v>
      </c>
      <c r="C145" s="60" t="s">
        <v>33</v>
      </c>
      <c r="D145" s="53">
        <v>41841</v>
      </c>
      <c r="E145" s="39">
        <v>44405</v>
      </c>
      <c r="F145" s="58">
        <f t="shared" si="13"/>
        <v>7.0246575342465754</v>
      </c>
      <c r="G145" s="38">
        <v>10</v>
      </c>
      <c r="H145" s="40">
        <f t="shared" si="14"/>
        <v>9.5000000000000001E-2</v>
      </c>
      <c r="I145" s="54">
        <v>540000</v>
      </c>
      <c r="J145" s="94"/>
      <c r="K145" s="41">
        <v>7.0000000000000007E-2</v>
      </c>
      <c r="L145" s="42">
        <f t="shared" si="15"/>
        <v>577800</v>
      </c>
      <c r="M145" s="42">
        <f t="shared" si="16"/>
        <v>385590.47671232879</v>
      </c>
      <c r="N145" s="42">
        <f t="shared" si="18"/>
        <v>192209.52328767121</v>
      </c>
      <c r="O145" s="50">
        <v>0.2</v>
      </c>
      <c r="P145" s="43">
        <f t="shared" si="17"/>
        <v>153767.61863013697</v>
      </c>
    </row>
    <row r="146" spans="2:16" x14ac:dyDescent="0.25">
      <c r="B146" s="38">
        <v>143</v>
      </c>
      <c r="C146" s="60" t="s">
        <v>34</v>
      </c>
      <c r="D146" s="53">
        <v>41547</v>
      </c>
      <c r="E146" s="39">
        <v>44405</v>
      </c>
      <c r="F146" s="58">
        <f t="shared" si="13"/>
        <v>7.8301369863013699</v>
      </c>
      <c r="G146" s="38">
        <v>10</v>
      </c>
      <c r="H146" s="40">
        <f t="shared" si="14"/>
        <v>9.5000000000000001E-2</v>
      </c>
      <c r="I146" s="61">
        <v>256794.18</v>
      </c>
      <c r="J146" s="94">
        <v>45673</v>
      </c>
      <c r="K146" s="41">
        <v>0.04</v>
      </c>
      <c r="L146" s="42">
        <f t="shared" si="15"/>
        <v>267065.9472</v>
      </c>
      <c r="M146" s="42">
        <f t="shared" si="16"/>
        <v>198660.48034047123</v>
      </c>
      <c r="N146" s="42">
        <f t="shared" si="18"/>
        <v>68405.466859528766</v>
      </c>
      <c r="O146" s="50">
        <v>0.2</v>
      </c>
      <c r="P146" s="43">
        <f t="shared" si="17"/>
        <v>54724.373487623016</v>
      </c>
    </row>
    <row r="147" spans="2:16" x14ac:dyDescent="0.25">
      <c r="B147" s="38">
        <v>144</v>
      </c>
      <c r="C147" s="60" t="s">
        <v>34</v>
      </c>
      <c r="D147" s="53">
        <v>41685</v>
      </c>
      <c r="E147" s="39">
        <v>44405</v>
      </c>
      <c r="F147" s="58">
        <f t="shared" si="13"/>
        <v>7.4520547945205475</v>
      </c>
      <c r="G147" s="38">
        <v>10</v>
      </c>
      <c r="H147" s="40">
        <f t="shared" si="14"/>
        <v>9.5000000000000001E-2</v>
      </c>
      <c r="I147" s="61">
        <v>13653</v>
      </c>
      <c r="J147" s="94"/>
      <c r="K147" s="41">
        <v>0</v>
      </c>
      <c r="L147" s="42">
        <f t="shared" si="15"/>
        <v>13653</v>
      </c>
      <c r="M147" s="42">
        <f t="shared" si="16"/>
        <v>9665.5758904109589</v>
      </c>
      <c r="N147" s="42">
        <f t="shared" si="18"/>
        <v>3987.4241095890411</v>
      </c>
      <c r="O147" s="50">
        <v>0.2</v>
      </c>
      <c r="P147" s="43">
        <f t="shared" si="17"/>
        <v>3189.9392876712332</v>
      </c>
    </row>
    <row r="148" spans="2:16" x14ac:dyDescent="0.25">
      <c r="B148" s="38">
        <v>145</v>
      </c>
      <c r="C148" s="60" t="s">
        <v>34</v>
      </c>
      <c r="D148" s="53">
        <v>41912</v>
      </c>
      <c r="E148" s="39">
        <v>44405</v>
      </c>
      <c r="F148" s="58">
        <f t="shared" si="13"/>
        <v>6.8301369863013699</v>
      </c>
      <c r="G148" s="38">
        <v>8</v>
      </c>
      <c r="H148" s="40">
        <f t="shared" si="14"/>
        <v>0.11874999999999999</v>
      </c>
      <c r="I148" s="54">
        <v>343497</v>
      </c>
      <c r="J148" s="94"/>
      <c r="K148" s="41">
        <v>0</v>
      </c>
      <c r="L148" s="42">
        <f t="shared" si="15"/>
        <v>343497</v>
      </c>
      <c r="M148" s="42">
        <f t="shared" si="16"/>
        <v>278603.12327054795</v>
      </c>
      <c r="N148" s="42">
        <f t="shared" si="18"/>
        <v>64893.876729452051</v>
      </c>
      <c r="O148" s="50">
        <v>0.2</v>
      </c>
      <c r="P148" s="43">
        <f t="shared" si="17"/>
        <v>51915.101383561647</v>
      </c>
    </row>
    <row r="149" spans="2:16" x14ac:dyDescent="0.25">
      <c r="B149" s="38">
        <v>146</v>
      </c>
      <c r="C149" s="60" t="s">
        <v>35</v>
      </c>
      <c r="D149" s="53">
        <v>41547</v>
      </c>
      <c r="E149" s="39">
        <v>44405</v>
      </c>
      <c r="F149" s="58">
        <f t="shared" si="13"/>
        <v>7.8301369863013699</v>
      </c>
      <c r="G149" s="38">
        <v>6</v>
      </c>
      <c r="H149" s="40">
        <f t="shared" si="14"/>
        <v>0.15833333333333333</v>
      </c>
      <c r="I149" s="61">
        <v>1244113.6200000001</v>
      </c>
      <c r="J149" s="94">
        <v>230048</v>
      </c>
      <c r="K149" s="41">
        <v>0.18</v>
      </c>
      <c r="L149" s="42">
        <f t="shared" si="15"/>
        <v>1468054.0716000001</v>
      </c>
      <c r="M149" s="42">
        <f t="shared" si="16"/>
        <v>1820051.8766215343</v>
      </c>
      <c r="N149" s="42">
        <f t="shared" si="18"/>
        <v>73402.703580000016</v>
      </c>
      <c r="O149" s="50">
        <v>0.2</v>
      </c>
      <c r="P149" s="43">
        <f t="shared" si="17"/>
        <v>58722.162864000013</v>
      </c>
    </row>
    <row r="150" spans="2:16" x14ac:dyDescent="0.25">
      <c r="B150" s="38">
        <v>147</v>
      </c>
      <c r="C150" s="60" t="s">
        <v>35</v>
      </c>
      <c r="D150" s="53">
        <v>41640</v>
      </c>
      <c r="E150" s="39">
        <v>44405</v>
      </c>
      <c r="F150" s="58">
        <f t="shared" si="13"/>
        <v>7.5753424657534243</v>
      </c>
      <c r="G150" s="38">
        <v>6</v>
      </c>
      <c r="H150" s="40">
        <f t="shared" si="14"/>
        <v>0.15833333333333333</v>
      </c>
      <c r="I150" s="61">
        <v>166583.35</v>
      </c>
      <c r="J150" s="94"/>
      <c r="K150" s="41">
        <v>0.08</v>
      </c>
      <c r="L150" s="42">
        <f t="shared" si="15"/>
        <v>179910.01800000001</v>
      </c>
      <c r="M150" s="42">
        <f t="shared" si="16"/>
        <v>215789.33323356163</v>
      </c>
      <c r="N150" s="42">
        <f t="shared" si="18"/>
        <v>8995.5009000000009</v>
      </c>
      <c r="O150" s="50">
        <v>0.2</v>
      </c>
      <c r="P150" s="43">
        <f t="shared" si="17"/>
        <v>7196.4007200000015</v>
      </c>
    </row>
    <row r="151" spans="2:16" x14ac:dyDescent="0.25">
      <c r="B151" s="38">
        <v>148</v>
      </c>
      <c r="C151" s="60" t="s">
        <v>35</v>
      </c>
      <c r="D151" s="53">
        <v>41670</v>
      </c>
      <c r="E151" s="39">
        <v>44405</v>
      </c>
      <c r="F151" s="58">
        <f t="shared" si="13"/>
        <v>7.493150684931507</v>
      </c>
      <c r="G151" s="38">
        <v>6</v>
      </c>
      <c r="H151" s="40">
        <f t="shared" si="14"/>
        <v>0.15833333333333333</v>
      </c>
      <c r="I151" s="61">
        <v>150833.46</v>
      </c>
      <c r="J151" s="94"/>
      <c r="K151" s="41">
        <v>0.08</v>
      </c>
      <c r="L151" s="42">
        <f t="shared" si="15"/>
        <v>162900.13680000001</v>
      </c>
      <c r="M151" s="42">
        <f t="shared" si="16"/>
        <v>193267.25134273974</v>
      </c>
      <c r="N151" s="42">
        <f t="shared" si="18"/>
        <v>8145.0068400000009</v>
      </c>
      <c r="O151" s="50">
        <v>0.2</v>
      </c>
      <c r="P151" s="43">
        <f t="shared" si="17"/>
        <v>6516.0054720000007</v>
      </c>
    </row>
    <row r="152" spans="2:16" x14ac:dyDescent="0.25">
      <c r="B152" s="38">
        <v>149</v>
      </c>
      <c r="C152" s="60" t="s">
        <v>35</v>
      </c>
      <c r="D152" s="53">
        <v>42149</v>
      </c>
      <c r="E152" s="39">
        <v>44405</v>
      </c>
      <c r="F152" s="58">
        <f t="shared" si="13"/>
        <v>6.1808219178082195</v>
      </c>
      <c r="G152" s="38">
        <v>6</v>
      </c>
      <c r="H152" s="40">
        <f t="shared" si="14"/>
        <v>0.15833333333333333</v>
      </c>
      <c r="I152" s="61">
        <v>22857</v>
      </c>
      <c r="J152" s="61">
        <v>5368.9967572380538</v>
      </c>
      <c r="K152" s="41">
        <v>0</v>
      </c>
      <c r="L152" s="42">
        <f t="shared" si="15"/>
        <v>22857</v>
      </c>
      <c r="M152" s="42">
        <f t="shared" si="16"/>
        <v>22368.549041095892</v>
      </c>
      <c r="N152" s="42">
        <f t="shared" si="18"/>
        <v>488.45095890410812</v>
      </c>
      <c r="O152" s="50">
        <v>0.2</v>
      </c>
      <c r="P152" s="43">
        <f t="shared" si="17"/>
        <v>390.76076712328654</v>
      </c>
    </row>
    <row r="153" spans="2:16" x14ac:dyDescent="0.25">
      <c r="B153" s="38">
        <v>150</v>
      </c>
      <c r="C153" s="60" t="s">
        <v>35</v>
      </c>
      <c r="D153" s="53">
        <v>42223</v>
      </c>
      <c r="E153" s="39">
        <v>44405</v>
      </c>
      <c r="F153" s="58">
        <f t="shared" si="13"/>
        <v>5.978082191780822</v>
      </c>
      <c r="G153" s="38">
        <v>6</v>
      </c>
      <c r="H153" s="40">
        <f t="shared" si="14"/>
        <v>0.15833333333333333</v>
      </c>
      <c r="I153" s="61">
        <v>240000</v>
      </c>
      <c r="J153" s="61">
        <v>60174.869076801304</v>
      </c>
      <c r="K153" s="41">
        <v>0</v>
      </c>
      <c r="L153" s="42">
        <f t="shared" si="15"/>
        <v>240000</v>
      </c>
      <c r="M153" s="42">
        <f t="shared" si="16"/>
        <v>227167.12328767122</v>
      </c>
      <c r="N153" s="42">
        <f t="shared" si="18"/>
        <v>12832.876712328783</v>
      </c>
      <c r="O153" s="50">
        <v>0.2</v>
      </c>
      <c r="P153" s="43">
        <f t="shared" si="17"/>
        <v>10266.301369863028</v>
      </c>
    </row>
    <row r="154" spans="2:16" x14ac:dyDescent="0.25">
      <c r="B154" s="38">
        <v>151</v>
      </c>
      <c r="C154" s="60" t="s">
        <v>35</v>
      </c>
      <c r="D154" s="53">
        <v>42825</v>
      </c>
      <c r="E154" s="39">
        <v>44405</v>
      </c>
      <c r="F154" s="58">
        <f t="shared" si="13"/>
        <v>4.3287671232876717</v>
      </c>
      <c r="G154" s="38">
        <v>6</v>
      </c>
      <c r="H154" s="40">
        <f t="shared" si="14"/>
        <v>0.15833333333333333</v>
      </c>
      <c r="I154" s="54">
        <f>43000+575000</f>
        <v>618000</v>
      </c>
      <c r="J154" s="61">
        <v>251368</v>
      </c>
      <c r="K154" s="41">
        <v>0.04</v>
      </c>
      <c r="L154" s="42">
        <f t="shared" si="15"/>
        <v>642720</v>
      </c>
      <c r="M154" s="42">
        <f t="shared" si="16"/>
        <v>440512.65753424662</v>
      </c>
      <c r="N154" s="42">
        <f t="shared" si="18"/>
        <v>202207.34246575338</v>
      </c>
      <c r="O154" s="50">
        <v>0.2</v>
      </c>
      <c r="P154" s="43">
        <f t="shared" si="17"/>
        <v>161765.87397260271</v>
      </c>
    </row>
    <row r="155" spans="2:16" x14ac:dyDescent="0.25">
      <c r="B155" s="38">
        <v>152</v>
      </c>
      <c r="C155" s="60" t="s">
        <v>36</v>
      </c>
      <c r="D155" s="53">
        <v>41547</v>
      </c>
      <c r="E155" s="39">
        <v>44405</v>
      </c>
      <c r="F155" s="58">
        <f t="shared" si="13"/>
        <v>7.8301369863013699</v>
      </c>
      <c r="G155" s="38">
        <v>8</v>
      </c>
      <c r="H155" s="40">
        <f t="shared" si="14"/>
        <v>0.11874999999999999</v>
      </c>
      <c r="I155" s="61">
        <v>191994.25</v>
      </c>
      <c r="J155" s="94">
        <v>29053</v>
      </c>
      <c r="K155" s="41">
        <v>0.14000000000000001</v>
      </c>
      <c r="L155" s="42">
        <f t="shared" si="15"/>
        <v>218873.44500000004</v>
      </c>
      <c r="M155" s="42">
        <f t="shared" si="16"/>
        <v>203514.82552037673</v>
      </c>
      <c r="N155" s="42">
        <f t="shared" si="18"/>
        <v>15358.619479623303</v>
      </c>
      <c r="O155" s="50">
        <v>0.2</v>
      </c>
      <c r="P155" s="43">
        <f t="shared" si="17"/>
        <v>12286.895583698642</v>
      </c>
    </row>
    <row r="156" spans="2:16" x14ac:dyDescent="0.25">
      <c r="B156" s="38">
        <v>153</v>
      </c>
      <c r="C156" s="60" t="s">
        <v>36</v>
      </c>
      <c r="D156" s="53">
        <v>41729</v>
      </c>
      <c r="E156" s="39">
        <v>44405</v>
      </c>
      <c r="F156" s="58">
        <f t="shared" si="13"/>
        <v>7.3315068493150681</v>
      </c>
      <c r="G156" s="38">
        <v>8</v>
      </c>
      <c r="H156" s="40">
        <f t="shared" si="14"/>
        <v>0.11874999999999999</v>
      </c>
      <c r="I156" s="61">
        <v>7718</v>
      </c>
      <c r="J156" s="94"/>
      <c r="K156" s="41">
        <v>0.1</v>
      </c>
      <c r="L156" s="42">
        <f t="shared" si="15"/>
        <v>8489.8000000000011</v>
      </c>
      <c r="M156" s="42">
        <f t="shared" si="16"/>
        <v>7391.3594383561649</v>
      </c>
      <c r="N156" s="42">
        <f t="shared" si="18"/>
        <v>1098.4405616438362</v>
      </c>
      <c r="O156" s="50">
        <v>0.2</v>
      </c>
      <c r="P156" s="43">
        <f t="shared" si="17"/>
        <v>878.75244931506904</v>
      </c>
    </row>
    <row r="157" spans="2:16" x14ac:dyDescent="0.25">
      <c r="B157" s="38">
        <v>154</v>
      </c>
      <c r="C157" s="60" t="s">
        <v>36</v>
      </c>
      <c r="D157" s="53">
        <v>41820</v>
      </c>
      <c r="E157" s="39">
        <v>44405</v>
      </c>
      <c r="F157" s="58">
        <f t="shared" si="13"/>
        <v>7.0821917808219181</v>
      </c>
      <c r="G157" s="38">
        <v>8</v>
      </c>
      <c r="H157" s="40">
        <f t="shared" si="14"/>
        <v>0.11874999999999999</v>
      </c>
      <c r="I157" s="54">
        <v>17619</v>
      </c>
      <c r="J157" s="94"/>
      <c r="K157" s="41">
        <v>0.1</v>
      </c>
      <c r="L157" s="42">
        <f t="shared" si="15"/>
        <v>19380.900000000001</v>
      </c>
      <c r="M157" s="42">
        <f t="shared" si="16"/>
        <v>16299.536018835617</v>
      </c>
      <c r="N157" s="42">
        <f t="shared" si="18"/>
        <v>3081.3639811643843</v>
      </c>
      <c r="O157" s="50">
        <v>0.2</v>
      </c>
      <c r="P157" s="43">
        <f t="shared" si="17"/>
        <v>2465.0911849315075</v>
      </c>
    </row>
    <row r="158" spans="2:16" x14ac:dyDescent="0.25">
      <c r="B158" s="38">
        <v>155</v>
      </c>
      <c r="C158" s="60" t="s">
        <v>36</v>
      </c>
      <c r="D158" s="53">
        <v>41902</v>
      </c>
      <c r="E158" s="39">
        <v>44405</v>
      </c>
      <c r="F158" s="58">
        <f t="shared" si="13"/>
        <v>6.8575342465753426</v>
      </c>
      <c r="G158" s="38">
        <v>8</v>
      </c>
      <c r="H158" s="40">
        <f t="shared" si="14"/>
        <v>0.11874999999999999</v>
      </c>
      <c r="I158" s="54">
        <v>10800</v>
      </c>
      <c r="J158" s="94"/>
      <c r="K158" s="41">
        <v>0.1</v>
      </c>
      <c r="L158" s="42">
        <f t="shared" si="15"/>
        <v>11880.000000000002</v>
      </c>
      <c r="M158" s="42">
        <f t="shared" si="16"/>
        <v>9674.266438356166</v>
      </c>
      <c r="N158" s="42">
        <f t="shared" si="18"/>
        <v>2205.7335616438359</v>
      </c>
      <c r="O158" s="50">
        <v>0.2</v>
      </c>
      <c r="P158" s="43">
        <f t="shared" si="17"/>
        <v>1764.5868493150688</v>
      </c>
    </row>
    <row r="159" spans="2:16" x14ac:dyDescent="0.25">
      <c r="B159" s="38">
        <v>156</v>
      </c>
      <c r="C159" s="60" t="s">
        <v>36</v>
      </c>
      <c r="D159" s="53">
        <v>41936</v>
      </c>
      <c r="E159" s="39">
        <v>44405</v>
      </c>
      <c r="F159" s="58">
        <f t="shared" si="13"/>
        <v>6.7643835616438359</v>
      </c>
      <c r="G159" s="38">
        <v>8</v>
      </c>
      <c r="H159" s="40">
        <f t="shared" si="14"/>
        <v>0.11874999999999999</v>
      </c>
      <c r="I159" s="54">
        <v>11584</v>
      </c>
      <c r="J159" s="94"/>
      <c r="K159" s="41">
        <v>0.1</v>
      </c>
      <c r="L159" s="42">
        <f t="shared" si="15"/>
        <v>12742.400000000001</v>
      </c>
      <c r="M159" s="42">
        <f t="shared" si="16"/>
        <v>10235.594630136988</v>
      </c>
      <c r="N159" s="42">
        <f t="shared" si="18"/>
        <v>2506.8053698630138</v>
      </c>
      <c r="O159" s="50">
        <v>0.2</v>
      </c>
      <c r="P159" s="43">
        <f t="shared" si="17"/>
        <v>2005.444295890411</v>
      </c>
    </row>
    <row r="160" spans="2:16" x14ac:dyDescent="0.25">
      <c r="B160" s="38">
        <v>157</v>
      </c>
      <c r="C160" s="62" t="s">
        <v>36</v>
      </c>
      <c r="D160" s="53">
        <v>42203</v>
      </c>
      <c r="E160" s="39">
        <v>44405</v>
      </c>
      <c r="F160" s="58">
        <f t="shared" si="13"/>
        <v>6.0328767123287674</v>
      </c>
      <c r="G160" s="38">
        <v>8</v>
      </c>
      <c r="H160" s="40">
        <f t="shared" si="14"/>
        <v>0.11874999999999999</v>
      </c>
      <c r="I160" s="61">
        <v>17500</v>
      </c>
      <c r="J160" s="94"/>
      <c r="K160" s="41">
        <v>0.06</v>
      </c>
      <c r="L160" s="42">
        <f t="shared" si="15"/>
        <v>18550</v>
      </c>
      <c r="M160" s="42">
        <f t="shared" si="16"/>
        <v>13289.296232876712</v>
      </c>
      <c r="N160" s="42">
        <f t="shared" si="18"/>
        <v>5260.7037671232883</v>
      </c>
      <c r="O160" s="50">
        <v>0.2</v>
      </c>
      <c r="P160" s="43">
        <f t="shared" si="17"/>
        <v>4208.563013698631</v>
      </c>
    </row>
    <row r="161" spans="2:16" x14ac:dyDescent="0.25">
      <c r="B161" s="38">
        <v>158</v>
      </c>
      <c r="C161" s="62" t="s">
        <v>36</v>
      </c>
      <c r="D161" s="53">
        <v>42210</v>
      </c>
      <c r="E161" s="39">
        <v>44405</v>
      </c>
      <c r="F161" s="58">
        <f t="shared" si="13"/>
        <v>6.0136986301369859</v>
      </c>
      <c r="G161" s="38">
        <v>8</v>
      </c>
      <c r="H161" s="40">
        <f t="shared" si="14"/>
        <v>0.11874999999999999</v>
      </c>
      <c r="I161" s="61">
        <v>5936</v>
      </c>
      <c r="J161" s="94"/>
      <c r="K161" s="41">
        <v>0.06</v>
      </c>
      <c r="L161" s="42">
        <f t="shared" si="15"/>
        <v>6292.1600000000008</v>
      </c>
      <c r="M161" s="42">
        <f t="shared" si="16"/>
        <v>4493.3995342465751</v>
      </c>
      <c r="N161" s="42">
        <f t="shared" si="18"/>
        <v>1798.7604657534257</v>
      </c>
      <c r="O161" s="50">
        <v>0.2</v>
      </c>
      <c r="P161" s="43">
        <f t="shared" si="17"/>
        <v>1439.0083726027406</v>
      </c>
    </row>
    <row r="162" spans="2:16" x14ac:dyDescent="0.25">
      <c r="B162" s="38">
        <v>159</v>
      </c>
      <c r="C162" s="62" t="s">
        <v>36</v>
      </c>
      <c r="D162" s="53">
        <v>42256</v>
      </c>
      <c r="E162" s="39">
        <v>44405</v>
      </c>
      <c r="F162" s="58">
        <f t="shared" si="13"/>
        <v>5.8876712328767127</v>
      </c>
      <c r="G162" s="38">
        <v>8</v>
      </c>
      <c r="H162" s="40">
        <f t="shared" si="14"/>
        <v>0.11874999999999999</v>
      </c>
      <c r="I162" s="61">
        <v>15544</v>
      </c>
      <c r="J162" s="94"/>
      <c r="K162" s="41">
        <v>0.06</v>
      </c>
      <c r="L162" s="42">
        <f t="shared" si="15"/>
        <v>16476.64</v>
      </c>
      <c r="M162" s="42">
        <f t="shared" si="16"/>
        <v>11519.823421917807</v>
      </c>
      <c r="N162" s="42">
        <f t="shared" si="18"/>
        <v>4956.8165780821928</v>
      </c>
      <c r="O162" s="50">
        <v>0.2</v>
      </c>
      <c r="P162" s="43">
        <f t="shared" si="17"/>
        <v>3965.4532624657545</v>
      </c>
    </row>
    <row r="163" spans="2:16" x14ac:dyDescent="0.25">
      <c r="B163" s="38">
        <v>160</v>
      </c>
      <c r="C163" s="62" t="s">
        <v>36</v>
      </c>
      <c r="D163" s="53">
        <v>42264</v>
      </c>
      <c r="E163" s="39">
        <v>44405</v>
      </c>
      <c r="F163" s="58">
        <f t="shared" si="13"/>
        <v>5.8657534246575347</v>
      </c>
      <c r="G163" s="38">
        <v>8</v>
      </c>
      <c r="H163" s="40">
        <f t="shared" si="14"/>
        <v>0.11874999999999999</v>
      </c>
      <c r="I163" s="61">
        <v>40332</v>
      </c>
      <c r="J163" s="94"/>
      <c r="K163" s="41">
        <v>0.06</v>
      </c>
      <c r="L163" s="42">
        <f t="shared" si="15"/>
        <v>42751.920000000006</v>
      </c>
      <c r="M163" s="42">
        <f t="shared" si="16"/>
        <v>29779.201261643841</v>
      </c>
      <c r="N163" s="42">
        <f t="shared" si="18"/>
        <v>12972.718738356165</v>
      </c>
      <c r="O163" s="50">
        <v>0.2</v>
      </c>
      <c r="P163" s="43">
        <f t="shared" si="17"/>
        <v>10378.174990684933</v>
      </c>
    </row>
    <row r="164" spans="2:16" x14ac:dyDescent="0.25">
      <c r="B164" s="38">
        <v>161</v>
      </c>
      <c r="C164" s="62" t="s">
        <v>36</v>
      </c>
      <c r="D164" s="53">
        <v>42274</v>
      </c>
      <c r="E164" s="39">
        <v>44405</v>
      </c>
      <c r="F164" s="58">
        <f t="shared" si="13"/>
        <v>5.838356164383562</v>
      </c>
      <c r="G164" s="38">
        <v>8</v>
      </c>
      <c r="H164" s="40">
        <f t="shared" si="14"/>
        <v>0.11874999999999999</v>
      </c>
      <c r="I164" s="61">
        <v>11400</v>
      </c>
      <c r="J164" s="94"/>
      <c r="K164" s="41">
        <v>0.06</v>
      </c>
      <c r="L164" s="42">
        <f t="shared" si="15"/>
        <v>12084</v>
      </c>
      <c r="M164" s="42">
        <f t="shared" si="16"/>
        <v>8377.8951369863007</v>
      </c>
      <c r="N164" s="42">
        <f t="shared" si="18"/>
        <v>3706.1048630136993</v>
      </c>
      <c r="O164" s="50">
        <v>0.2</v>
      </c>
      <c r="P164" s="43">
        <f t="shared" si="17"/>
        <v>2964.8838904109598</v>
      </c>
    </row>
    <row r="165" spans="2:16" x14ac:dyDescent="0.25">
      <c r="B165" s="38">
        <v>162</v>
      </c>
      <c r="C165" s="62" t="s">
        <v>36</v>
      </c>
      <c r="D165" s="53">
        <v>42298</v>
      </c>
      <c r="E165" s="39">
        <v>44405</v>
      </c>
      <c r="F165" s="58">
        <f t="shared" si="13"/>
        <v>5.7726027397260271</v>
      </c>
      <c r="G165" s="38">
        <v>8</v>
      </c>
      <c r="H165" s="40">
        <f t="shared" si="14"/>
        <v>0.11874999999999999</v>
      </c>
      <c r="I165" s="61">
        <v>8200</v>
      </c>
      <c r="J165" s="94"/>
      <c r="K165" s="41">
        <v>0.06</v>
      </c>
      <c r="L165" s="42">
        <f t="shared" si="15"/>
        <v>8692</v>
      </c>
      <c r="M165" s="42">
        <f t="shared" si="16"/>
        <v>5958.3362328767116</v>
      </c>
      <c r="N165" s="42">
        <f t="shared" si="18"/>
        <v>2733.6637671232884</v>
      </c>
      <c r="O165" s="50">
        <v>0.2</v>
      </c>
      <c r="P165" s="43">
        <f t="shared" si="17"/>
        <v>2186.931013698631</v>
      </c>
    </row>
    <row r="166" spans="2:16" x14ac:dyDescent="0.25">
      <c r="B166" s="38">
        <v>163</v>
      </c>
      <c r="C166" s="62" t="s">
        <v>36</v>
      </c>
      <c r="D166" s="53">
        <v>42313</v>
      </c>
      <c r="E166" s="39">
        <v>44405</v>
      </c>
      <c r="F166" s="58">
        <f t="shared" si="13"/>
        <v>5.7315068493150685</v>
      </c>
      <c r="G166" s="38">
        <v>8</v>
      </c>
      <c r="H166" s="40">
        <f t="shared" si="14"/>
        <v>0.11874999999999999</v>
      </c>
      <c r="I166" s="61">
        <v>8900</v>
      </c>
      <c r="J166" s="94"/>
      <c r="K166" s="41">
        <v>0.06</v>
      </c>
      <c r="L166" s="42">
        <f t="shared" si="15"/>
        <v>9434</v>
      </c>
      <c r="M166" s="42">
        <f t="shared" si="16"/>
        <v>6420.935479452055</v>
      </c>
      <c r="N166" s="42">
        <f t="shared" si="18"/>
        <v>3013.064520547945</v>
      </c>
      <c r="O166" s="50">
        <v>0.2</v>
      </c>
      <c r="P166" s="43">
        <f t="shared" si="17"/>
        <v>2410.4516164383563</v>
      </c>
    </row>
    <row r="167" spans="2:16" x14ac:dyDescent="0.25">
      <c r="B167" s="38">
        <v>164</v>
      </c>
      <c r="C167" s="62" t="s">
        <v>36</v>
      </c>
      <c r="D167" s="53">
        <v>42325</v>
      </c>
      <c r="E167" s="39">
        <v>44405</v>
      </c>
      <c r="F167" s="58">
        <f t="shared" si="13"/>
        <v>5.6986301369863011</v>
      </c>
      <c r="G167" s="38">
        <v>8</v>
      </c>
      <c r="H167" s="40">
        <f t="shared" si="14"/>
        <v>0.11874999999999999</v>
      </c>
      <c r="I167" s="61">
        <v>8000</v>
      </c>
      <c r="J167" s="94"/>
      <c r="K167" s="41">
        <v>0.06</v>
      </c>
      <c r="L167" s="42">
        <f t="shared" si="15"/>
        <v>8480</v>
      </c>
      <c r="M167" s="42">
        <f t="shared" si="16"/>
        <v>5738.5205479452043</v>
      </c>
      <c r="N167" s="42">
        <f t="shared" si="18"/>
        <v>2741.4794520547957</v>
      </c>
      <c r="O167" s="50">
        <v>0.2</v>
      </c>
      <c r="P167" s="43">
        <f t="shared" si="17"/>
        <v>2193.1835616438366</v>
      </c>
    </row>
    <row r="168" spans="2:16" x14ac:dyDescent="0.25">
      <c r="B168" s="38">
        <v>165</v>
      </c>
      <c r="C168" s="62" t="s">
        <v>36</v>
      </c>
      <c r="D168" s="53">
        <v>42328</v>
      </c>
      <c r="E168" s="39">
        <v>44405</v>
      </c>
      <c r="F168" s="58">
        <f t="shared" si="13"/>
        <v>5.6904109589041099</v>
      </c>
      <c r="G168" s="38">
        <v>8</v>
      </c>
      <c r="H168" s="40">
        <f t="shared" si="14"/>
        <v>0.11874999999999999</v>
      </c>
      <c r="I168" s="61">
        <v>15352</v>
      </c>
      <c r="J168" s="94"/>
      <c r="K168" s="41">
        <v>0.06</v>
      </c>
      <c r="L168" s="42">
        <f t="shared" si="15"/>
        <v>16273.12</v>
      </c>
      <c r="M168" s="42">
        <f t="shared" si="16"/>
        <v>10996.337920547947</v>
      </c>
      <c r="N168" s="42">
        <f t="shared" si="18"/>
        <v>5276.7820794520539</v>
      </c>
      <c r="O168" s="50">
        <v>0.2</v>
      </c>
      <c r="P168" s="43">
        <f t="shared" si="17"/>
        <v>4221.425663561643</v>
      </c>
    </row>
    <row r="169" spans="2:16" x14ac:dyDescent="0.25">
      <c r="B169" s="38">
        <v>166</v>
      </c>
      <c r="C169" s="60" t="s">
        <v>37</v>
      </c>
      <c r="D169" s="53">
        <v>41547</v>
      </c>
      <c r="E169" s="39">
        <v>44405</v>
      </c>
      <c r="F169" s="58">
        <f t="shared" si="13"/>
        <v>7.8301369863013699</v>
      </c>
      <c r="G169" s="38">
        <v>15</v>
      </c>
      <c r="H169" s="40">
        <f t="shared" si="14"/>
        <v>6.3333333333333325E-2</v>
      </c>
      <c r="I169" s="61">
        <v>479983.35999999999</v>
      </c>
      <c r="J169" s="94">
        <v>29477</v>
      </c>
      <c r="K169" s="41">
        <v>0.17</v>
      </c>
      <c r="L169" s="42">
        <f t="shared" si="15"/>
        <v>561580.53119999997</v>
      </c>
      <c r="M169" s="42">
        <f t="shared" si="16"/>
        <v>278492.65758193965</v>
      </c>
      <c r="N169" s="42">
        <f t="shared" si="18"/>
        <v>283087.87361806032</v>
      </c>
      <c r="O169" s="50">
        <v>0.2</v>
      </c>
      <c r="P169" s="43">
        <f t="shared" si="17"/>
        <v>226470.29889444826</v>
      </c>
    </row>
    <row r="170" spans="2:16" x14ac:dyDescent="0.25">
      <c r="B170" s="38">
        <v>167</v>
      </c>
      <c r="C170" s="60" t="s">
        <v>37</v>
      </c>
      <c r="D170" s="53">
        <v>41820</v>
      </c>
      <c r="E170" s="39">
        <v>44405</v>
      </c>
      <c r="F170" s="58">
        <f t="shared" si="13"/>
        <v>7.0821917808219181</v>
      </c>
      <c r="G170" s="38">
        <v>15</v>
      </c>
      <c r="H170" s="40">
        <f t="shared" si="14"/>
        <v>6.3333333333333325E-2</v>
      </c>
      <c r="I170" s="61">
        <v>600</v>
      </c>
      <c r="J170" s="94"/>
      <c r="K170" s="41">
        <v>0.14000000000000001</v>
      </c>
      <c r="L170" s="42">
        <f t="shared" si="15"/>
        <v>684.00000000000011</v>
      </c>
      <c r="M170" s="42">
        <f t="shared" si="16"/>
        <v>306.80054794520549</v>
      </c>
      <c r="N170" s="42">
        <f t="shared" si="18"/>
        <v>377.19945205479462</v>
      </c>
      <c r="O170" s="50">
        <v>0.2</v>
      </c>
      <c r="P170" s="43">
        <f t="shared" si="17"/>
        <v>301.7595616438357</v>
      </c>
    </row>
    <row r="171" spans="2:16" x14ac:dyDescent="0.25">
      <c r="B171" s="38">
        <v>168</v>
      </c>
      <c r="C171" s="62" t="s">
        <v>38</v>
      </c>
      <c r="D171" s="53">
        <v>42916</v>
      </c>
      <c r="E171" s="39">
        <v>44405</v>
      </c>
      <c r="F171" s="58">
        <f t="shared" si="13"/>
        <v>4.0794520547945208</v>
      </c>
      <c r="G171" s="38">
        <v>15</v>
      </c>
      <c r="H171" s="40">
        <f t="shared" si="14"/>
        <v>6.3333333333333325E-2</v>
      </c>
      <c r="I171" s="54">
        <v>155000</v>
      </c>
      <c r="J171" s="61">
        <v>46168.705382723259</v>
      </c>
      <c r="K171" s="41">
        <v>0.04</v>
      </c>
      <c r="L171" s="42">
        <f t="shared" si="15"/>
        <v>161200</v>
      </c>
      <c r="M171" s="42">
        <f t="shared" si="16"/>
        <v>41648.485844748851</v>
      </c>
      <c r="N171" s="42">
        <f t="shared" si="18"/>
        <v>119551.51415525115</v>
      </c>
      <c r="O171" s="50">
        <v>0.2</v>
      </c>
      <c r="P171" s="43">
        <f t="shared" si="17"/>
        <v>95641.211324200922</v>
      </c>
    </row>
    <row r="172" spans="2:16" x14ac:dyDescent="0.25">
      <c r="B172" s="38">
        <v>169</v>
      </c>
      <c r="C172" s="60" t="s">
        <v>39</v>
      </c>
      <c r="D172" s="53">
        <v>41547</v>
      </c>
      <c r="E172" s="39">
        <v>44405</v>
      </c>
      <c r="F172" s="58">
        <f t="shared" si="13"/>
        <v>7.8301369863013699</v>
      </c>
      <c r="G172" s="38">
        <v>15</v>
      </c>
      <c r="H172" s="40">
        <f t="shared" si="14"/>
        <v>6.3333333333333325E-2</v>
      </c>
      <c r="I172" s="61">
        <v>51684.49</v>
      </c>
      <c r="J172" s="61">
        <v>3167</v>
      </c>
      <c r="K172" s="41">
        <v>0.18</v>
      </c>
      <c r="L172" s="42">
        <f t="shared" si="15"/>
        <v>60987.698199999992</v>
      </c>
      <c r="M172" s="42">
        <f t="shared" si="16"/>
        <v>30244.32865439634</v>
      </c>
      <c r="N172" s="42">
        <f t="shared" si="18"/>
        <v>30743.369545603651</v>
      </c>
      <c r="O172" s="50">
        <v>0.2</v>
      </c>
      <c r="P172" s="43">
        <f t="shared" si="17"/>
        <v>24594.695636482924</v>
      </c>
    </row>
    <row r="173" spans="2:16" x14ac:dyDescent="0.25">
      <c r="B173" s="38">
        <v>170</v>
      </c>
      <c r="C173" s="60" t="s">
        <v>40</v>
      </c>
      <c r="D173" s="57">
        <v>41547</v>
      </c>
      <c r="E173" s="39">
        <v>44405</v>
      </c>
      <c r="F173" s="58">
        <f t="shared" si="13"/>
        <v>7.8301369863013699</v>
      </c>
      <c r="G173" s="38">
        <v>10</v>
      </c>
      <c r="H173" s="40">
        <f t="shared" si="14"/>
        <v>9.5000000000000001E-2</v>
      </c>
      <c r="I173" s="61">
        <v>1939788.29</v>
      </c>
      <c r="J173" s="94">
        <v>129669</v>
      </c>
      <c r="K173" s="41">
        <v>0.18</v>
      </c>
      <c r="L173" s="42">
        <f t="shared" si="15"/>
        <v>2288950.1822000002</v>
      </c>
      <c r="M173" s="42">
        <f t="shared" si="16"/>
        <v>1702665.3807373208</v>
      </c>
      <c r="N173" s="42">
        <f t="shared" si="18"/>
        <v>586284.8014626794</v>
      </c>
      <c r="O173" s="50">
        <v>0.2</v>
      </c>
      <c r="P173" s="43">
        <f t="shared" si="17"/>
        <v>469027.84117014357</v>
      </c>
    </row>
    <row r="174" spans="2:16" x14ac:dyDescent="0.25">
      <c r="B174" s="38">
        <v>171</v>
      </c>
      <c r="C174" s="60" t="s">
        <v>40</v>
      </c>
      <c r="D174" s="53">
        <v>41970</v>
      </c>
      <c r="E174" s="39">
        <v>44405</v>
      </c>
      <c r="F174" s="58">
        <f t="shared" si="13"/>
        <v>6.6712328767123283</v>
      </c>
      <c r="G174" s="38">
        <v>10</v>
      </c>
      <c r="H174" s="40">
        <f t="shared" si="14"/>
        <v>9.5000000000000001E-2</v>
      </c>
      <c r="I174" s="61">
        <v>74000</v>
      </c>
      <c r="J174" s="94"/>
      <c r="K174" s="41">
        <v>0.08</v>
      </c>
      <c r="L174" s="42">
        <f t="shared" si="15"/>
        <v>79920</v>
      </c>
      <c r="M174" s="42">
        <f t="shared" si="16"/>
        <v>50650.668493150675</v>
      </c>
      <c r="N174" s="42">
        <f t="shared" si="18"/>
        <v>29269.331506849325</v>
      </c>
      <c r="O174" s="50">
        <v>0.2</v>
      </c>
      <c r="P174" s="43">
        <f t="shared" si="17"/>
        <v>23415.465205479461</v>
      </c>
    </row>
    <row r="175" spans="2:16" x14ac:dyDescent="0.25">
      <c r="B175" s="38">
        <v>172</v>
      </c>
      <c r="C175" s="60" t="s">
        <v>40</v>
      </c>
      <c r="D175" s="53">
        <v>42116</v>
      </c>
      <c r="E175" s="39">
        <v>44405</v>
      </c>
      <c r="F175" s="58">
        <f t="shared" si="13"/>
        <v>6.2712328767123289</v>
      </c>
      <c r="G175" s="38">
        <v>10</v>
      </c>
      <c r="H175" s="40">
        <f t="shared" si="14"/>
        <v>9.5000000000000001E-2</v>
      </c>
      <c r="I175" s="61">
        <v>10000</v>
      </c>
      <c r="J175" s="94"/>
      <c r="K175" s="41">
        <v>0</v>
      </c>
      <c r="L175" s="42">
        <f t="shared" si="15"/>
        <v>10000</v>
      </c>
      <c r="M175" s="42">
        <f t="shared" si="16"/>
        <v>5957.6712328767126</v>
      </c>
      <c r="N175" s="42">
        <f t="shared" si="18"/>
        <v>4042.3287671232874</v>
      </c>
      <c r="O175" s="50">
        <v>0.2</v>
      </c>
      <c r="P175" s="43">
        <f t="shared" si="17"/>
        <v>3233.8630136986303</v>
      </c>
    </row>
    <row r="176" spans="2:16" x14ac:dyDescent="0.25">
      <c r="B176" s="38">
        <v>173</v>
      </c>
      <c r="C176" s="60" t="s">
        <v>40</v>
      </c>
      <c r="D176" s="53">
        <v>42319</v>
      </c>
      <c r="E176" s="39">
        <v>44405</v>
      </c>
      <c r="F176" s="58">
        <f t="shared" si="13"/>
        <v>5.7150684931506852</v>
      </c>
      <c r="G176" s="38">
        <v>10</v>
      </c>
      <c r="H176" s="40">
        <f t="shared" si="14"/>
        <v>9.5000000000000001E-2</v>
      </c>
      <c r="I176" s="61">
        <v>20000</v>
      </c>
      <c r="J176" s="94"/>
      <c r="K176" s="41">
        <v>0</v>
      </c>
      <c r="L176" s="42">
        <f t="shared" si="15"/>
        <v>20000</v>
      </c>
      <c r="M176" s="42">
        <f t="shared" si="16"/>
        <v>10858.630136986303</v>
      </c>
      <c r="N176" s="42">
        <f t="shared" si="18"/>
        <v>9141.3698630136969</v>
      </c>
      <c r="O176" s="50">
        <v>0.2</v>
      </c>
      <c r="P176" s="43">
        <f t="shared" si="17"/>
        <v>7313.0958904109575</v>
      </c>
    </row>
    <row r="177" spans="2:16" x14ac:dyDescent="0.25">
      <c r="B177" s="38">
        <v>174</v>
      </c>
      <c r="C177" s="60" t="s">
        <v>40</v>
      </c>
      <c r="D177" s="53">
        <v>42613</v>
      </c>
      <c r="E177" s="39">
        <v>44405</v>
      </c>
      <c r="F177" s="58">
        <f t="shared" si="13"/>
        <v>4.9095890410958907</v>
      </c>
      <c r="G177" s="38">
        <v>10</v>
      </c>
      <c r="H177" s="40">
        <f t="shared" si="14"/>
        <v>9.5000000000000001E-2</v>
      </c>
      <c r="I177" s="54">
        <v>39500</v>
      </c>
      <c r="J177" s="61">
        <v>19407.456361535711</v>
      </c>
      <c r="K177" s="41">
        <v>0.01</v>
      </c>
      <c r="L177" s="42">
        <f t="shared" si="15"/>
        <v>39895</v>
      </c>
      <c r="M177" s="42">
        <f t="shared" si="16"/>
        <v>18607.465205479453</v>
      </c>
      <c r="N177" s="42">
        <f t="shared" si="18"/>
        <v>21287.534794520547</v>
      </c>
      <c r="O177" s="50">
        <v>0.2</v>
      </c>
      <c r="P177" s="43">
        <f t="shared" si="17"/>
        <v>17030.027835616438</v>
      </c>
    </row>
    <row r="178" spans="2:16" x14ac:dyDescent="0.25">
      <c r="B178" s="38">
        <v>175</v>
      </c>
      <c r="C178" s="60" t="s">
        <v>41</v>
      </c>
      <c r="D178" s="57">
        <v>41547</v>
      </c>
      <c r="E178" s="39">
        <v>44405</v>
      </c>
      <c r="F178" s="58">
        <f t="shared" si="13"/>
        <v>7.8301369863013699</v>
      </c>
      <c r="G178" s="38">
        <v>8</v>
      </c>
      <c r="H178" s="40">
        <f t="shared" si="14"/>
        <v>0.11874999999999999</v>
      </c>
      <c r="I178" s="61">
        <v>111035.16</v>
      </c>
      <c r="J178" s="61">
        <v>6805</v>
      </c>
      <c r="K178" s="41">
        <v>0.18</v>
      </c>
      <c r="L178" s="42">
        <f t="shared" si="15"/>
        <v>131021.48879999999</v>
      </c>
      <c r="M178" s="42">
        <f t="shared" si="16"/>
        <v>121827.54939756164</v>
      </c>
      <c r="N178" s="42">
        <f t="shared" si="18"/>
        <v>9193.939402438351</v>
      </c>
      <c r="O178" s="50">
        <v>0.2</v>
      </c>
      <c r="P178" s="43">
        <f t="shared" si="17"/>
        <v>7355.1515219506809</v>
      </c>
    </row>
    <row r="179" spans="2:16" x14ac:dyDescent="0.25">
      <c r="B179" s="38">
        <v>176</v>
      </c>
      <c r="C179" s="62" t="s">
        <v>41</v>
      </c>
      <c r="D179" s="53">
        <v>42947</v>
      </c>
      <c r="E179" s="39">
        <v>44405</v>
      </c>
      <c r="F179" s="58">
        <f t="shared" si="13"/>
        <v>3.9945205479452053</v>
      </c>
      <c r="G179" s="38">
        <v>8</v>
      </c>
      <c r="H179" s="40">
        <f t="shared" si="14"/>
        <v>0.11874999999999999</v>
      </c>
      <c r="I179" s="66">
        <v>21000</v>
      </c>
      <c r="J179" s="61">
        <v>6530.8949514743381</v>
      </c>
      <c r="K179" s="41">
        <v>0.04</v>
      </c>
      <c r="L179" s="42">
        <f t="shared" si="15"/>
        <v>21840</v>
      </c>
      <c r="M179" s="42">
        <f t="shared" si="16"/>
        <v>10359.78904109589</v>
      </c>
      <c r="N179" s="42">
        <f t="shared" si="18"/>
        <v>11480.21095890411</v>
      </c>
      <c r="O179" s="50">
        <v>0.2</v>
      </c>
      <c r="P179" s="43">
        <f t="shared" si="17"/>
        <v>9184.1687671232885</v>
      </c>
    </row>
    <row r="180" spans="2:16" x14ac:dyDescent="0.25">
      <c r="B180" s="38">
        <v>177</v>
      </c>
      <c r="C180" s="62" t="s">
        <v>41</v>
      </c>
      <c r="D180" s="53">
        <v>43190</v>
      </c>
      <c r="E180" s="39">
        <v>44405</v>
      </c>
      <c r="F180" s="58">
        <f t="shared" si="13"/>
        <v>3.3287671232876712</v>
      </c>
      <c r="G180" s="38">
        <v>8</v>
      </c>
      <c r="H180" s="40">
        <f t="shared" si="14"/>
        <v>0.11874999999999999</v>
      </c>
      <c r="I180" s="66">
        <v>70000</v>
      </c>
      <c r="J180" s="61">
        <v>28641.565324486815</v>
      </c>
      <c r="K180" s="41">
        <v>0.02</v>
      </c>
      <c r="L180" s="42">
        <f t="shared" si="15"/>
        <v>71400</v>
      </c>
      <c r="M180" s="42">
        <f t="shared" si="16"/>
        <v>28223.784246575342</v>
      </c>
      <c r="N180" s="42">
        <f t="shared" si="18"/>
        <v>43176.215753424658</v>
      </c>
      <c r="O180" s="50">
        <v>0.2</v>
      </c>
      <c r="P180" s="43">
        <f t="shared" si="17"/>
        <v>34540.972602739726</v>
      </c>
    </row>
    <row r="181" spans="2:16" x14ac:dyDescent="0.25">
      <c r="B181" s="38">
        <v>178</v>
      </c>
      <c r="C181" s="60" t="s">
        <v>42</v>
      </c>
      <c r="D181" s="53">
        <v>41547</v>
      </c>
      <c r="E181" s="39">
        <v>44405</v>
      </c>
      <c r="F181" s="58">
        <f t="shared" si="13"/>
        <v>7.8301369863013699</v>
      </c>
      <c r="G181" s="38">
        <v>15</v>
      </c>
      <c r="H181" s="40">
        <f t="shared" si="14"/>
        <v>6.3333333333333325E-2</v>
      </c>
      <c r="I181" s="61">
        <v>1952780.26</v>
      </c>
      <c r="J181" s="94">
        <v>543504</v>
      </c>
      <c r="K181" s="41">
        <v>0.23</v>
      </c>
      <c r="L181" s="42">
        <f t="shared" si="15"/>
        <v>2401919.7198000001</v>
      </c>
      <c r="M181" s="42">
        <f t="shared" si="16"/>
        <v>1191132.8276217314</v>
      </c>
      <c r="N181" s="42">
        <f t="shared" si="18"/>
        <v>1210786.8921782686</v>
      </c>
      <c r="O181" s="50">
        <v>0.2</v>
      </c>
      <c r="P181" s="43">
        <f t="shared" si="17"/>
        <v>968629.513742615</v>
      </c>
    </row>
    <row r="182" spans="2:16" x14ac:dyDescent="0.25">
      <c r="B182" s="38">
        <v>179</v>
      </c>
      <c r="C182" s="60" t="s">
        <v>42</v>
      </c>
      <c r="D182" s="53">
        <v>41745</v>
      </c>
      <c r="E182" s="39">
        <v>44405</v>
      </c>
      <c r="F182" s="58">
        <f t="shared" si="13"/>
        <v>7.2876712328767121</v>
      </c>
      <c r="G182" s="38">
        <v>15</v>
      </c>
      <c r="H182" s="40">
        <f t="shared" si="14"/>
        <v>6.3333333333333325E-2</v>
      </c>
      <c r="I182" s="61">
        <v>4320</v>
      </c>
      <c r="J182" s="94"/>
      <c r="K182" s="41">
        <v>0.21</v>
      </c>
      <c r="L182" s="42">
        <f t="shared" si="15"/>
        <v>5227.2</v>
      </c>
      <c r="M182" s="42">
        <f t="shared" si="16"/>
        <v>2412.6272876712324</v>
      </c>
      <c r="N182" s="42">
        <f t="shared" si="18"/>
        <v>2814.5727123287675</v>
      </c>
      <c r="O182" s="50">
        <v>0.2</v>
      </c>
      <c r="P182" s="43">
        <f t="shared" si="17"/>
        <v>2251.6581698630139</v>
      </c>
    </row>
    <row r="183" spans="2:16" x14ac:dyDescent="0.25">
      <c r="B183" s="38">
        <v>180</v>
      </c>
      <c r="C183" s="60" t="s">
        <v>43</v>
      </c>
      <c r="D183" s="57">
        <v>41547</v>
      </c>
      <c r="E183" s="39">
        <v>44405</v>
      </c>
      <c r="F183" s="58">
        <f t="shared" si="13"/>
        <v>7.8301369863013699</v>
      </c>
      <c r="G183" s="38">
        <v>15</v>
      </c>
      <c r="H183" s="40">
        <f t="shared" si="14"/>
        <v>6.3333333333333325E-2</v>
      </c>
      <c r="I183" s="61">
        <v>3568011.94</v>
      </c>
      <c r="J183" s="61">
        <v>218659.87812227337</v>
      </c>
      <c r="K183" s="41">
        <v>0.12992125984251973</v>
      </c>
      <c r="L183" s="42">
        <f t="shared" si="15"/>
        <v>4031572.5463779527</v>
      </c>
      <c r="M183" s="42">
        <f t="shared" si="16"/>
        <v>1999291.8028622426</v>
      </c>
      <c r="N183" s="42">
        <f t="shared" si="18"/>
        <v>2032280.7435157101</v>
      </c>
      <c r="O183" s="50">
        <v>0.2</v>
      </c>
      <c r="P183" s="43">
        <f t="shared" si="17"/>
        <v>1625824.5948125683</v>
      </c>
    </row>
    <row r="184" spans="2:16" x14ac:dyDescent="0.25">
      <c r="B184" s="38">
        <v>181</v>
      </c>
      <c r="C184" s="60" t="s">
        <v>43</v>
      </c>
      <c r="D184" s="53">
        <v>42178</v>
      </c>
      <c r="E184" s="39">
        <v>44405</v>
      </c>
      <c r="F184" s="58">
        <f t="shared" si="13"/>
        <v>6.1013698630136988</v>
      </c>
      <c r="G184" s="38">
        <v>15</v>
      </c>
      <c r="H184" s="40">
        <f t="shared" si="14"/>
        <v>6.3333333333333325E-2</v>
      </c>
      <c r="I184" s="54">
        <v>225000</v>
      </c>
      <c r="J184" s="61">
        <v>26982.102235642764</v>
      </c>
      <c r="K184" s="41">
        <v>0.20842105263157892</v>
      </c>
      <c r="L184" s="42">
        <f t="shared" si="15"/>
        <v>271894.73684210522</v>
      </c>
      <c r="M184" s="42">
        <f t="shared" si="16"/>
        <v>105065.58904109585</v>
      </c>
      <c r="N184" s="42">
        <f t="shared" si="18"/>
        <v>166829.14780100936</v>
      </c>
      <c r="O184" s="50">
        <v>0.2</v>
      </c>
      <c r="P184" s="43">
        <f t="shared" si="17"/>
        <v>133463.31824080748</v>
      </c>
    </row>
    <row r="185" spans="2:16" x14ac:dyDescent="0.25">
      <c r="B185" s="38">
        <v>182</v>
      </c>
      <c r="C185" s="60" t="s">
        <v>43</v>
      </c>
      <c r="D185" s="53">
        <v>42181</v>
      </c>
      <c r="E185" s="39">
        <v>44405</v>
      </c>
      <c r="F185" s="58">
        <f t="shared" si="13"/>
        <v>6.0931506849315067</v>
      </c>
      <c r="G185" s="38">
        <v>15</v>
      </c>
      <c r="H185" s="40">
        <f t="shared" si="14"/>
        <v>6.3333333333333325E-2</v>
      </c>
      <c r="I185" s="54">
        <f>225000+13500</f>
        <v>238500</v>
      </c>
      <c r="J185" s="61">
        <v>28719.330573554966</v>
      </c>
      <c r="K185" s="41">
        <v>0.20842105263157892</v>
      </c>
      <c r="L185" s="42">
        <f t="shared" si="15"/>
        <v>288208.42105263157</v>
      </c>
      <c r="M185" s="42">
        <f t="shared" si="16"/>
        <v>111219.49808219176</v>
      </c>
      <c r="N185" s="42">
        <f t="shared" si="18"/>
        <v>176988.92297043983</v>
      </c>
      <c r="O185" s="50">
        <v>0.2</v>
      </c>
      <c r="P185" s="43">
        <f t="shared" si="17"/>
        <v>141591.13837635188</v>
      </c>
    </row>
    <row r="186" spans="2:16" x14ac:dyDescent="0.25">
      <c r="B186" s="38">
        <v>183</v>
      </c>
      <c r="C186" s="60" t="s">
        <v>43</v>
      </c>
      <c r="D186" s="53">
        <v>42356</v>
      </c>
      <c r="E186" s="39">
        <v>44405</v>
      </c>
      <c r="F186" s="58">
        <f t="shared" si="13"/>
        <v>5.6136986301369864</v>
      </c>
      <c r="G186" s="38">
        <v>15</v>
      </c>
      <c r="H186" s="40">
        <f t="shared" si="14"/>
        <v>6.3333333333333325E-2</v>
      </c>
      <c r="I186" s="54">
        <f>128060+18000</f>
        <v>146060</v>
      </c>
      <c r="J186" s="61">
        <v>21814.255416179276</v>
      </c>
      <c r="K186" s="41">
        <v>0.20842105263157892</v>
      </c>
      <c r="L186" s="42">
        <f t="shared" si="15"/>
        <v>176501.97894736839</v>
      </c>
      <c r="M186" s="42">
        <f t="shared" si="16"/>
        <v>62752.498104109574</v>
      </c>
      <c r="N186" s="42">
        <f t="shared" si="18"/>
        <v>113749.48084325882</v>
      </c>
      <c r="O186" s="50">
        <v>0.2</v>
      </c>
      <c r="P186" s="43">
        <f t="shared" si="17"/>
        <v>90999.58467460706</v>
      </c>
    </row>
    <row r="187" spans="2:16" x14ac:dyDescent="0.25">
      <c r="B187" s="38">
        <v>184</v>
      </c>
      <c r="C187" s="60" t="s">
        <v>43</v>
      </c>
      <c r="D187" s="53">
        <v>42444</v>
      </c>
      <c r="E187" s="39">
        <v>44405</v>
      </c>
      <c r="F187" s="58">
        <f t="shared" si="13"/>
        <v>5.3726027397260276</v>
      </c>
      <c r="G187" s="38">
        <v>15</v>
      </c>
      <c r="H187" s="40">
        <f t="shared" si="14"/>
        <v>6.3333333333333325E-2</v>
      </c>
      <c r="I187" s="54">
        <v>1106000</v>
      </c>
      <c r="J187" s="61">
        <v>181274.9787174316</v>
      </c>
      <c r="K187" s="41">
        <v>0.22780748663101602</v>
      </c>
      <c r="L187" s="42">
        <f t="shared" si="15"/>
        <v>1357955.0802139037</v>
      </c>
      <c r="M187" s="42">
        <f t="shared" si="16"/>
        <v>462064.36834419938</v>
      </c>
      <c r="N187" s="42">
        <f t="shared" si="18"/>
        <v>895890.7118697043</v>
      </c>
      <c r="O187" s="50">
        <v>0.2</v>
      </c>
      <c r="P187" s="43">
        <f t="shared" si="17"/>
        <v>716712.56949576351</v>
      </c>
    </row>
    <row r="188" spans="2:16" x14ac:dyDescent="0.25">
      <c r="B188" s="38">
        <v>185</v>
      </c>
      <c r="C188" s="60" t="s">
        <v>43</v>
      </c>
      <c r="D188" s="53">
        <v>42643</v>
      </c>
      <c r="E188" s="39">
        <v>44405</v>
      </c>
      <c r="F188" s="58">
        <f t="shared" si="13"/>
        <v>4.8273972602739725</v>
      </c>
      <c r="G188" s="38">
        <v>15</v>
      </c>
      <c r="H188" s="40">
        <f t="shared" si="14"/>
        <v>6.3333333333333325E-2</v>
      </c>
      <c r="I188" s="54">
        <v>88920</v>
      </c>
      <c r="J188" s="61">
        <v>44415.591533925355</v>
      </c>
      <c r="K188" s="41">
        <v>0.22780748663101602</v>
      </c>
      <c r="L188" s="42">
        <f t="shared" si="15"/>
        <v>109176.64171122994</v>
      </c>
      <c r="M188" s="42">
        <f t="shared" si="16"/>
        <v>33379.138001904612</v>
      </c>
      <c r="N188" s="42">
        <f t="shared" si="18"/>
        <v>75797.503709325334</v>
      </c>
      <c r="O188" s="50">
        <v>0.2</v>
      </c>
      <c r="P188" s="43">
        <f t="shared" si="17"/>
        <v>60638.00296746027</v>
      </c>
    </row>
    <row r="189" spans="2:16" x14ac:dyDescent="0.25">
      <c r="B189" s="38">
        <v>186</v>
      </c>
      <c r="C189" s="60" t="s">
        <v>43</v>
      </c>
      <c r="D189" s="53">
        <v>42010</v>
      </c>
      <c r="E189" s="39">
        <v>44405</v>
      </c>
      <c r="F189" s="58">
        <f t="shared" si="13"/>
        <v>6.5616438356164384</v>
      </c>
      <c r="G189" s="38">
        <v>15</v>
      </c>
      <c r="H189" s="40">
        <f t="shared" si="14"/>
        <v>6.3333333333333325E-2</v>
      </c>
      <c r="I189" s="54">
        <v>950000</v>
      </c>
      <c r="J189" s="61">
        <v>115237</v>
      </c>
      <c r="K189" s="41">
        <v>0.20842105263157892</v>
      </c>
      <c r="L189" s="42">
        <f t="shared" si="15"/>
        <v>1148000</v>
      </c>
      <c r="M189" s="42">
        <f t="shared" si="16"/>
        <v>477075.25114155246</v>
      </c>
      <c r="N189" s="42">
        <f t="shared" si="18"/>
        <v>670924.74885844754</v>
      </c>
      <c r="O189" s="50">
        <v>0.2</v>
      </c>
      <c r="P189" s="43">
        <f t="shared" si="17"/>
        <v>536739.79908675805</v>
      </c>
    </row>
    <row r="190" spans="2:16" x14ac:dyDescent="0.25">
      <c r="B190" s="38">
        <v>187</v>
      </c>
      <c r="C190" s="60" t="s">
        <v>44</v>
      </c>
      <c r="D190" s="53">
        <v>43555</v>
      </c>
      <c r="E190" s="39">
        <v>44405</v>
      </c>
      <c r="F190" s="58">
        <f t="shared" si="13"/>
        <v>2.3287671232876712</v>
      </c>
      <c r="G190" s="38">
        <v>15</v>
      </c>
      <c r="H190" s="40">
        <f t="shared" si="14"/>
        <v>6.3333333333333325E-2</v>
      </c>
      <c r="I190" s="61">
        <v>52850418</v>
      </c>
      <c r="J190" s="61">
        <v>33894009.154720552</v>
      </c>
      <c r="K190" s="41">
        <v>1.4134275618374508E-2</v>
      </c>
      <c r="L190" s="42">
        <f t="shared" si="15"/>
        <v>53597420.3745583</v>
      </c>
      <c r="M190" s="42">
        <f t="shared" si="16"/>
        <v>7905007.6625490086</v>
      </c>
      <c r="N190" s="42">
        <f t="shared" si="18"/>
        <v>45692412.712009288</v>
      </c>
      <c r="O190" s="50">
        <v>0.2</v>
      </c>
      <c r="P190" s="43">
        <f t="shared" si="17"/>
        <v>36553930.169607431</v>
      </c>
    </row>
    <row r="191" spans="2:16" x14ac:dyDescent="0.25">
      <c r="B191" s="38">
        <v>188</v>
      </c>
      <c r="C191" s="60" t="s">
        <v>45</v>
      </c>
      <c r="D191" s="67">
        <v>41547</v>
      </c>
      <c r="E191" s="39">
        <v>44405</v>
      </c>
      <c r="F191" s="58">
        <f t="shared" si="13"/>
        <v>7.8301369863013699</v>
      </c>
      <c r="G191" s="38">
        <v>15</v>
      </c>
      <c r="H191" s="40">
        <f t="shared" si="14"/>
        <v>6.3333333333333325E-2</v>
      </c>
      <c r="I191" s="68">
        <v>2683882.04</v>
      </c>
      <c r="J191" s="94">
        <v>219528</v>
      </c>
      <c r="K191" s="41">
        <v>0.18</v>
      </c>
      <c r="L191" s="42">
        <f t="shared" si="15"/>
        <v>3166980.8071999997</v>
      </c>
      <c r="M191" s="42">
        <f t="shared" si="16"/>
        <v>1570533.2583796745</v>
      </c>
      <c r="N191" s="42">
        <f t="shared" si="18"/>
        <v>1596447.5488203252</v>
      </c>
      <c r="O191" s="50">
        <v>0.2</v>
      </c>
      <c r="P191" s="43">
        <f t="shared" si="17"/>
        <v>1277158.0390562601</v>
      </c>
    </row>
    <row r="192" spans="2:16" x14ac:dyDescent="0.25">
      <c r="B192" s="38">
        <v>189</v>
      </c>
      <c r="C192" s="60" t="s">
        <v>45</v>
      </c>
      <c r="D192" s="67">
        <v>41639</v>
      </c>
      <c r="E192" s="39">
        <v>44405</v>
      </c>
      <c r="F192" s="58">
        <f t="shared" si="13"/>
        <v>7.5780821917808217</v>
      </c>
      <c r="G192" s="38">
        <v>15</v>
      </c>
      <c r="H192" s="40">
        <f t="shared" si="14"/>
        <v>6.3333333333333325E-2</v>
      </c>
      <c r="I192" s="68">
        <v>35497.06</v>
      </c>
      <c r="J192" s="94"/>
      <c r="K192" s="41">
        <v>0.18</v>
      </c>
      <c r="L192" s="42">
        <f t="shared" si="15"/>
        <v>41886.530799999993</v>
      </c>
      <c r="M192" s="42">
        <f t="shared" si="16"/>
        <v>20103.239631627392</v>
      </c>
      <c r="N192" s="42">
        <f t="shared" si="18"/>
        <v>21783.291168372602</v>
      </c>
      <c r="O192" s="50">
        <v>0.2</v>
      </c>
      <c r="P192" s="43">
        <f t="shared" si="17"/>
        <v>17426.632934698082</v>
      </c>
    </row>
    <row r="193" spans="2:16" x14ac:dyDescent="0.25">
      <c r="B193" s="38">
        <v>190</v>
      </c>
      <c r="C193" s="60" t="s">
        <v>45</v>
      </c>
      <c r="D193" s="67">
        <v>41670</v>
      </c>
      <c r="E193" s="39">
        <v>44405</v>
      </c>
      <c r="F193" s="58">
        <f t="shared" si="13"/>
        <v>7.493150684931507</v>
      </c>
      <c r="G193" s="38">
        <v>15</v>
      </c>
      <c r="H193" s="40">
        <f t="shared" si="14"/>
        <v>6.3333333333333325E-2</v>
      </c>
      <c r="I193" s="68">
        <v>657357.72</v>
      </c>
      <c r="J193" s="94"/>
      <c r="K193" s="41">
        <v>0.08</v>
      </c>
      <c r="L193" s="42">
        <f t="shared" si="15"/>
        <v>709946.33759999997</v>
      </c>
      <c r="M193" s="42">
        <f t="shared" si="16"/>
        <v>336916.5427706301</v>
      </c>
      <c r="N193" s="42">
        <f t="shared" si="18"/>
        <v>373029.79482936987</v>
      </c>
      <c r="O193" s="50">
        <v>0.2</v>
      </c>
      <c r="P193" s="43">
        <f t="shared" si="17"/>
        <v>298423.83586349589</v>
      </c>
    </row>
    <row r="194" spans="2:16" x14ac:dyDescent="0.25">
      <c r="B194" s="38">
        <v>191</v>
      </c>
      <c r="C194" s="60" t="s">
        <v>45</v>
      </c>
      <c r="D194" s="53">
        <v>42035</v>
      </c>
      <c r="E194" s="39">
        <v>44405</v>
      </c>
      <c r="F194" s="58">
        <f t="shared" si="13"/>
        <v>6.493150684931507</v>
      </c>
      <c r="G194" s="38">
        <v>15</v>
      </c>
      <c r="H194" s="40">
        <f t="shared" si="14"/>
        <v>6.3333333333333325E-2</v>
      </c>
      <c r="I194" s="61">
        <v>37751.93</v>
      </c>
      <c r="J194" s="94"/>
      <c r="K194" s="41">
        <v>0</v>
      </c>
      <c r="L194" s="42">
        <f t="shared" si="15"/>
        <v>37751.93</v>
      </c>
      <c r="M194" s="42">
        <f t="shared" si="16"/>
        <v>15524.834775342464</v>
      </c>
      <c r="N194" s="42">
        <f t="shared" si="18"/>
        <v>22227.095224657536</v>
      </c>
      <c r="O194" s="50">
        <v>0.2</v>
      </c>
      <c r="P194" s="43">
        <f t="shared" si="17"/>
        <v>17781.67617972603</v>
      </c>
    </row>
    <row r="195" spans="2:16" x14ac:dyDescent="0.25">
      <c r="B195" s="38">
        <v>192</v>
      </c>
      <c r="C195" s="60" t="s">
        <v>45</v>
      </c>
      <c r="D195" s="53">
        <v>41912</v>
      </c>
      <c r="E195" s="39">
        <v>44405</v>
      </c>
      <c r="F195" s="58">
        <f t="shared" si="13"/>
        <v>6.8301369863013699</v>
      </c>
      <c r="G195" s="38">
        <v>15</v>
      </c>
      <c r="H195" s="40">
        <f t="shared" si="14"/>
        <v>6.3333333333333325E-2</v>
      </c>
      <c r="I195" s="61">
        <v>37100</v>
      </c>
      <c r="J195" s="94"/>
      <c r="K195" s="41">
        <v>0.08</v>
      </c>
      <c r="L195" s="42">
        <f t="shared" si="15"/>
        <v>40068</v>
      </c>
      <c r="M195" s="42">
        <f t="shared" si="16"/>
        <v>17332.428821917805</v>
      </c>
      <c r="N195" s="42">
        <f t="shared" si="18"/>
        <v>22735.571178082195</v>
      </c>
      <c r="O195" s="50">
        <v>0.2</v>
      </c>
      <c r="P195" s="43">
        <f t="shared" si="17"/>
        <v>18188.456942465757</v>
      </c>
    </row>
    <row r="196" spans="2:16" x14ac:dyDescent="0.25">
      <c r="B196" s="38">
        <v>193</v>
      </c>
      <c r="C196" s="60" t="s">
        <v>45</v>
      </c>
      <c r="D196" s="53">
        <v>42576</v>
      </c>
      <c r="E196" s="39">
        <v>44405</v>
      </c>
      <c r="F196" s="58">
        <f t="shared" si="13"/>
        <v>5.0109589041095894</v>
      </c>
      <c r="G196" s="38">
        <v>15</v>
      </c>
      <c r="H196" s="40">
        <f t="shared" si="14"/>
        <v>6.3333333333333325E-2</v>
      </c>
      <c r="I196" s="54">
        <v>290677</v>
      </c>
      <c r="J196" s="61">
        <v>57122.468339821906</v>
      </c>
      <c r="K196" s="41">
        <v>0.01</v>
      </c>
      <c r="L196" s="42">
        <f t="shared" si="15"/>
        <v>293583.77</v>
      </c>
      <c r="M196" s="42">
        <f t="shared" si="16"/>
        <v>93171.959737625584</v>
      </c>
      <c r="N196" s="42">
        <f t="shared" si="18"/>
        <v>200411.81026237443</v>
      </c>
      <c r="O196" s="50">
        <v>0.2</v>
      </c>
      <c r="P196" s="43">
        <f t="shared" si="17"/>
        <v>160329.44820989956</v>
      </c>
    </row>
    <row r="197" spans="2:16" x14ac:dyDescent="0.25">
      <c r="B197" s="38">
        <v>194</v>
      </c>
      <c r="C197" s="60" t="s">
        <v>45</v>
      </c>
      <c r="D197" s="53">
        <v>42521</v>
      </c>
      <c r="E197" s="39">
        <v>44405</v>
      </c>
      <c r="F197" s="58">
        <f t="shared" ref="F197:F254" si="19">(E197-D197)/365</f>
        <v>5.161643835616438</v>
      </c>
      <c r="G197" s="38">
        <v>15</v>
      </c>
      <c r="H197" s="40">
        <f t="shared" ref="H197:H254" si="20">(95/G197/100)</f>
        <v>6.3333333333333325E-2</v>
      </c>
      <c r="I197" s="66">
        <v>429000</v>
      </c>
      <c r="J197" s="61">
        <v>78190.246233081241</v>
      </c>
      <c r="K197" s="41">
        <v>0.01</v>
      </c>
      <c r="L197" s="42">
        <f t="shared" ref="L197:L254" si="21">I197*(1+K197)</f>
        <v>433290</v>
      </c>
      <c r="M197" s="42">
        <f t="shared" ref="M197:M254" si="22">F197*H197*L197</f>
        <v>141644.28164383559</v>
      </c>
      <c r="N197" s="42">
        <f t="shared" si="18"/>
        <v>291645.71835616441</v>
      </c>
      <c r="O197" s="50">
        <v>0.2</v>
      </c>
      <c r="P197" s="43">
        <f t="shared" ref="P197:P254" si="23">IF(N197=I197*5%,N197,N197*(1-O197))</f>
        <v>233316.57468493155</v>
      </c>
    </row>
    <row r="198" spans="2:16" x14ac:dyDescent="0.25">
      <c r="B198" s="38">
        <v>195</v>
      </c>
      <c r="C198" s="60" t="s">
        <v>45</v>
      </c>
      <c r="D198" s="53">
        <v>42551</v>
      </c>
      <c r="E198" s="39">
        <v>44405</v>
      </c>
      <c r="F198" s="58">
        <f t="shared" si="19"/>
        <v>5.0794520547945208</v>
      </c>
      <c r="G198" s="38">
        <v>15</v>
      </c>
      <c r="H198" s="40">
        <f t="shared" si="20"/>
        <v>6.3333333333333325E-2</v>
      </c>
      <c r="I198" s="66">
        <v>283000</v>
      </c>
      <c r="J198" s="61">
        <v>53780.286655949778</v>
      </c>
      <c r="K198" s="41">
        <v>0.01</v>
      </c>
      <c r="L198" s="42">
        <f t="shared" si="21"/>
        <v>285830</v>
      </c>
      <c r="M198" s="42">
        <f t="shared" si="22"/>
        <v>91951.119452054787</v>
      </c>
      <c r="N198" s="42">
        <f t="shared" si="18"/>
        <v>193878.88054794521</v>
      </c>
      <c r="O198" s="50">
        <v>0.2</v>
      </c>
      <c r="P198" s="43">
        <f t="shared" si="23"/>
        <v>155103.10443835618</v>
      </c>
    </row>
    <row r="199" spans="2:16" x14ac:dyDescent="0.25">
      <c r="B199" s="38">
        <v>196</v>
      </c>
      <c r="C199" s="60" t="s">
        <v>45</v>
      </c>
      <c r="D199" s="53">
        <v>42582</v>
      </c>
      <c r="E199" s="39">
        <v>44405</v>
      </c>
      <c r="F199" s="58">
        <f t="shared" si="19"/>
        <v>4.9945205479452053</v>
      </c>
      <c r="G199" s="38">
        <v>15</v>
      </c>
      <c r="H199" s="40">
        <f t="shared" si="20"/>
        <v>6.3333333333333325E-2</v>
      </c>
      <c r="I199" s="66">
        <v>17500</v>
      </c>
      <c r="J199" s="61">
        <v>3466.2286352771371</v>
      </c>
      <c r="K199" s="41">
        <v>0.01</v>
      </c>
      <c r="L199" s="42">
        <f t="shared" si="21"/>
        <v>17675</v>
      </c>
      <c r="M199" s="42">
        <f t="shared" si="22"/>
        <v>5590.9495433789943</v>
      </c>
      <c r="N199" s="42">
        <f t="shared" si="18"/>
        <v>12084.050456621006</v>
      </c>
      <c r="O199" s="50">
        <v>0.2</v>
      </c>
      <c r="P199" s="43">
        <f t="shared" si="23"/>
        <v>9667.2403652968042</v>
      </c>
    </row>
    <row r="200" spans="2:16" x14ac:dyDescent="0.25">
      <c r="B200" s="38">
        <v>197</v>
      </c>
      <c r="C200" s="60" t="s">
        <v>46</v>
      </c>
      <c r="D200" s="53">
        <v>41547</v>
      </c>
      <c r="E200" s="39">
        <v>44405</v>
      </c>
      <c r="F200" s="58">
        <f t="shared" si="19"/>
        <v>7.8301369863013699</v>
      </c>
      <c r="G200" s="38">
        <v>15</v>
      </c>
      <c r="H200" s="40">
        <f t="shared" si="20"/>
        <v>6.3333333333333325E-2</v>
      </c>
      <c r="I200" s="61">
        <v>3573816.65</v>
      </c>
      <c r="J200" s="94">
        <v>226642</v>
      </c>
      <c r="K200" s="41">
        <v>0.18</v>
      </c>
      <c r="L200" s="42">
        <f t="shared" si="21"/>
        <v>4217103.6469999999</v>
      </c>
      <c r="M200" s="42">
        <f t="shared" si="22"/>
        <v>2091298.2852912692</v>
      </c>
      <c r="N200" s="42">
        <f t="shared" si="18"/>
        <v>2125805.3617087305</v>
      </c>
      <c r="O200" s="50">
        <v>0.2</v>
      </c>
      <c r="P200" s="43">
        <f t="shared" si="23"/>
        <v>1700644.2893669845</v>
      </c>
    </row>
    <row r="201" spans="2:16" x14ac:dyDescent="0.25">
      <c r="B201" s="38">
        <v>198</v>
      </c>
      <c r="C201" s="60" t="s">
        <v>46</v>
      </c>
      <c r="D201" s="53">
        <v>41671</v>
      </c>
      <c r="E201" s="39">
        <v>44405</v>
      </c>
      <c r="F201" s="58">
        <f t="shared" si="19"/>
        <v>7.4904109589041097</v>
      </c>
      <c r="G201" s="38">
        <v>15</v>
      </c>
      <c r="H201" s="40">
        <f t="shared" si="20"/>
        <v>6.3333333333333325E-2</v>
      </c>
      <c r="I201" s="61">
        <v>124845.57</v>
      </c>
      <c r="J201" s="94"/>
      <c r="K201" s="41">
        <v>0.08</v>
      </c>
      <c r="L201" s="42">
        <f t="shared" si="21"/>
        <v>134833.21560000003</v>
      </c>
      <c r="M201" s="42">
        <f t="shared" si="22"/>
        <v>63963.892397786301</v>
      </c>
      <c r="N201" s="42">
        <f t="shared" si="18"/>
        <v>70869.323202213724</v>
      </c>
      <c r="O201" s="50">
        <v>0.2</v>
      </c>
      <c r="P201" s="43">
        <f t="shared" si="23"/>
        <v>56695.458561770982</v>
      </c>
    </row>
    <row r="202" spans="2:16" x14ac:dyDescent="0.25">
      <c r="B202" s="38">
        <v>199</v>
      </c>
      <c r="C202" s="60" t="s">
        <v>47</v>
      </c>
      <c r="D202" s="53">
        <v>41547</v>
      </c>
      <c r="E202" s="39">
        <v>44405</v>
      </c>
      <c r="F202" s="58">
        <f t="shared" si="19"/>
        <v>7.8301369863013699</v>
      </c>
      <c r="G202" s="38">
        <v>15</v>
      </c>
      <c r="H202" s="40">
        <f t="shared" si="20"/>
        <v>6.3333333333333325E-2</v>
      </c>
      <c r="I202" s="61">
        <v>101001.88</v>
      </c>
      <c r="J202" s="61">
        <v>28030</v>
      </c>
      <c r="K202" s="41">
        <v>0.23</v>
      </c>
      <c r="L202" s="42">
        <f t="shared" si="21"/>
        <v>124232.31240000001</v>
      </c>
      <c r="M202" s="42">
        <f t="shared" si="22"/>
        <v>61607.881533742468</v>
      </c>
      <c r="N202" s="42">
        <f t="shared" ref="N202:N254" si="24">IF(L202-M202&lt;=0,5%*L202,L202-M202)</f>
        <v>62624.430866257542</v>
      </c>
      <c r="O202" s="50">
        <v>0.2</v>
      </c>
      <c r="P202" s="43">
        <f t="shared" si="23"/>
        <v>50099.544693006035</v>
      </c>
    </row>
    <row r="203" spans="2:16" x14ac:dyDescent="0.25">
      <c r="B203" s="38">
        <v>200</v>
      </c>
      <c r="C203" s="60" t="s">
        <v>48</v>
      </c>
      <c r="D203" s="53">
        <v>41547</v>
      </c>
      <c r="E203" s="39">
        <v>44405</v>
      </c>
      <c r="F203" s="58">
        <f t="shared" si="19"/>
        <v>7.8301369863013699</v>
      </c>
      <c r="G203" s="38">
        <v>6</v>
      </c>
      <c r="H203" s="40">
        <f t="shared" si="20"/>
        <v>0.15833333333333333</v>
      </c>
      <c r="I203" s="61">
        <v>134995.96</v>
      </c>
      <c r="J203" s="61">
        <v>8273</v>
      </c>
      <c r="K203" s="41">
        <v>0.18</v>
      </c>
      <c r="L203" s="42">
        <f t="shared" si="21"/>
        <v>159295.23279999997</v>
      </c>
      <c r="M203" s="42">
        <f t="shared" si="22"/>
        <v>197489.71989738807</v>
      </c>
      <c r="N203" s="42">
        <f t="shared" si="24"/>
        <v>7964.7616399999988</v>
      </c>
      <c r="O203" s="50">
        <v>0.2</v>
      </c>
      <c r="P203" s="43">
        <f t="shared" si="23"/>
        <v>6371.8093119999994</v>
      </c>
    </row>
    <row r="204" spans="2:16" x14ac:dyDescent="0.25">
      <c r="B204" s="38">
        <v>201</v>
      </c>
      <c r="C204" s="60" t="s">
        <v>49</v>
      </c>
      <c r="D204" s="57">
        <v>41547</v>
      </c>
      <c r="E204" s="39">
        <v>44405</v>
      </c>
      <c r="F204" s="58">
        <f t="shared" si="19"/>
        <v>7.8301369863013699</v>
      </c>
      <c r="G204" s="38">
        <v>15</v>
      </c>
      <c r="H204" s="40">
        <f t="shared" si="20"/>
        <v>6.3333333333333325E-2</v>
      </c>
      <c r="I204" s="61">
        <v>3256864.1</v>
      </c>
      <c r="J204" s="94">
        <v>228905</v>
      </c>
      <c r="K204" s="41">
        <v>0.12992125984251973</v>
      </c>
      <c r="L204" s="42">
        <f t="shared" si="21"/>
        <v>3679999.9870078741</v>
      </c>
      <c r="M204" s="42">
        <f t="shared" si="22"/>
        <v>1824943.9204977311</v>
      </c>
      <c r="N204" s="42">
        <f t="shared" si="24"/>
        <v>1855056.066510143</v>
      </c>
      <c r="O204" s="50">
        <v>0.2</v>
      </c>
      <c r="P204" s="43">
        <f t="shared" si="23"/>
        <v>1484044.8532081144</v>
      </c>
    </row>
    <row r="205" spans="2:16" x14ac:dyDescent="0.25">
      <c r="B205" s="38">
        <v>202</v>
      </c>
      <c r="C205" s="60" t="s">
        <v>49</v>
      </c>
      <c r="D205" s="57">
        <v>41671</v>
      </c>
      <c r="E205" s="39">
        <v>44405</v>
      </c>
      <c r="F205" s="58">
        <f t="shared" si="19"/>
        <v>7.4904109589041097</v>
      </c>
      <c r="G205" s="38">
        <v>15</v>
      </c>
      <c r="H205" s="40">
        <f t="shared" si="20"/>
        <v>6.3333333333333325E-2</v>
      </c>
      <c r="I205" s="61">
        <v>479857.02</v>
      </c>
      <c r="J205" s="94"/>
      <c r="K205" s="41">
        <v>9.1254752851710974E-2</v>
      </c>
      <c r="L205" s="42">
        <f t="shared" si="21"/>
        <v>523646.25376425852</v>
      </c>
      <c r="M205" s="42">
        <f t="shared" si="22"/>
        <v>248413.9570597093</v>
      </c>
      <c r="N205" s="42">
        <f t="shared" si="24"/>
        <v>275232.29670454923</v>
      </c>
      <c r="O205" s="50">
        <v>0.2</v>
      </c>
      <c r="P205" s="43">
        <f t="shared" si="23"/>
        <v>220185.83736363938</v>
      </c>
    </row>
    <row r="206" spans="2:16" x14ac:dyDescent="0.25">
      <c r="B206" s="38">
        <v>203</v>
      </c>
      <c r="C206" s="60" t="s">
        <v>50</v>
      </c>
      <c r="D206" s="53">
        <v>42794</v>
      </c>
      <c r="E206" s="39">
        <v>44405</v>
      </c>
      <c r="F206" s="58">
        <f t="shared" si="19"/>
        <v>4.4136986301369863</v>
      </c>
      <c r="G206" s="38">
        <v>15</v>
      </c>
      <c r="H206" s="40">
        <f t="shared" si="20"/>
        <v>6.3333333333333325E-2</v>
      </c>
      <c r="I206" s="85">
        <f>1051000+20000</f>
        <v>1071000</v>
      </c>
      <c r="J206" s="85">
        <v>579020.99596288195</v>
      </c>
      <c r="K206" s="41">
        <v>0.18595041322314051</v>
      </c>
      <c r="L206" s="42">
        <f t="shared" si="21"/>
        <v>1270152.8925619833</v>
      </c>
      <c r="M206" s="42">
        <f t="shared" si="22"/>
        <v>355051.23185780586</v>
      </c>
      <c r="N206" s="42">
        <f t="shared" si="24"/>
        <v>915101.66070417746</v>
      </c>
      <c r="O206" s="50">
        <v>0.2</v>
      </c>
      <c r="P206" s="43">
        <f t="shared" si="23"/>
        <v>732081.32856334199</v>
      </c>
    </row>
    <row r="207" spans="2:16" x14ac:dyDescent="0.25">
      <c r="B207" s="38">
        <v>204</v>
      </c>
      <c r="C207" s="60" t="s">
        <v>50</v>
      </c>
      <c r="D207" s="53">
        <v>41912</v>
      </c>
      <c r="E207" s="39">
        <v>44405</v>
      </c>
      <c r="F207" s="58">
        <f t="shared" si="19"/>
        <v>6.8301369863013699</v>
      </c>
      <c r="G207" s="38">
        <v>15</v>
      </c>
      <c r="H207" s="40">
        <f t="shared" si="20"/>
        <v>6.3333333333333325E-2</v>
      </c>
      <c r="I207" s="85">
        <f>1000000+351000+3066+1200000+14000</f>
        <v>2568066</v>
      </c>
      <c r="J207" s="85">
        <v>278448</v>
      </c>
      <c r="K207" s="41">
        <v>9.1254752851710974E-2</v>
      </c>
      <c r="L207" s="42">
        <f t="shared" si="21"/>
        <v>2802414.2281368817</v>
      </c>
      <c r="M207" s="42">
        <f t="shared" si="22"/>
        <v>1212255.2944672115</v>
      </c>
      <c r="N207" s="42">
        <f t="shared" si="24"/>
        <v>1590158.9336696703</v>
      </c>
      <c r="O207" s="50">
        <v>0.2</v>
      </c>
      <c r="P207" s="43">
        <f t="shared" si="23"/>
        <v>1272127.1469357363</v>
      </c>
    </row>
    <row r="208" spans="2:16" x14ac:dyDescent="0.25">
      <c r="B208" s="38">
        <v>205</v>
      </c>
      <c r="C208" s="60" t="s">
        <v>51</v>
      </c>
      <c r="D208" s="53">
        <v>41673</v>
      </c>
      <c r="E208" s="39">
        <v>44405</v>
      </c>
      <c r="F208" s="58">
        <f t="shared" si="19"/>
        <v>7.484931506849315</v>
      </c>
      <c r="G208" s="38">
        <v>15</v>
      </c>
      <c r="H208" s="40">
        <f t="shared" si="20"/>
        <v>6.3333333333333325E-2</v>
      </c>
      <c r="I208" s="85">
        <v>29096</v>
      </c>
      <c r="J208" s="85">
        <v>1913</v>
      </c>
      <c r="K208" s="41">
        <v>0.08</v>
      </c>
      <c r="L208" s="42">
        <f t="shared" si="21"/>
        <v>31423.68</v>
      </c>
      <c r="M208" s="42">
        <f t="shared" si="22"/>
        <v>14896.259191232875</v>
      </c>
      <c r="N208" s="42">
        <f t="shared" si="24"/>
        <v>16527.420808767125</v>
      </c>
      <c r="O208" s="50">
        <v>0.2</v>
      </c>
      <c r="P208" s="43">
        <f t="shared" si="23"/>
        <v>13221.936647013701</v>
      </c>
    </row>
    <row r="209" spans="2:16" x14ac:dyDescent="0.25">
      <c r="B209" s="38">
        <v>206</v>
      </c>
      <c r="C209" s="60" t="s">
        <v>52</v>
      </c>
      <c r="D209" s="53">
        <v>41547</v>
      </c>
      <c r="E209" s="39">
        <v>44405</v>
      </c>
      <c r="F209" s="58">
        <f t="shared" si="19"/>
        <v>7.8301369863013699</v>
      </c>
      <c r="G209" s="38">
        <v>10</v>
      </c>
      <c r="H209" s="40">
        <f t="shared" si="20"/>
        <v>9.5000000000000001E-2</v>
      </c>
      <c r="I209" s="85">
        <v>127354.68</v>
      </c>
      <c r="J209" s="85">
        <v>7805</v>
      </c>
      <c r="K209" s="41">
        <v>0.08</v>
      </c>
      <c r="L209" s="42">
        <f t="shared" si="21"/>
        <v>137543.05439999999</v>
      </c>
      <c r="M209" s="42">
        <f t="shared" si="22"/>
        <v>102313.19095929863</v>
      </c>
      <c r="N209" s="42">
        <f t="shared" si="24"/>
        <v>35229.86344070136</v>
      </c>
      <c r="O209" s="50">
        <v>0.2</v>
      </c>
      <c r="P209" s="43">
        <f t="shared" si="23"/>
        <v>28183.890752561088</v>
      </c>
    </row>
    <row r="210" spans="2:16" x14ac:dyDescent="0.25">
      <c r="B210" s="38">
        <v>207</v>
      </c>
      <c r="C210" s="60" t="s">
        <v>53</v>
      </c>
      <c r="D210" s="53">
        <v>41839</v>
      </c>
      <c r="E210" s="39">
        <v>44405</v>
      </c>
      <c r="F210" s="58">
        <f t="shared" si="19"/>
        <v>7.0301369863013701</v>
      </c>
      <c r="G210" s="38">
        <v>10</v>
      </c>
      <c r="H210" s="40">
        <f t="shared" si="20"/>
        <v>9.5000000000000001E-2</v>
      </c>
      <c r="I210" s="86">
        <v>2240344</v>
      </c>
      <c r="J210" s="86">
        <v>177788</v>
      </c>
      <c r="K210" s="41">
        <v>0</v>
      </c>
      <c r="L210" s="42">
        <f t="shared" si="21"/>
        <v>2240344</v>
      </c>
      <c r="M210" s="42">
        <f t="shared" si="22"/>
        <v>1496242.8955616441</v>
      </c>
      <c r="N210" s="42">
        <f t="shared" si="24"/>
        <v>744101.10443835589</v>
      </c>
      <c r="O210" s="50">
        <v>0.2</v>
      </c>
      <c r="P210" s="43">
        <f t="shared" si="23"/>
        <v>595280.88355068478</v>
      </c>
    </row>
    <row r="211" spans="2:16" x14ac:dyDescent="0.25">
      <c r="B211" s="38">
        <v>208</v>
      </c>
      <c r="C211" s="60" t="s">
        <v>54</v>
      </c>
      <c r="D211" s="53">
        <v>41912</v>
      </c>
      <c r="E211" s="39">
        <v>44405</v>
      </c>
      <c r="F211" s="58">
        <f t="shared" si="19"/>
        <v>6.8301369863013699</v>
      </c>
      <c r="G211" s="38">
        <v>15</v>
      </c>
      <c r="H211" s="40">
        <f t="shared" si="20"/>
        <v>6.3333333333333325E-2</v>
      </c>
      <c r="I211" s="85">
        <v>1432577.93</v>
      </c>
      <c r="J211" s="85">
        <v>124717</v>
      </c>
      <c r="K211" s="41">
        <v>7.0000000000000007E-2</v>
      </c>
      <c r="L211" s="42">
        <f t="shared" si="21"/>
        <v>1532858.3851000001</v>
      </c>
      <c r="M211" s="42">
        <f t="shared" si="22"/>
        <v>663076.74088613421</v>
      </c>
      <c r="N211" s="42">
        <f t="shared" si="24"/>
        <v>869781.64421386586</v>
      </c>
      <c r="O211" s="50">
        <v>0.2</v>
      </c>
      <c r="P211" s="43">
        <f t="shared" si="23"/>
        <v>695825.31537109276</v>
      </c>
    </row>
    <row r="212" spans="2:16" x14ac:dyDescent="0.25">
      <c r="B212" s="38">
        <v>209</v>
      </c>
      <c r="C212" s="60" t="s">
        <v>55</v>
      </c>
      <c r="D212" s="53">
        <v>42094</v>
      </c>
      <c r="E212" s="39">
        <v>44405</v>
      </c>
      <c r="F212" s="58">
        <f t="shared" si="19"/>
        <v>6.3315068493150681</v>
      </c>
      <c r="G212" s="38">
        <v>5</v>
      </c>
      <c r="H212" s="40">
        <f t="shared" si="20"/>
        <v>0.19</v>
      </c>
      <c r="I212" s="85">
        <v>493624.88</v>
      </c>
      <c r="J212" s="85">
        <v>52451</v>
      </c>
      <c r="K212" s="41">
        <v>0</v>
      </c>
      <c r="L212" s="42">
        <f t="shared" si="21"/>
        <v>493624.88</v>
      </c>
      <c r="M212" s="42">
        <f t="shared" si="22"/>
        <v>593823.96865534247</v>
      </c>
      <c r="N212" s="42">
        <f t="shared" si="24"/>
        <v>24681.244000000002</v>
      </c>
      <c r="O212" s="50">
        <v>0.2</v>
      </c>
      <c r="P212" s="43">
        <f t="shared" si="23"/>
        <v>24681.244000000002</v>
      </c>
    </row>
    <row r="213" spans="2:16" x14ac:dyDescent="0.25">
      <c r="B213" s="38">
        <v>210</v>
      </c>
      <c r="C213" s="60" t="s">
        <v>56</v>
      </c>
      <c r="D213" s="53">
        <v>42825</v>
      </c>
      <c r="E213" s="39">
        <v>44405</v>
      </c>
      <c r="F213" s="58">
        <f t="shared" si="19"/>
        <v>4.3287671232876717</v>
      </c>
      <c r="G213" s="38">
        <v>5</v>
      </c>
      <c r="H213" s="40">
        <f t="shared" si="20"/>
        <v>0.19</v>
      </c>
      <c r="I213" s="85">
        <v>215000</v>
      </c>
      <c r="J213" s="85">
        <v>118052.38059712607</v>
      </c>
      <c r="K213" s="41">
        <v>0.04</v>
      </c>
      <c r="L213" s="42">
        <f t="shared" si="21"/>
        <v>223600</v>
      </c>
      <c r="M213" s="42">
        <f t="shared" si="22"/>
        <v>183903.34246575346</v>
      </c>
      <c r="N213" s="42">
        <f t="shared" si="24"/>
        <v>39696.657534246537</v>
      </c>
      <c r="O213" s="50">
        <v>0.2</v>
      </c>
      <c r="P213" s="43">
        <f t="shared" si="23"/>
        <v>31757.32602739723</v>
      </c>
    </row>
    <row r="214" spans="2:16" x14ac:dyDescent="0.25">
      <c r="B214" s="38">
        <v>211</v>
      </c>
      <c r="C214" s="60" t="s">
        <v>57</v>
      </c>
      <c r="D214" s="57">
        <v>41547</v>
      </c>
      <c r="E214" s="39">
        <v>44405</v>
      </c>
      <c r="F214" s="58">
        <f t="shared" si="19"/>
        <v>7.8301369863013699</v>
      </c>
      <c r="G214" s="38">
        <v>15</v>
      </c>
      <c r="H214" s="40">
        <f t="shared" si="20"/>
        <v>6.3333333333333325E-2</v>
      </c>
      <c r="I214" s="85">
        <v>84903.12</v>
      </c>
      <c r="J214" s="85">
        <v>5203</v>
      </c>
      <c r="K214" s="41">
        <v>0</v>
      </c>
      <c r="L214" s="42">
        <f t="shared" si="21"/>
        <v>84903.12</v>
      </c>
      <c r="M214" s="42">
        <f t="shared" si="22"/>
        <v>42104.19381041095</v>
      </c>
      <c r="N214" s="42">
        <f t="shared" si="24"/>
        <v>42798.926189589045</v>
      </c>
      <c r="O214" s="50">
        <v>0.2</v>
      </c>
      <c r="P214" s="43">
        <f t="shared" si="23"/>
        <v>34239.140951671237</v>
      </c>
    </row>
    <row r="215" spans="2:16" x14ac:dyDescent="0.25">
      <c r="B215" s="38">
        <v>212</v>
      </c>
      <c r="C215" s="60" t="s">
        <v>58</v>
      </c>
      <c r="D215" s="53">
        <v>42704</v>
      </c>
      <c r="E215" s="39">
        <v>44405</v>
      </c>
      <c r="F215" s="58">
        <f t="shared" si="19"/>
        <v>4.6602739726027398</v>
      </c>
      <c r="G215" s="38">
        <v>10</v>
      </c>
      <c r="H215" s="40">
        <f t="shared" si="20"/>
        <v>9.5000000000000001E-2</v>
      </c>
      <c r="I215" s="85">
        <v>42000</v>
      </c>
      <c r="J215" s="85">
        <v>21676.961853506858</v>
      </c>
      <c r="K215" s="41">
        <v>0.06</v>
      </c>
      <c r="L215" s="42">
        <f t="shared" si="21"/>
        <v>44520</v>
      </c>
      <c r="M215" s="42">
        <f t="shared" si="22"/>
        <v>19710.162739726027</v>
      </c>
      <c r="N215" s="42">
        <f t="shared" si="24"/>
        <v>24809.837260273973</v>
      </c>
      <c r="O215" s="50">
        <v>0.2</v>
      </c>
      <c r="P215" s="43">
        <f t="shared" si="23"/>
        <v>19847.86980821918</v>
      </c>
    </row>
    <row r="216" spans="2:16" x14ac:dyDescent="0.25">
      <c r="B216" s="38">
        <v>213</v>
      </c>
      <c r="C216" s="60" t="s">
        <v>59</v>
      </c>
      <c r="D216" s="53">
        <v>42704</v>
      </c>
      <c r="E216" s="39">
        <v>44405</v>
      </c>
      <c r="F216" s="58">
        <f t="shared" si="19"/>
        <v>4.6602739726027398</v>
      </c>
      <c r="G216" s="38">
        <v>10</v>
      </c>
      <c r="H216" s="40">
        <f t="shared" si="20"/>
        <v>9.5000000000000001E-2</v>
      </c>
      <c r="I216" s="85">
        <v>52000</v>
      </c>
      <c r="J216" s="85">
        <v>26838.143247198972</v>
      </c>
      <c r="K216" s="41">
        <v>0.06</v>
      </c>
      <c r="L216" s="42">
        <f t="shared" si="21"/>
        <v>55120</v>
      </c>
      <c r="M216" s="42">
        <f t="shared" si="22"/>
        <v>24403.058630136988</v>
      </c>
      <c r="N216" s="42">
        <f t="shared" si="24"/>
        <v>30716.941369863012</v>
      </c>
      <c r="O216" s="50">
        <v>0.2</v>
      </c>
      <c r="P216" s="43">
        <f t="shared" si="23"/>
        <v>24573.553095890413</v>
      </c>
    </row>
    <row r="217" spans="2:16" x14ac:dyDescent="0.25">
      <c r="B217" s="38">
        <v>214</v>
      </c>
      <c r="C217" s="60" t="s">
        <v>60</v>
      </c>
      <c r="D217" s="53">
        <v>42825</v>
      </c>
      <c r="E217" s="39">
        <v>44405</v>
      </c>
      <c r="F217" s="58">
        <f t="shared" si="19"/>
        <v>4.3287671232876717</v>
      </c>
      <c r="G217" s="38">
        <v>8</v>
      </c>
      <c r="H217" s="40">
        <f t="shared" si="20"/>
        <v>0.11874999999999999</v>
      </c>
      <c r="I217" s="85">
        <v>726555</v>
      </c>
      <c r="J217" s="85">
        <v>398937.42969648808</v>
      </c>
      <c r="K217" s="41">
        <v>0.05</v>
      </c>
      <c r="L217" s="42">
        <f t="shared" si="21"/>
        <v>762882.75</v>
      </c>
      <c r="M217" s="42">
        <f t="shared" si="22"/>
        <v>392153.08484589047</v>
      </c>
      <c r="N217" s="42">
        <f t="shared" si="24"/>
        <v>370729.66515410953</v>
      </c>
      <c r="O217" s="50">
        <v>0.2</v>
      </c>
      <c r="P217" s="43">
        <f t="shared" si="23"/>
        <v>296583.73212328763</v>
      </c>
    </row>
    <row r="218" spans="2:16" x14ac:dyDescent="0.25">
      <c r="B218" s="38">
        <v>215</v>
      </c>
      <c r="C218" s="60" t="s">
        <v>61</v>
      </c>
      <c r="D218" s="53">
        <v>41912</v>
      </c>
      <c r="E218" s="39">
        <v>44405</v>
      </c>
      <c r="F218" s="58">
        <f t="shared" si="19"/>
        <v>6.8301369863013699</v>
      </c>
      <c r="G218" s="38">
        <v>8</v>
      </c>
      <c r="H218" s="40">
        <f t="shared" si="20"/>
        <v>0.11874999999999999</v>
      </c>
      <c r="I218" s="85">
        <v>449600</v>
      </c>
      <c r="J218" s="85">
        <v>48748.835549897405</v>
      </c>
      <c r="K218" s="41">
        <v>0.08</v>
      </c>
      <c r="L218" s="42">
        <f t="shared" si="21"/>
        <v>485568.00000000006</v>
      </c>
      <c r="M218" s="42">
        <f t="shared" si="22"/>
        <v>393833.89479452057</v>
      </c>
      <c r="N218" s="42">
        <f t="shared" si="24"/>
        <v>91734.105205479485</v>
      </c>
      <c r="O218" s="50">
        <v>0.2</v>
      </c>
      <c r="P218" s="43">
        <f t="shared" si="23"/>
        <v>73387.284164383585</v>
      </c>
    </row>
    <row r="219" spans="2:16" x14ac:dyDescent="0.25">
      <c r="B219" s="38">
        <v>216</v>
      </c>
      <c r="C219" s="60" t="s">
        <v>61</v>
      </c>
      <c r="D219" s="53">
        <v>42035</v>
      </c>
      <c r="E219" s="39">
        <v>44405</v>
      </c>
      <c r="F219" s="58">
        <f t="shared" si="19"/>
        <v>6.493150684931507</v>
      </c>
      <c r="G219" s="38">
        <v>8</v>
      </c>
      <c r="H219" s="40">
        <f t="shared" si="20"/>
        <v>0.11874999999999999</v>
      </c>
      <c r="I219" s="85">
        <v>500368</v>
      </c>
      <c r="J219" s="85">
        <v>62339.346318456483</v>
      </c>
      <c r="K219" s="41">
        <v>0</v>
      </c>
      <c r="L219" s="42">
        <f t="shared" si="21"/>
        <v>500368</v>
      </c>
      <c r="M219" s="42">
        <f t="shared" si="22"/>
        <v>385814.57260273967</v>
      </c>
      <c r="N219" s="42">
        <f t="shared" si="24"/>
        <v>114553.42739726033</v>
      </c>
      <c r="O219" s="50">
        <v>0.2</v>
      </c>
      <c r="P219" s="43">
        <f t="shared" si="23"/>
        <v>91642.741917808264</v>
      </c>
    </row>
    <row r="220" spans="2:16" x14ac:dyDescent="0.25">
      <c r="B220" s="38">
        <v>217</v>
      </c>
      <c r="C220" s="60" t="s">
        <v>62</v>
      </c>
      <c r="D220" s="53">
        <v>43282</v>
      </c>
      <c r="E220" s="39">
        <v>44405</v>
      </c>
      <c r="F220" s="58">
        <f t="shared" si="19"/>
        <v>3.0767123287671234</v>
      </c>
      <c r="G220" s="38">
        <v>15</v>
      </c>
      <c r="H220" s="40">
        <f t="shared" si="20"/>
        <v>6.3333333333333325E-2</v>
      </c>
      <c r="I220" s="85">
        <v>3284289.78</v>
      </c>
      <c r="J220" s="85">
        <v>1537516.1635211958</v>
      </c>
      <c r="K220" s="41">
        <v>0.04</v>
      </c>
      <c r="L220" s="42">
        <f t="shared" si="21"/>
        <v>3415661.3711999999</v>
      </c>
      <c r="M220" s="42">
        <f t="shared" si="22"/>
        <v>665570.47193876165</v>
      </c>
      <c r="N220" s="42">
        <f t="shared" si="24"/>
        <v>2750090.8992612381</v>
      </c>
      <c r="O220" s="50">
        <v>0.2</v>
      </c>
      <c r="P220" s="43">
        <f t="shared" si="23"/>
        <v>2200072.7194089903</v>
      </c>
    </row>
    <row r="221" spans="2:16" x14ac:dyDescent="0.25">
      <c r="B221" s="38">
        <v>218</v>
      </c>
      <c r="C221" s="60" t="s">
        <v>63</v>
      </c>
      <c r="D221" s="53">
        <v>43435</v>
      </c>
      <c r="E221" s="39">
        <v>44405</v>
      </c>
      <c r="F221" s="58">
        <f t="shared" si="19"/>
        <v>2.6575342465753424</v>
      </c>
      <c r="G221" s="38">
        <v>15</v>
      </c>
      <c r="H221" s="40">
        <f t="shared" si="20"/>
        <v>6.3333333333333325E-2</v>
      </c>
      <c r="I221" s="85">
        <v>202347.88</v>
      </c>
      <c r="J221" s="85">
        <v>114438.7930346517</v>
      </c>
      <c r="K221" s="41">
        <v>0.04</v>
      </c>
      <c r="L221" s="42">
        <f t="shared" si="21"/>
        <v>210441.79520000002</v>
      </c>
      <c r="M221" s="42">
        <f t="shared" si="22"/>
        <v>35419.564251470314</v>
      </c>
      <c r="N221" s="42">
        <f t="shared" si="24"/>
        <v>175022.2309485297</v>
      </c>
      <c r="O221" s="50">
        <v>0.2</v>
      </c>
      <c r="P221" s="43">
        <f t="shared" si="23"/>
        <v>140017.78475882378</v>
      </c>
    </row>
    <row r="222" spans="2:16" x14ac:dyDescent="0.25">
      <c r="B222" s="38">
        <v>219</v>
      </c>
      <c r="C222" s="52" t="s">
        <v>64</v>
      </c>
      <c r="D222" s="69">
        <v>43560</v>
      </c>
      <c r="E222" s="39">
        <v>44405</v>
      </c>
      <c r="F222" s="58">
        <f t="shared" si="19"/>
        <v>2.3150684931506849</v>
      </c>
      <c r="G222" s="38">
        <v>8</v>
      </c>
      <c r="H222" s="40">
        <f t="shared" si="20"/>
        <v>0.11874999999999999</v>
      </c>
      <c r="I222" s="85">
        <v>248000</v>
      </c>
      <c r="J222" s="85">
        <v>160175.59389650333</v>
      </c>
      <c r="K222" s="41">
        <v>0</v>
      </c>
      <c r="L222" s="42">
        <f t="shared" si="21"/>
        <v>248000</v>
      </c>
      <c r="M222" s="42">
        <f t="shared" si="22"/>
        <v>68178.767123287675</v>
      </c>
      <c r="N222" s="42">
        <f t="shared" si="24"/>
        <v>179821.23287671234</v>
      </c>
      <c r="O222" s="50">
        <v>0.2</v>
      </c>
      <c r="P222" s="43">
        <f t="shared" si="23"/>
        <v>143856.98630136988</v>
      </c>
    </row>
    <row r="223" spans="2:16" x14ac:dyDescent="0.25">
      <c r="B223" s="38">
        <v>220</v>
      </c>
      <c r="C223" s="52" t="s">
        <v>65</v>
      </c>
      <c r="D223" s="69">
        <v>43560</v>
      </c>
      <c r="E223" s="39">
        <v>44405</v>
      </c>
      <c r="F223" s="58">
        <f t="shared" si="19"/>
        <v>2.3150684931506849</v>
      </c>
      <c r="G223" s="38">
        <v>8</v>
      </c>
      <c r="H223" s="40">
        <f t="shared" si="20"/>
        <v>0.11874999999999999</v>
      </c>
      <c r="I223" s="85">
        <v>58000</v>
      </c>
      <c r="J223" s="85">
        <v>37460.421153214484</v>
      </c>
      <c r="K223" s="41">
        <v>0</v>
      </c>
      <c r="L223" s="42">
        <f t="shared" si="21"/>
        <v>58000</v>
      </c>
      <c r="M223" s="42">
        <f t="shared" si="22"/>
        <v>15945.034246575342</v>
      </c>
      <c r="N223" s="42">
        <f t="shared" si="24"/>
        <v>42054.965753424658</v>
      </c>
      <c r="O223" s="50">
        <v>0.2</v>
      </c>
      <c r="P223" s="43">
        <f t="shared" si="23"/>
        <v>33643.972602739726</v>
      </c>
    </row>
    <row r="224" spans="2:16" x14ac:dyDescent="0.25">
      <c r="B224" s="38">
        <v>221</v>
      </c>
      <c r="C224" s="52" t="s">
        <v>65</v>
      </c>
      <c r="D224" s="69">
        <v>43560</v>
      </c>
      <c r="E224" s="39">
        <v>44405</v>
      </c>
      <c r="F224" s="58">
        <f t="shared" si="19"/>
        <v>2.3150684931506849</v>
      </c>
      <c r="G224" s="38">
        <v>8</v>
      </c>
      <c r="H224" s="40">
        <f t="shared" si="20"/>
        <v>0.11874999999999999</v>
      </c>
      <c r="I224" s="85">
        <v>42000</v>
      </c>
      <c r="J224" s="85">
        <v>27126.511869569113</v>
      </c>
      <c r="K224" s="41">
        <v>0</v>
      </c>
      <c r="L224" s="42">
        <f t="shared" si="21"/>
        <v>42000</v>
      </c>
      <c r="M224" s="42">
        <f t="shared" si="22"/>
        <v>11546.404109589041</v>
      </c>
      <c r="N224" s="42">
        <f t="shared" si="24"/>
        <v>30453.595890410958</v>
      </c>
      <c r="O224" s="50">
        <v>0.2</v>
      </c>
      <c r="P224" s="43">
        <f t="shared" si="23"/>
        <v>24362.876712328769</v>
      </c>
    </row>
    <row r="225" spans="2:16" ht="30" x14ac:dyDescent="0.25">
      <c r="B225" s="38">
        <v>222</v>
      </c>
      <c r="C225" s="52" t="s">
        <v>66</v>
      </c>
      <c r="D225" s="69">
        <v>43560</v>
      </c>
      <c r="E225" s="39">
        <v>44405</v>
      </c>
      <c r="F225" s="58">
        <f t="shared" si="19"/>
        <v>2.3150684931506849</v>
      </c>
      <c r="G225" s="38">
        <v>8</v>
      </c>
      <c r="H225" s="40">
        <f t="shared" si="20"/>
        <v>0.11874999999999999</v>
      </c>
      <c r="I225" s="85">
        <v>156650.09</v>
      </c>
      <c r="J225" s="85">
        <v>101175.48870843023</v>
      </c>
      <c r="K225" s="41">
        <v>0</v>
      </c>
      <c r="L225" s="42">
        <f t="shared" si="21"/>
        <v>156650.09</v>
      </c>
      <c r="M225" s="42">
        <f t="shared" si="22"/>
        <v>43065.362927226022</v>
      </c>
      <c r="N225" s="42">
        <f t="shared" si="24"/>
        <v>113584.72707277397</v>
      </c>
      <c r="O225" s="50">
        <v>0.2</v>
      </c>
      <c r="P225" s="43">
        <f t="shared" si="23"/>
        <v>90867.781658219174</v>
      </c>
    </row>
    <row r="226" spans="2:16" x14ac:dyDescent="0.25">
      <c r="B226" s="38">
        <v>223</v>
      </c>
      <c r="C226" s="52" t="s">
        <v>67</v>
      </c>
      <c r="D226" s="69">
        <v>43575</v>
      </c>
      <c r="E226" s="39">
        <v>44405</v>
      </c>
      <c r="F226" s="58">
        <f t="shared" si="19"/>
        <v>2.2739726027397262</v>
      </c>
      <c r="G226" s="38">
        <v>10</v>
      </c>
      <c r="H226" s="40">
        <f t="shared" si="20"/>
        <v>9.5000000000000001E-2</v>
      </c>
      <c r="I226" s="85">
        <v>8493888.1999999993</v>
      </c>
      <c r="J226" s="85">
        <v>5610580.5423180917</v>
      </c>
      <c r="K226" s="41">
        <v>0</v>
      </c>
      <c r="L226" s="42">
        <f t="shared" si="21"/>
        <v>8493888.1999999993</v>
      </c>
      <c r="M226" s="42">
        <f t="shared" si="22"/>
        <v>1834912.5604657535</v>
      </c>
      <c r="N226" s="42">
        <f t="shared" si="24"/>
        <v>6658975.6395342462</v>
      </c>
      <c r="O226" s="50">
        <v>0.2</v>
      </c>
      <c r="P226" s="43">
        <f t="shared" si="23"/>
        <v>5327180.5116273975</v>
      </c>
    </row>
    <row r="227" spans="2:16" x14ac:dyDescent="0.25">
      <c r="B227" s="38">
        <v>224</v>
      </c>
      <c r="C227" s="52" t="s">
        <v>68</v>
      </c>
      <c r="D227" s="69">
        <v>43631</v>
      </c>
      <c r="E227" s="39">
        <v>44405</v>
      </c>
      <c r="F227" s="58">
        <f t="shared" si="19"/>
        <v>2.1205479452054794</v>
      </c>
      <c r="G227" s="38">
        <v>10</v>
      </c>
      <c r="H227" s="40">
        <f t="shared" si="20"/>
        <v>9.5000000000000001E-2</v>
      </c>
      <c r="I227" s="85">
        <v>330000</v>
      </c>
      <c r="J227" s="85">
        <v>236057.54635850579</v>
      </c>
      <c r="K227" s="41">
        <v>0</v>
      </c>
      <c r="L227" s="42">
        <f t="shared" si="21"/>
        <v>330000</v>
      </c>
      <c r="M227" s="42">
        <f t="shared" si="22"/>
        <v>66479.178082191778</v>
      </c>
      <c r="N227" s="42">
        <f t="shared" si="24"/>
        <v>263520.82191780821</v>
      </c>
      <c r="O227" s="50">
        <v>0.2</v>
      </c>
      <c r="P227" s="43">
        <f t="shared" si="23"/>
        <v>210816.65753424657</v>
      </c>
    </row>
    <row r="228" spans="2:16" x14ac:dyDescent="0.25">
      <c r="B228" s="38">
        <v>225</v>
      </c>
      <c r="C228" s="52" t="s">
        <v>69</v>
      </c>
      <c r="D228" s="69">
        <v>43636</v>
      </c>
      <c r="E228" s="39">
        <v>44405</v>
      </c>
      <c r="F228" s="58">
        <f t="shared" si="19"/>
        <v>2.106849315068493</v>
      </c>
      <c r="G228" s="38">
        <v>8</v>
      </c>
      <c r="H228" s="40">
        <f t="shared" si="20"/>
        <v>0.11874999999999999</v>
      </c>
      <c r="I228" s="85">
        <v>35000</v>
      </c>
      <c r="J228" s="85">
        <v>25207.602197736571</v>
      </c>
      <c r="K228" s="41">
        <v>0</v>
      </c>
      <c r="L228" s="42">
        <f t="shared" si="21"/>
        <v>35000</v>
      </c>
      <c r="M228" s="42">
        <f t="shared" si="22"/>
        <v>8756.5924657534251</v>
      </c>
      <c r="N228" s="42">
        <f t="shared" si="24"/>
        <v>26243.407534246573</v>
      </c>
      <c r="O228" s="50">
        <v>0.2</v>
      </c>
      <c r="P228" s="43">
        <f t="shared" si="23"/>
        <v>20994.726027397261</v>
      </c>
    </row>
    <row r="229" spans="2:16" x14ac:dyDescent="0.25">
      <c r="B229" s="38">
        <v>226</v>
      </c>
      <c r="C229" s="52" t="s">
        <v>69</v>
      </c>
      <c r="D229" s="69">
        <v>43636</v>
      </c>
      <c r="E229" s="39">
        <v>44405</v>
      </c>
      <c r="F229" s="58">
        <f t="shared" si="19"/>
        <v>2.106849315068493</v>
      </c>
      <c r="G229" s="38">
        <v>8</v>
      </c>
      <c r="H229" s="40">
        <f t="shared" si="20"/>
        <v>0.11874999999999999</v>
      </c>
      <c r="I229" s="85">
        <v>35000</v>
      </c>
      <c r="J229" s="85">
        <v>25207.602197736571</v>
      </c>
      <c r="K229" s="41">
        <v>0</v>
      </c>
      <c r="L229" s="42">
        <f t="shared" si="21"/>
        <v>35000</v>
      </c>
      <c r="M229" s="42">
        <f t="shared" si="22"/>
        <v>8756.5924657534251</v>
      </c>
      <c r="N229" s="42">
        <f t="shared" si="24"/>
        <v>26243.407534246573</v>
      </c>
      <c r="O229" s="50">
        <v>0.2</v>
      </c>
      <c r="P229" s="43">
        <f t="shared" si="23"/>
        <v>20994.726027397261</v>
      </c>
    </row>
    <row r="230" spans="2:16" ht="30" x14ac:dyDescent="0.25">
      <c r="B230" s="38">
        <v>227</v>
      </c>
      <c r="C230" s="52" t="s">
        <v>70</v>
      </c>
      <c r="D230" s="69">
        <v>43636</v>
      </c>
      <c r="E230" s="39">
        <v>44405</v>
      </c>
      <c r="F230" s="58">
        <f t="shared" si="19"/>
        <v>2.106849315068493</v>
      </c>
      <c r="G230" s="38">
        <v>15</v>
      </c>
      <c r="H230" s="40">
        <f t="shared" si="20"/>
        <v>6.3333333333333325E-2</v>
      </c>
      <c r="I230" s="85">
        <v>1467326.39</v>
      </c>
      <c r="J230" s="85">
        <v>1056793.7123817389</v>
      </c>
      <c r="K230" s="41">
        <v>0</v>
      </c>
      <c r="L230" s="42">
        <f t="shared" si="21"/>
        <v>1467326.39</v>
      </c>
      <c r="M230" s="42">
        <f t="shared" si="22"/>
        <v>195790.92131771686</v>
      </c>
      <c r="N230" s="42">
        <f t="shared" si="24"/>
        <v>1271535.4686822831</v>
      </c>
      <c r="O230" s="50">
        <v>0.2</v>
      </c>
      <c r="P230" s="43">
        <f t="shared" si="23"/>
        <v>1017228.3749458265</v>
      </c>
    </row>
    <row r="231" spans="2:16" x14ac:dyDescent="0.25">
      <c r="B231" s="38">
        <v>228</v>
      </c>
      <c r="C231" s="52" t="s">
        <v>71</v>
      </c>
      <c r="D231" s="69">
        <v>43648</v>
      </c>
      <c r="E231" s="39">
        <v>44405</v>
      </c>
      <c r="F231" s="58">
        <f t="shared" si="19"/>
        <v>2.0739726027397261</v>
      </c>
      <c r="G231" s="38">
        <v>8</v>
      </c>
      <c r="H231" s="40">
        <f t="shared" si="20"/>
        <v>0.11874999999999999</v>
      </c>
      <c r="I231" s="85">
        <v>344000</v>
      </c>
      <c r="J231" s="85">
        <v>251792.98229269311</v>
      </c>
      <c r="K231" s="41">
        <v>0</v>
      </c>
      <c r="L231" s="42">
        <f t="shared" si="21"/>
        <v>344000</v>
      </c>
      <c r="M231" s="42">
        <f t="shared" si="22"/>
        <v>84721.780821917797</v>
      </c>
      <c r="N231" s="42">
        <f t="shared" si="24"/>
        <v>259278.21917808219</v>
      </c>
      <c r="O231" s="50">
        <v>0.2</v>
      </c>
      <c r="P231" s="43">
        <f t="shared" si="23"/>
        <v>207422.57534246577</v>
      </c>
    </row>
    <row r="232" spans="2:16" x14ac:dyDescent="0.25">
      <c r="B232" s="38">
        <v>229</v>
      </c>
      <c r="C232" s="52" t="s">
        <v>72</v>
      </c>
      <c r="D232" s="69">
        <v>43666</v>
      </c>
      <c r="E232" s="39">
        <v>44405</v>
      </c>
      <c r="F232" s="58">
        <f t="shared" si="19"/>
        <v>2.0246575342465754</v>
      </c>
      <c r="G232" s="38">
        <v>15</v>
      </c>
      <c r="H232" s="40">
        <f t="shared" si="20"/>
        <v>6.3333333333333325E-2</v>
      </c>
      <c r="I232" s="85">
        <v>180090.68</v>
      </c>
      <c r="J232" s="85">
        <v>134989.67977679597</v>
      </c>
      <c r="K232" s="41">
        <v>0.06</v>
      </c>
      <c r="L232" s="42">
        <f t="shared" si="21"/>
        <v>190896.1208</v>
      </c>
      <c r="M232" s="42">
        <f t="shared" si="22"/>
        <v>24478.287051623742</v>
      </c>
      <c r="N232" s="42">
        <f t="shared" si="24"/>
        <v>166417.83374837626</v>
      </c>
      <c r="O232" s="50">
        <v>0.2</v>
      </c>
      <c r="P232" s="43">
        <f t="shared" si="23"/>
        <v>133134.266998701</v>
      </c>
    </row>
    <row r="233" spans="2:16" x14ac:dyDescent="0.25">
      <c r="B233" s="38">
        <v>230</v>
      </c>
      <c r="C233" s="52" t="s">
        <v>73</v>
      </c>
      <c r="D233" s="69">
        <v>43679</v>
      </c>
      <c r="E233" s="39">
        <v>44405</v>
      </c>
      <c r="F233" s="58">
        <f t="shared" si="19"/>
        <v>1.989041095890411</v>
      </c>
      <c r="G233" s="38">
        <v>15</v>
      </c>
      <c r="H233" s="40">
        <f t="shared" si="20"/>
        <v>6.3333333333333325E-2</v>
      </c>
      <c r="I233" s="85">
        <v>150000</v>
      </c>
      <c r="J233" s="85">
        <v>114342.3676431067</v>
      </c>
      <c r="K233" s="41">
        <v>0.06</v>
      </c>
      <c r="L233" s="42">
        <f t="shared" si="21"/>
        <v>159000</v>
      </c>
      <c r="M233" s="42">
        <f t="shared" si="22"/>
        <v>20029.643835616436</v>
      </c>
      <c r="N233" s="42">
        <f t="shared" si="24"/>
        <v>138970.35616438356</v>
      </c>
      <c r="O233" s="50">
        <v>0.2</v>
      </c>
      <c r="P233" s="43">
        <f t="shared" si="23"/>
        <v>111176.28493150685</v>
      </c>
    </row>
    <row r="234" spans="2:16" x14ac:dyDescent="0.25">
      <c r="B234" s="38">
        <v>231</v>
      </c>
      <c r="C234" s="52" t="s">
        <v>73</v>
      </c>
      <c r="D234" s="69">
        <v>43679</v>
      </c>
      <c r="E234" s="39">
        <v>44405</v>
      </c>
      <c r="F234" s="58">
        <f t="shared" si="19"/>
        <v>1.989041095890411</v>
      </c>
      <c r="G234" s="38">
        <v>15</v>
      </c>
      <c r="H234" s="40">
        <f t="shared" si="20"/>
        <v>6.3333333333333325E-2</v>
      </c>
      <c r="I234" s="85">
        <v>150000</v>
      </c>
      <c r="J234" s="85">
        <v>114342.3676431067</v>
      </c>
      <c r="K234" s="41">
        <v>0.06</v>
      </c>
      <c r="L234" s="42">
        <f t="shared" si="21"/>
        <v>159000</v>
      </c>
      <c r="M234" s="42">
        <f t="shared" si="22"/>
        <v>20029.643835616436</v>
      </c>
      <c r="N234" s="42">
        <f t="shared" si="24"/>
        <v>138970.35616438356</v>
      </c>
      <c r="O234" s="50">
        <v>0.2</v>
      </c>
      <c r="P234" s="43">
        <f t="shared" si="23"/>
        <v>111176.28493150685</v>
      </c>
    </row>
    <row r="235" spans="2:16" x14ac:dyDescent="0.25">
      <c r="B235" s="38">
        <v>232</v>
      </c>
      <c r="C235" s="52" t="s">
        <v>74</v>
      </c>
      <c r="D235" s="69">
        <v>43679</v>
      </c>
      <c r="E235" s="39">
        <v>44405</v>
      </c>
      <c r="F235" s="58">
        <f t="shared" si="19"/>
        <v>1.989041095890411</v>
      </c>
      <c r="G235" s="38">
        <v>8</v>
      </c>
      <c r="H235" s="40">
        <f t="shared" si="20"/>
        <v>0.11874999999999999</v>
      </c>
      <c r="I235" s="85">
        <v>107460.2</v>
      </c>
      <c r="J235" s="85">
        <v>81915.024636011818</v>
      </c>
      <c r="K235" s="41">
        <v>0</v>
      </c>
      <c r="L235" s="42">
        <f t="shared" si="21"/>
        <v>107460.2</v>
      </c>
      <c r="M235" s="42">
        <f t="shared" si="22"/>
        <v>25381.952034246577</v>
      </c>
      <c r="N235" s="42">
        <f t="shared" si="24"/>
        <v>82078.247965753428</v>
      </c>
      <c r="O235" s="50">
        <v>0.2</v>
      </c>
      <c r="P235" s="43">
        <f t="shared" si="23"/>
        <v>65662.598372602748</v>
      </c>
    </row>
    <row r="236" spans="2:16" x14ac:dyDescent="0.25">
      <c r="B236" s="38">
        <v>233</v>
      </c>
      <c r="C236" s="52" t="s">
        <v>38</v>
      </c>
      <c r="D236" s="69">
        <v>43702</v>
      </c>
      <c r="E236" s="39">
        <v>44405</v>
      </c>
      <c r="F236" s="58">
        <f t="shared" si="19"/>
        <v>1.9260273972602739</v>
      </c>
      <c r="G236" s="38">
        <v>15</v>
      </c>
      <c r="H236" s="40">
        <f t="shared" si="20"/>
        <v>6.3333333333333325E-2</v>
      </c>
      <c r="I236" s="85">
        <v>261049.66</v>
      </c>
      <c r="J236" s="85">
        <v>204867.19589306338</v>
      </c>
      <c r="K236" s="41">
        <v>0</v>
      </c>
      <c r="L236" s="42">
        <f t="shared" si="21"/>
        <v>261049.66</v>
      </c>
      <c r="M236" s="42">
        <f t="shared" si="22"/>
        <v>31843.290489680359</v>
      </c>
      <c r="N236" s="42">
        <f t="shared" si="24"/>
        <v>229206.36951031964</v>
      </c>
      <c r="O236" s="50">
        <v>0.2</v>
      </c>
      <c r="P236" s="43">
        <f t="shared" si="23"/>
        <v>183365.09560825571</v>
      </c>
    </row>
    <row r="237" spans="2:16" x14ac:dyDescent="0.25">
      <c r="B237" s="38">
        <v>234</v>
      </c>
      <c r="C237" s="52" t="s">
        <v>38</v>
      </c>
      <c r="D237" s="69">
        <v>43710</v>
      </c>
      <c r="E237" s="39">
        <v>44405</v>
      </c>
      <c r="F237" s="58">
        <f t="shared" si="19"/>
        <v>1.904109589041096</v>
      </c>
      <c r="G237" s="38">
        <v>15</v>
      </c>
      <c r="H237" s="40">
        <f t="shared" si="20"/>
        <v>6.3333333333333325E-2</v>
      </c>
      <c r="I237" s="85">
        <v>456496.59</v>
      </c>
      <c r="J237" s="85">
        <v>361823.10394732957</v>
      </c>
      <c r="K237" s="41">
        <v>0</v>
      </c>
      <c r="L237" s="42">
        <f t="shared" si="21"/>
        <v>456496.59</v>
      </c>
      <c r="M237" s="42">
        <f t="shared" si="22"/>
        <v>55050.570510958903</v>
      </c>
      <c r="N237" s="42">
        <f t="shared" si="24"/>
        <v>401446.01948904112</v>
      </c>
      <c r="O237" s="50">
        <v>0.2</v>
      </c>
      <c r="P237" s="43">
        <f t="shared" si="23"/>
        <v>321156.81559123291</v>
      </c>
    </row>
    <row r="238" spans="2:16" x14ac:dyDescent="0.25">
      <c r="B238" s="38">
        <v>235</v>
      </c>
      <c r="C238" s="52" t="s">
        <v>75</v>
      </c>
      <c r="D238" s="69">
        <v>43774</v>
      </c>
      <c r="E238" s="39">
        <v>44405</v>
      </c>
      <c r="F238" s="58">
        <f t="shared" si="19"/>
        <v>1.7287671232876711</v>
      </c>
      <c r="G238" s="38">
        <v>10</v>
      </c>
      <c r="H238" s="40">
        <f t="shared" si="20"/>
        <v>9.5000000000000001E-2</v>
      </c>
      <c r="I238" s="85">
        <v>211667.41</v>
      </c>
      <c r="J238" s="85">
        <v>181021.62986880826</v>
      </c>
      <c r="K238" s="41">
        <v>0</v>
      </c>
      <c r="L238" s="42">
        <f t="shared" si="21"/>
        <v>211667.41</v>
      </c>
      <c r="M238" s="42">
        <f t="shared" si="22"/>
        <v>34762.747650547943</v>
      </c>
      <c r="N238" s="42">
        <f t="shared" si="24"/>
        <v>176904.66234945206</v>
      </c>
      <c r="O238" s="50">
        <v>0.2</v>
      </c>
      <c r="P238" s="43">
        <f t="shared" si="23"/>
        <v>141523.72987956167</v>
      </c>
    </row>
    <row r="239" spans="2:16" x14ac:dyDescent="0.25">
      <c r="B239" s="38">
        <v>236</v>
      </c>
      <c r="C239" s="52" t="s">
        <v>76</v>
      </c>
      <c r="D239" s="69">
        <v>43788</v>
      </c>
      <c r="E239" s="39">
        <v>44405</v>
      </c>
      <c r="F239" s="58">
        <f t="shared" si="19"/>
        <v>1.6904109589041096</v>
      </c>
      <c r="G239" s="38">
        <v>10</v>
      </c>
      <c r="H239" s="40">
        <f t="shared" si="20"/>
        <v>9.5000000000000001E-2</v>
      </c>
      <c r="I239" s="85">
        <v>164689.88</v>
      </c>
      <c r="J239" s="85">
        <v>143101.17053530653</v>
      </c>
      <c r="K239" s="41">
        <v>0</v>
      </c>
      <c r="L239" s="42">
        <f t="shared" si="21"/>
        <v>164689.88</v>
      </c>
      <c r="M239" s="42">
        <f t="shared" si="22"/>
        <v>26447.389907397264</v>
      </c>
      <c r="N239" s="42">
        <f t="shared" si="24"/>
        <v>138242.49009260273</v>
      </c>
      <c r="O239" s="50">
        <v>0.2</v>
      </c>
      <c r="P239" s="43">
        <f t="shared" si="23"/>
        <v>110593.9920740822</v>
      </c>
    </row>
    <row r="240" spans="2:16" x14ac:dyDescent="0.25">
      <c r="B240" s="38">
        <v>237</v>
      </c>
      <c r="C240" s="52" t="s">
        <v>77</v>
      </c>
      <c r="D240" s="69">
        <v>43801</v>
      </c>
      <c r="E240" s="39">
        <v>44405</v>
      </c>
      <c r="F240" s="58">
        <f t="shared" si="19"/>
        <v>1.6547945205479453</v>
      </c>
      <c r="G240" s="38">
        <v>10</v>
      </c>
      <c r="H240" s="40">
        <f t="shared" si="20"/>
        <v>9.5000000000000001E-2</v>
      </c>
      <c r="I240" s="85">
        <v>255000</v>
      </c>
      <c r="J240" s="85">
        <v>224815.74084027592</v>
      </c>
      <c r="K240" s="41">
        <v>0.06</v>
      </c>
      <c r="L240" s="42">
        <f t="shared" si="21"/>
        <v>270300</v>
      </c>
      <c r="M240" s="42">
        <f t="shared" si="22"/>
        <v>42492.641095890409</v>
      </c>
      <c r="N240" s="42">
        <f t="shared" si="24"/>
        <v>227807.3589041096</v>
      </c>
      <c r="O240" s="50">
        <v>0.2</v>
      </c>
      <c r="P240" s="43">
        <f t="shared" si="23"/>
        <v>182245.88712328768</v>
      </c>
    </row>
    <row r="241" spans="2:16" x14ac:dyDescent="0.25">
      <c r="B241" s="38">
        <v>238</v>
      </c>
      <c r="C241" s="52" t="s">
        <v>78</v>
      </c>
      <c r="D241" s="69">
        <v>43804</v>
      </c>
      <c r="E241" s="39">
        <v>44405</v>
      </c>
      <c r="F241" s="58">
        <f t="shared" si="19"/>
        <v>1.6465753424657534</v>
      </c>
      <c r="G241" s="38">
        <v>10</v>
      </c>
      <c r="H241" s="40">
        <f t="shared" si="20"/>
        <v>9.5000000000000001E-2</v>
      </c>
      <c r="I241" s="85">
        <v>162000</v>
      </c>
      <c r="J241" s="85">
        <v>143299.55280838485</v>
      </c>
      <c r="K241" s="41">
        <v>0.06</v>
      </c>
      <c r="L241" s="42">
        <f t="shared" si="21"/>
        <v>171720</v>
      </c>
      <c r="M241" s="42">
        <f t="shared" si="22"/>
        <v>26861.242191780824</v>
      </c>
      <c r="N241" s="42">
        <f t="shared" si="24"/>
        <v>144858.75780821918</v>
      </c>
      <c r="O241" s="50">
        <v>0.2</v>
      </c>
      <c r="P241" s="43">
        <f t="shared" si="23"/>
        <v>115887.00624657534</v>
      </c>
    </row>
    <row r="242" spans="2:16" ht="30" x14ac:dyDescent="0.25">
      <c r="B242" s="38">
        <v>239</v>
      </c>
      <c r="C242" s="52" t="s">
        <v>79</v>
      </c>
      <c r="D242" s="69">
        <v>43821</v>
      </c>
      <c r="E242" s="39">
        <v>44405</v>
      </c>
      <c r="F242" s="58">
        <f t="shared" si="19"/>
        <v>1.6</v>
      </c>
      <c r="G242" s="38">
        <v>8</v>
      </c>
      <c r="H242" s="40">
        <f t="shared" si="20"/>
        <v>0.11874999999999999</v>
      </c>
      <c r="I242" s="85">
        <v>356823.08</v>
      </c>
      <c r="J242" s="85">
        <v>321567.38489677565</v>
      </c>
      <c r="K242" s="41">
        <v>0</v>
      </c>
      <c r="L242" s="42">
        <f t="shared" si="21"/>
        <v>356823.08</v>
      </c>
      <c r="M242" s="42">
        <f t="shared" si="22"/>
        <v>67796.385200000004</v>
      </c>
      <c r="N242" s="42">
        <f t="shared" si="24"/>
        <v>289026.6948</v>
      </c>
      <c r="O242" s="50">
        <v>0.2</v>
      </c>
      <c r="P242" s="43">
        <f t="shared" si="23"/>
        <v>231221.35584</v>
      </c>
    </row>
    <row r="243" spans="2:16" x14ac:dyDescent="0.25">
      <c r="B243" s="38">
        <v>240</v>
      </c>
      <c r="C243" s="52" t="s">
        <v>80</v>
      </c>
      <c r="D243" s="69">
        <v>43825</v>
      </c>
      <c r="E243" s="39">
        <v>44405</v>
      </c>
      <c r="F243" s="58">
        <f t="shared" si="19"/>
        <v>1.5890410958904109</v>
      </c>
      <c r="G243" s="38">
        <v>15</v>
      </c>
      <c r="H243" s="40">
        <f t="shared" si="20"/>
        <v>6.3333333333333325E-2</v>
      </c>
      <c r="I243" s="85">
        <v>2749525.67</v>
      </c>
      <c r="J243" s="85">
        <v>2488619.4197069965</v>
      </c>
      <c r="K243" s="41">
        <v>0</v>
      </c>
      <c r="L243" s="42">
        <f t="shared" si="21"/>
        <v>2749525.67</v>
      </c>
      <c r="M243" s="42">
        <f t="shared" si="22"/>
        <v>276710.25464292231</v>
      </c>
      <c r="N243" s="42">
        <f t="shared" si="24"/>
        <v>2472815.4153570775</v>
      </c>
      <c r="O243" s="50">
        <v>0.2</v>
      </c>
      <c r="P243" s="43">
        <f t="shared" si="23"/>
        <v>1978252.3322856622</v>
      </c>
    </row>
    <row r="244" spans="2:16" ht="30" x14ac:dyDescent="0.25">
      <c r="B244" s="38">
        <v>241</v>
      </c>
      <c r="C244" s="52" t="s">
        <v>81</v>
      </c>
      <c r="D244" s="69">
        <v>43848</v>
      </c>
      <c r="E244" s="39">
        <v>44405</v>
      </c>
      <c r="F244" s="58">
        <f t="shared" si="19"/>
        <v>1.526027397260274</v>
      </c>
      <c r="G244" s="38">
        <v>8</v>
      </c>
      <c r="H244" s="40">
        <f t="shared" si="20"/>
        <v>0.11874999999999999</v>
      </c>
      <c r="I244" s="85">
        <v>175289.89</v>
      </c>
      <c r="J244" s="85">
        <v>162600.41780359345</v>
      </c>
      <c r="K244" s="41">
        <v>0</v>
      </c>
      <c r="L244" s="42">
        <f t="shared" si="21"/>
        <v>175289.89</v>
      </c>
      <c r="M244" s="42">
        <f t="shared" si="22"/>
        <v>31765.289484075347</v>
      </c>
      <c r="N244" s="42">
        <f t="shared" si="24"/>
        <v>143524.60051592466</v>
      </c>
      <c r="O244" s="50">
        <v>0.2</v>
      </c>
      <c r="P244" s="43">
        <f t="shared" si="23"/>
        <v>114819.68041273973</v>
      </c>
    </row>
    <row r="245" spans="2:16" x14ac:dyDescent="0.25">
      <c r="B245" s="38">
        <v>242</v>
      </c>
      <c r="C245" s="52" t="s">
        <v>82</v>
      </c>
      <c r="D245" s="69">
        <v>43881</v>
      </c>
      <c r="E245" s="39">
        <v>44405</v>
      </c>
      <c r="F245" s="58">
        <f t="shared" si="19"/>
        <v>1.4356164383561645</v>
      </c>
      <c r="G245" s="38">
        <v>5</v>
      </c>
      <c r="H245" s="40">
        <f t="shared" si="20"/>
        <v>0.19</v>
      </c>
      <c r="I245" s="85">
        <v>105316.1</v>
      </c>
      <c r="J245" s="85">
        <v>101092.00579485504</v>
      </c>
      <c r="K245" s="41">
        <v>0</v>
      </c>
      <c r="L245" s="42">
        <f t="shared" si="21"/>
        <v>105316.1</v>
      </c>
      <c r="M245" s="42">
        <f t="shared" si="22"/>
        <v>28726.76963287672</v>
      </c>
      <c r="N245" s="42">
        <f t="shared" si="24"/>
        <v>76589.330367123286</v>
      </c>
      <c r="O245" s="50">
        <v>0.2</v>
      </c>
      <c r="P245" s="43">
        <f t="shared" si="23"/>
        <v>61271.464293698635</v>
      </c>
    </row>
    <row r="246" spans="2:16" x14ac:dyDescent="0.25">
      <c r="B246" s="38">
        <v>243</v>
      </c>
      <c r="C246" s="52" t="s">
        <v>80</v>
      </c>
      <c r="D246" s="69">
        <v>43900</v>
      </c>
      <c r="E246" s="39">
        <v>44405</v>
      </c>
      <c r="F246" s="58">
        <f t="shared" si="19"/>
        <v>1.3835616438356164</v>
      </c>
      <c r="G246" s="38">
        <v>15</v>
      </c>
      <c r="H246" s="40">
        <f t="shared" si="20"/>
        <v>6.3333333333333325E-2</v>
      </c>
      <c r="I246" s="85">
        <v>4216512.83</v>
      </c>
      <c r="J246" s="85">
        <v>4125766.0806160276</v>
      </c>
      <c r="K246" s="41">
        <v>0</v>
      </c>
      <c r="L246" s="42">
        <f t="shared" si="21"/>
        <v>4216512.83</v>
      </c>
      <c r="M246" s="42">
        <f t="shared" si="22"/>
        <v>369474.34341415524</v>
      </c>
      <c r="N246" s="42">
        <f t="shared" si="24"/>
        <v>3847038.4865858448</v>
      </c>
      <c r="O246" s="50">
        <v>0.2</v>
      </c>
      <c r="P246" s="43">
        <f t="shared" si="23"/>
        <v>3077630.7892686762</v>
      </c>
    </row>
    <row r="247" spans="2:16" x14ac:dyDescent="0.25">
      <c r="B247" s="38">
        <v>244</v>
      </c>
      <c r="C247" s="52" t="s">
        <v>83</v>
      </c>
      <c r="D247" s="69">
        <v>43902</v>
      </c>
      <c r="E247" s="39">
        <v>44405</v>
      </c>
      <c r="F247" s="58">
        <f t="shared" si="19"/>
        <v>1.3780821917808219</v>
      </c>
      <c r="G247" s="38">
        <v>10</v>
      </c>
      <c r="H247" s="40">
        <f t="shared" si="20"/>
        <v>9.5000000000000001E-2</v>
      </c>
      <c r="I247" s="85">
        <v>449370.46</v>
      </c>
      <c r="J247" s="85">
        <v>440578.42342676106</v>
      </c>
      <c r="K247" s="41">
        <v>0</v>
      </c>
      <c r="L247" s="42">
        <f t="shared" si="21"/>
        <v>449370.46</v>
      </c>
      <c r="M247" s="42">
        <f t="shared" si="22"/>
        <v>58830.595701643841</v>
      </c>
      <c r="N247" s="42">
        <f t="shared" si="24"/>
        <v>390539.86429835617</v>
      </c>
      <c r="O247" s="50">
        <v>0.2</v>
      </c>
      <c r="P247" s="43">
        <f t="shared" si="23"/>
        <v>312431.89143868495</v>
      </c>
    </row>
    <row r="248" spans="2:16" ht="30" x14ac:dyDescent="0.25">
      <c r="B248" s="38">
        <v>245</v>
      </c>
      <c r="C248" s="52" t="s">
        <v>84</v>
      </c>
      <c r="D248" s="69">
        <v>43908</v>
      </c>
      <c r="E248" s="39">
        <v>44405</v>
      </c>
      <c r="F248" s="58">
        <f t="shared" si="19"/>
        <v>1.3616438356164384</v>
      </c>
      <c r="G248" s="38">
        <v>15</v>
      </c>
      <c r="H248" s="40">
        <f t="shared" si="20"/>
        <v>6.3333333333333325E-2</v>
      </c>
      <c r="I248" s="85">
        <v>124132.24</v>
      </c>
      <c r="J248" s="85">
        <v>122432.16688927828</v>
      </c>
      <c r="K248" s="41">
        <v>0</v>
      </c>
      <c r="L248" s="42">
        <f t="shared" si="21"/>
        <v>124132.24</v>
      </c>
      <c r="M248" s="42">
        <f t="shared" si="22"/>
        <v>10704.846961826484</v>
      </c>
      <c r="N248" s="42">
        <f t="shared" si="24"/>
        <v>113427.39303817353</v>
      </c>
      <c r="O248" s="50">
        <v>0.2</v>
      </c>
      <c r="P248" s="43">
        <f t="shared" si="23"/>
        <v>90741.914430538833</v>
      </c>
    </row>
    <row r="249" spans="2:16" ht="30" x14ac:dyDescent="0.25">
      <c r="B249" s="38">
        <v>246</v>
      </c>
      <c r="C249" s="52" t="s">
        <v>85</v>
      </c>
      <c r="D249" s="69">
        <v>43910</v>
      </c>
      <c r="E249" s="39">
        <v>44405</v>
      </c>
      <c r="F249" s="58">
        <f t="shared" si="19"/>
        <v>1.3561643835616439</v>
      </c>
      <c r="G249" s="38">
        <v>15</v>
      </c>
      <c r="H249" s="40">
        <f t="shared" si="20"/>
        <v>6.3333333333333325E-2</v>
      </c>
      <c r="I249" s="85">
        <v>13927509.02</v>
      </c>
      <c r="J249" s="85">
        <v>13764012.066491365</v>
      </c>
      <c r="K249" s="41">
        <v>0</v>
      </c>
      <c r="L249" s="42">
        <f t="shared" si="21"/>
        <v>13927509.02</v>
      </c>
      <c r="M249" s="42">
        <f t="shared" si="22"/>
        <v>1196239.4733616437</v>
      </c>
      <c r="N249" s="42">
        <f t="shared" si="24"/>
        <v>12731269.546638357</v>
      </c>
      <c r="O249" s="50">
        <v>0.2</v>
      </c>
      <c r="P249" s="43">
        <f t="shared" si="23"/>
        <v>10185015.637310686</v>
      </c>
    </row>
    <row r="250" spans="2:16" x14ac:dyDescent="0.25">
      <c r="B250" s="38">
        <v>247</v>
      </c>
      <c r="C250" s="52" t="s">
        <v>80</v>
      </c>
      <c r="D250" s="53">
        <v>43678</v>
      </c>
      <c r="E250" s="39">
        <v>44405</v>
      </c>
      <c r="F250" s="58">
        <f t="shared" si="19"/>
        <v>1.9917808219178081</v>
      </c>
      <c r="G250" s="38">
        <v>15</v>
      </c>
      <c r="H250" s="40">
        <f t="shared" si="20"/>
        <v>6.3333333333333325E-2</v>
      </c>
      <c r="I250" s="85">
        <v>170000</v>
      </c>
      <c r="J250" s="85">
        <v>140658</v>
      </c>
      <c r="K250" s="41">
        <v>0</v>
      </c>
      <c r="L250" s="42">
        <f t="shared" si="21"/>
        <v>170000</v>
      </c>
      <c r="M250" s="42">
        <f t="shared" si="22"/>
        <v>21444.840182648401</v>
      </c>
      <c r="N250" s="42">
        <f t="shared" si="24"/>
        <v>148555.15981735161</v>
      </c>
      <c r="O250" s="50">
        <v>0.2</v>
      </c>
      <c r="P250" s="43">
        <f t="shared" si="23"/>
        <v>118844.12785388129</v>
      </c>
    </row>
    <row r="251" spans="2:16" ht="30" x14ac:dyDescent="0.25">
      <c r="B251" s="38">
        <v>248</v>
      </c>
      <c r="C251" s="52" t="s">
        <v>86</v>
      </c>
      <c r="D251" s="53">
        <v>43733</v>
      </c>
      <c r="E251" s="39">
        <v>44405</v>
      </c>
      <c r="F251" s="58">
        <f t="shared" si="19"/>
        <v>1.8410958904109589</v>
      </c>
      <c r="G251" s="38">
        <v>15</v>
      </c>
      <c r="H251" s="40">
        <f t="shared" si="20"/>
        <v>6.3333333333333325E-2</v>
      </c>
      <c r="I251" s="85">
        <v>339817.47</v>
      </c>
      <c r="J251" s="85">
        <v>294385.82403336884</v>
      </c>
      <c r="K251" s="41">
        <v>0.05</v>
      </c>
      <c r="L251" s="42">
        <f t="shared" si="21"/>
        <v>356808.34349999996</v>
      </c>
      <c r="M251" s="42">
        <f t="shared" si="22"/>
        <v>41604.830409205468</v>
      </c>
      <c r="N251" s="42">
        <f t="shared" si="24"/>
        <v>315203.5130907945</v>
      </c>
      <c r="O251" s="50">
        <v>0.2</v>
      </c>
      <c r="P251" s="43">
        <f t="shared" si="23"/>
        <v>252162.81047263561</v>
      </c>
    </row>
    <row r="252" spans="2:16" x14ac:dyDescent="0.25">
      <c r="B252" s="38">
        <v>249</v>
      </c>
      <c r="C252" s="52" t="s">
        <v>87</v>
      </c>
      <c r="D252" s="53">
        <v>43809</v>
      </c>
      <c r="E252" s="39">
        <v>44405</v>
      </c>
      <c r="F252" s="58">
        <f t="shared" si="19"/>
        <v>1.6328767123287671</v>
      </c>
      <c r="G252" s="38">
        <v>10</v>
      </c>
      <c r="H252" s="40">
        <f t="shared" si="20"/>
        <v>9.5000000000000001E-2</v>
      </c>
      <c r="I252" s="85">
        <v>630000</v>
      </c>
      <c r="J252" s="85">
        <v>579641.82786885242</v>
      </c>
      <c r="K252" s="41">
        <v>0</v>
      </c>
      <c r="L252" s="42">
        <f t="shared" si="21"/>
        <v>630000</v>
      </c>
      <c r="M252" s="42">
        <f t="shared" si="22"/>
        <v>97727.671232876717</v>
      </c>
      <c r="N252" s="42">
        <f t="shared" si="24"/>
        <v>532272.32876712328</v>
      </c>
      <c r="O252" s="50">
        <v>0.2</v>
      </c>
      <c r="P252" s="43">
        <f t="shared" si="23"/>
        <v>425817.86301369866</v>
      </c>
    </row>
    <row r="253" spans="2:16" ht="30" x14ac:dyDescent="0.25">
      <c r="B253" s="38">
        <v>250</v>
      </c>
      <c r="C253" s="52" t="s">
        <v>88</v>
      </c>
      <c r="D253" s="53">
        <v>43809</v>
      </c>
      <c r="E253" s="39">
        <v>44405</v>
      </c>
      <c r="F253" s="58">
        <f t="shared" si="19"/>
        <v>1.6328767123287671</v>
      </c>
      <c r="G253" s="38">
        <v>15</v>
      </c>
      <c r="H253" s="40">
        <f t="shared" si="20"/>
        <v>6.3333333333333325E-2</v>
      </c>
      <c r="I253" s="85">
        <v>220503.46</v>
      </c>
      <c r="J253" s="85">
        <v>202877.82318381965</v>
      </c>
      <c r="K253" s="41">
        <v>0.05</v>
      </c>
      <c r="L253" s="42">
        <f t="shared" si="21"/>
        <v>231528.633</v>
      </c>
      <c r="M253" s="42">
        <f t="shared" si="22"/>
        <v>23943.65516065753</v>
      </c>
      <c r="N253" s="42">
        <f t="shared" si="24"/>
        <v>207584.97783934246</v>
      </c>
      <c r="O253" s="50">
        <v>0.2</v>
      </c>
      <c r="P253" s="43">
        <f t="shared" si="23"/>
        <v>166067.98227147397</v>
      </c>
    </row>
    <row r="254" spans="2:16" x14ac:dyDescent="0.25">
      <c r="B254" s="38">
        <v>251</v>
      </c>
      <c r="C254" s="52" t="s">
        <v>89</v>
      </c>
      <c r="D254" s="53">
        <v>43908</v>
      </c>
      <c r="E254" s="39">
        <v>44405</v>
      </c>
      <c r="F254" s="58">
        <f t="shared" si="19"/>
        <v>1.3616438356164384</v>
      </c>
      <c r="G254" s="38">
        <v>15</v>
      </c>
      <c r="H254" s="40">
        <f t="shared" si="20"/>
        <v>6.3333333333333325E-2</v>
      </c>
      <c r="I254" s="85">
        <v>629652.62</v>
      </c>
      <c r="J254" s="85">
        <v>623416.99462718028</v>
      </c>
      <c r="K254" s="41">
        <v>0</v>
      </c>
      <c r="L254" s="42">
        <f t="shared" si="21"/>
        <v>629652.62</v>
      </c>
      <c r="M254" s="42">
        <f t="shared" si="22"/>
        <v>54299.63187817351</v>
      </c>
      <c r="N254" s="42">
        <f t="shared" si="24"/>
        <v>575352.98812182643</v>
      </c>
      <c r="O254" s="50">
        <v>0.2</v>
      </c>
      <c r="P254" s="43">
        <f t="shared" si="23"/>
        <v>460282.39049746119</v>
      </c>
    </row>
    <row r="255" spans="2:16" x14ac:dyDescent="0.25">
      <c r="B255" s="96" t="s">
        <v>90</v>
      </c>
      <c r="C255" s="96"/>
      <c r="D255" s="96"/>
      <c r="E255" s="96"/>
      <c r="F255" s="96"/>
      <c r="G255" s="96"/>
      <c r="H255" s="96"/>
      <c r="I255" s="70">
        <f>SUM(I4:I254)</f>
        <v>538607730.13000011</v>
      </c>
      <c r="J255" s="70">
        <f>SUM(J4:J254)</f>
        <v>140816391.21778959</v>
      </c>
      <c r="K255" s="55"/>
      <c r="L255" s="70">
        <f>SUM(L4:L254)</f>
        <v>576884670.23977458</v>
      </c>
      <c r="M255" s="70"/>
      <c r="N255" s="70"/>
      <c r="O255" s="56"/>
      <c r="P255" s="70">
        <f t="shared" ref="P255" si="25">SUM(P4:P254)</f>
        <v>242612893.96816984</v>
      </c>
    </row>
    <row r="263" spans="16:16" x14ac:dyDescent="0.25">
      <c r="P263">
        <v>289069368.65520895</v>
      </c>
    </row>
  </sheetData>
  <autoFilter ref="B3:P255"/>
  <mergeCells count="21">
    <mergeCell ref="B255:H255"/>
    <mergeCell ref="J191:J195"/>
    <mergeCell ref="J200:J201"/>
    <mergeCell ref="J204:J205"/>
    <mergeCell ref="J146:J148"/>
    <mergeCell ref="J149:J151"/>
    <mergeCell ref="B2:P2"/>
    <mergeCell ref="J155:J168"/>
    <mergeCell ref="J169:J170"/>
    <mergeCell ref="J173:J176"/>
    <mergeCell ref="J181:J182"/>
    <mergeCell ref="J144:J145"/>
    <mergeCell ref="J4:J24"/>
    <mergeCell ref="J35:J42"/>
    <mergeCell ref="J43:J47"/>
    <mergeCell ref="J51:J54"/>
    <mergeCell ref="J57:J63"/>
    <mergeCell ref="J67:J73"/>
    <mergeCell ref="J90:J94"/>
    <mergeCell ref="J121:J123"/>
    <mergeCell ref="J124:J139"/>
  </mergeCells>
  <conditionalFormatting sqref="D25:D26">
    <cfRule type="cellIs" dxfId="1" priority="2" operator="greaterThan">
      <formula>42645</formula>
    </cfRule>
  </conditionalFormatting>
  <conditionalFormatting sqref="D32">
    <cfRule type="cellIs" dxfId="0" priority="1" operator="lessThan">
      <formula>43010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workbookViewId="0">
      <selection activeCell="L6" sqref="L6"/>
    </sheetView>
  </sheetViews>
  <sheetFormatPr defaultColWidth="16.85546875" defaultRowHeight="15" x14ac:dyDescent="0.25"/>
  <cols>
    <col min="2" max="2" width="6.140625" bestFit="1" customWidth="1"/>
    <col min="5" max="5" width="12.7109375" customWidth="1"/>
    <col min="6" max="6" width="31.28515625" customWidth="1"/>
    <col min="7" max="7" width="13.42578125" customWidth="1"/>
    <col min="10" max="10" width="14.5703125" bestFit="1" customWidth="1"/>
    <col min="11" max="11" width="15.85546875" bestFit="1" customWidth="1"/>
  </cols>
  <sheetData>
    <row r="2" spans="2:11" ht="15.75" thickBot="1" x14ac:dyDescent="0.3"/>
    <row r="3" spans="2:11" x14ac:dyDescent="0.25">
      <c r="B3" s="118" t="s">
        <v>170</v>
      </c>
      <c r="C3" s="119"/>
      <c r="D3" s="119"/>
      <c r="E3" s="119"/>
      <c r="F3" s="119"/>
      <c r="G3" s="119"/>
      <c r="H3" s="119"/>
      <c r="I3" s="119"/>
      <c r="J3" s="119"/>
      <c r="K3" s="120"/>
    </row>
    <row r="4" spans="2:11" ht="38.25" customHeight="1" x14ac:dyDescent="0.25">
      <c r="B4" s="138" t="s">
        <v>91</v>
      </c>
      <c r="C4" s="121" t="s">
        <v>171</v>
      </c>
      <c r="D4" s="121" t="s">
        <v>172</v>
      </c>
      <c r="E4" s="121" t="s">
        <v>173</v>
      </c>
      <c r="F4" s="121" t="s">
        <v>174</v>
      </c>
      <c r="G4" s="121" t="s">
        <v>175</v>
      </c>
      <c r="H4" s="121" t="s">
        <v>176</v>
      </c>
      <c r="I4" s="121" t="s">
        <v>177</v>
      </c>
      <c r="J4" s="122" t="s">
        <v>178</v>
      </c>
      <c r="K4" s="123" t="s">
        <v>179</v>
      </c>
    </row>
    <row r="5" spans="2:11" ht="30" x14ac:dyDescent="0.25">
      <c r="B5" s="124">
        <v>1</v>
      </c>
      <c r="C5" s="125" t="s">
        <v>180</v>
      </c>
      <c r="D5" s="126" t="s">
        <v>181</v>
      </c>
      <c r="E5" s="126">
        <v>9</v>
      </c>
      <c r="F5" s="127" t="s">
        <v>182</v>
      </c>
      <c r="G5" s="128">
        <v>2013</v>
      </c>
      <c r="H5" s="126">
        <v>6.75</v>
      </c>
      <c r="I5" s="126">
        <f>H5*10.7639</f>
        <v>72.656324999999995</v>
      </c>
      <c r="J5" s="129">
        <v>450</v>
      </c>
      <c r="K5" s="130">
        <f>J5*I5</f>
        <v>32695.346249999999</v>
      </c>
    </row>
    <row r="6" spans="2:11" ht="30" x14ac:dyDescent="0.25">
      <c r="B6" s="124">
        <v>2</v>
      </c>
      <c r="C6" s="125" t="s">
        <v>183</v>
      </c>
      <c r="D6" s="126" t="s">
        <v>181</v>
      </c>
      <c r="E6" s="126">
        <v>15</v>
      </c>
      <c r="F6" s="127" t="s">
        <v>182</v>
      </c>
      <c r="G6" s="128">
        <v>2013</v>
      </c>
      <c r="H6" s="126">
        <v>216</v>
      </c>
      <c r="I6" s="131">
        <f t="shared" ref="I6:I27" si="0">H6*10.7639</f>
        <v>2325.0023999999999</v>
      </c>
      <c r="J6" s="129">
        <v>450</v>
      </c>
      <c r="K6" s="130">
        <f t="shared" ref="K6:K27" si="1">J6*I6</f>
        <v>1046251.08</v>
      </c>
    </row>
    <row r="7" spans="2:11" ht="45" x14ac:dyDescent="0.25">
      <c r="B7" s="124">
        <v>3</v>
      </c>
      <c r="C7" s="125" t="s">
        <v>184</v>
      </c>
      <c r="D7" s="126" t="s">
        <v>185</v>
      </c>
      <c r="E7" s="126">
        <v>12</v>
      </c>
      <c r="F7" s="127" t="s">
        <v>186</v>
      </c>
      <c r="G7" s="128">
        <v>2013</v>
      </c>
      <c r="H7" s="126">
        <v>34</v>
      </c>
      <c r="I7" s="131">
        <f t="shared" si="0"/>
        <v>365.9726</v>
      </c>
      <c r="J7" s="129">
        <v>1000</v>
      </c>
      <c r="K7" s="130">
        <f t="shared" si="1"/>
        <v>365972.6</v>
      </c>
    </row>
    <row r="8" spans="2:11" ht="30" x14ac:dyDescent="0.25">
      <c r="B8" s="124">
        <v>4</v>
      </c>
      <c r="C8" s="125" t="s">
        <v>187</v>
      </c>
      <c r="D8" s="126" t="s">
        <v>181</v>
      </c>
      <c r="E8" s="126">
        <v>15</v>
      </c>
      <c r="F8" s="127" t="s">
        <v>182</v>
      </c>
      <c r="G8" s="128">
        <v>2013</v>
      </c>
      <c r="H8" s="126">
        <v>30</v>
      </c>
      <c r="I8" s="131">
        <f t="shared" si="0"/>
        <v>322.91699999999997</v>
      </c>
      <c r="J8" s="129">
        <v>1000</v>
      </c>
      <c r="K8" s="130">
        <f t="shared" si="1"/>
        <v>322917</v>
      </c>
    </row>
    <row r="9" spans="2:11" ht="30" x14ac:dyDescent="0.25">
      <c r="B9" s="124">
        <v>5</v>
      </c>
      <c r="C9" s="125" t="s">
        <v>188</v>
      </c>
      <c r="D9" s="126" t="s">
        <v>181</v>
      </c>
      <c r="E9" s="126">
        <v>8</v>
      </c>
      <c r="F9" s="127" t="s">
        <v>189</v>
      </c>
      <c r="G9" s="128">
        <v>2013</v>
      </c>
      <c r="H9" s="126">
        <v>43.18</v>
      </c>
      <c r="I9" s="131">
        <f t="shared" si="0"/>
        <v>464.78520199999997</v>
      </c>
      <c r="J9" s="129">
        <v>600</v>
      </c>
      <c r="K9" s="130">
        <f t="shared" si="1"/>
        <v>278871.12119999999</v>
      </c>
    </row>
    <row r="10" spans="2:11" ht="30" x14ac:dyDescent="0.25">
      <c r="B10" s="124">
        <v>6</v>
      </c>
      <c r="C10" s="125" t="s">
        <v>190</v>
      </c>
      <c r="D10" s="126" t="s">
        <v>181</v>
      </c>
      <c r="E10" s="126">
        <v>8</v>
      </c>
      <c r="F10" s="127" t="s">
        <v>189</v>
      </c>
      <c r="G10" s="128">
        <v>2013</v>
      </c>
      <c r="H10" s="126">
        <v>14.84</v>
      </c>
      <c r="I10" s="131">
        <f t="shared" si="0"/>
        <v>159.736276</v>
      </c>
      <c r="J10" s="129">
        <v>600</v>
      </c>
      <c r="K10" s="130">
        <f t="shared" si="1"/>
        <v>95841.765599999999</v>
      </c>
    </row>
    <row r="11" spans="2:11" ht="30" x14ac:dyDescent="0.25">
      <c r="B11" s="124">
        <v>7</v>
      </c>
      <c r="C11" s="125" t="s">
        <v>191</v>
      </c>
      <c r="D11" s="126" t="s">
        <v>181</v>
      </c>
      <c r="E11" s="126">
        <v>10</v>
      </c>
      <c r="F11" s="127" t="s">
        <v>182</v>
      </c>
      <c r="G11" s="128">
        <v>2013</v>
      </c>
      <c r="H11" s="126">
        <v>88.2</v>
      </c>
      <c r="I11" s="131">
        <f t="shared" si="0"/>
        <v>949.37598000000003</v>
      </c>
      <c r="J11" s="129">
        <v>450</v>
      </c>
      <c r="K11" s="130">
        <f t="shared" si="1"/>
        <v>427219.19099999999</v>
      </c>
    </row>
    <row r="12" spans="2:11" ht="30" x14ac:dyDescent="0.25">
      <c r="B12" s="124">
        <v>8</v>
      </c>
      <c r="C12" s="125" t="s">
        <v>192</v>
      </c>
      <c r="D12" s="126" t="s">
        <v>181</v>
      </c>
      <c r="E12" s="126">
        <v>10</v>
      </c>
      <c r="F12" s="127" t="s">
        <v>182</v>
      </c>
      <c r="G12" s="128">
        <v>2013</v>
      </c>
      <c r="H12" s="126">
        <v>113.14</v>
      </c>
      <c r="I12" s="131">
        <f t="shared" si="0"/>
        <v>1217.827646</v>
      </c>
      <c r="J12" s="129">
        <v>450</v>
      </c>
      <c r="K12" s="130">
        <f t="shared" si="1"/>
        <v>548022.44070000004</v>
      </c>
    </row>
    <row r="13" spans="2:11" ht="30" x14ac:dyDescent="0.25">
      <c r="B13" s="124">
        <v>9</v>
      </c>
      <c r="C13" s="125" t="s">
        <v>193</v>
      </c>
      <c r="D13" s="126" t="s">
        <v>181</v>
      </c>
      <c r="E13" s="126">
        <v>8</v>
      </c>
      <c r="F13" s="127" t="s">
        <v>189</v>
      </c>
      <c r="G13" s="128">
        <v>2013</v>
      </c>
      <c r="H13" s="126">
        <v>18.760000000000002</v>
      </c>
      <c r="I13" s="131">
        <f t="shared" si="0"/>
        <v>201.93076400000001</v>
      </c>
      <c r="J13" s="129">
        <v>450</v>
      </c>
      <c r="K13" s="130">
        <f t="shared" si="1"/>
        <v>90868.843800000002</v>
      </c>
    </row>
    <row r="14" spans="2:11" ht="30" x14ac:dyDescent="0.25">
      <c r="B14" s="124">
        <v>10</v>
      </c>
      <c r="C14" s="125" t="s">
        <v>194</v>
      </c>
      <c r="D14" s="126" t="s">
        <v>181</v>
      </c>
      <c r="E14" s="126">
        <v>15</v>
      </c>
      <c r="F14" s="127" t="s">
        <v>189</v>
      </c>
      <c r="G14" s="128">
        <v>2013</v>
      </c>
      <c r="H14" s="126">
        <v>171.08</v>
      </c>
      <c r="I14" s="131">
        <f t="shared" si="0"/>
        <v>1841.488012</v>
      </c>
      <c r="J14" s="129">
        <v>600</v>
      </c>
      <c r="K14" s="130">
        <f t="shared" si="1"/>
        <v>1104892.8071999999</v>
      </c>
    </row>
    <row r="15" spans="2:11" ht="30" x14ac:dyDescent="0.25">
      <c r="B15" s="124">
        <v>11</v>
      </c>
      <c r="C15" s="125" t="s">
        <v>195</v>
      </c>
      <c r="D15" s="126" t="s">
        <v>181</v>
      </c>
      <c r="E15" s="126">
        <v>9</v>
      </c>
      <c r="F15" s="127" t="s">
        <v>189</v>
      </c>
      <c r="G15" s="128">
        <v>2013</v>
      </c>
      <c r="H15" s="126">
        <v>7.6</v>
      </c>
      <c r="I15" s="131">
        <f t="shared" si="0"/>
        <v>81.805639999999997</v>
      </c>
      <c r="J15" s="129">
        <v>600</v>
      </c>
      <c r="K15" s="130">
        <f t="shared" si="1"/>
        <v>49083.383999999998</v>
      </c>
    </row>
    <row r="16" spans="2:11" ht="30" x14ac:dyDescent="0.25">
      <c r="B16" s="124">
        <v>12</v>
      </c>
      <c r="C16" s="125" t="s">
        <v>196</v>
      </c>
      <c r="D16" s="126" t="s">
        <v>181</v>
      </c>
      <c r="E16" s="126">
        <v>9</v>
      </c>
      <c r="F16" s="127" t="s">
        <v>197</v>
      </c>
      <c r="G16" s="128">
        <v>2013</v>
      </c>
      <c r="H16" s="126">
        <v>20.72</v>
      </c>
      <c r="I16" s="131">
        <f t="shared" si="0"/>
        <v>223.02800799999997</v>
      </c>
      <c r="J16" s="129">
        <v>1000</v>
      </c>
      <c r="K16" s="130">
        <f t="shared" si="1"/>
        <v>223028.00799999997</v>
      </c>
    </row>
    <row r="17" spans="2:11" ht="30" x14ac:dyDescent="0.25">
      <c r="B17" s="124">
        <v>13</v>
      </c>
      <c r="C17" s="125" t="s">
        <v>198</v>
      </c>
      <c r="D17" s="126" t="s">
        <v>181</v>
      </c>
      <c r="E17" s="126">
        <v>8</v>
      </c>
      <c r="F17" s="127" t="s">
        <v>182</v>
      </c>
      <c r="G17" s="128">
        <v>2013</v>
      </c>
      <c r="H17" s="126">
        <v>14.5</v>
      </c>
      <c r="I17" s="131">
        <f t="shared" si="0"/>
        <v>156.07655</v>
      </c>
      <c r="J17" s="129">
        <v>450</v>
      </c>
      <c r="K17" s="130">
        <f t="shared" si="1"/>
        <v>70234.447499999995</v>
      </c>
    </row>
    <row r="18" spans="2:11" ht="30" x14ac:dyDescent="0.25">
      <c r="B18" s="124">
        <v>14</v>
      </c>
      <c r="C18" s="125" t="s">
        <v>199</v>
      </c>
      <c r="D18" s="126" t="s">
        <v>181</v>
      </c>
      <c r="E18" s="126">
        <v>8</v>
      </c>
      <c r="F18" s="127" t="s">
        <v>189</v>
      </c>
      <c r="G18" s="128">
        <v>2013</v>
      </c>
      <c r="H18" s="126">
        <v>8.1</v>
      </c>
      <c r="I18" s="131">
        <f t="shared" si="0"/>
        <v>87.187589999999986</v>
      </c>
      <c r="J18" s="129">
        <v>600</v>
      </c>
      <c r="K18" s="130">
        <f t="shared" si="1"/>
        <v>52312.553999999989</v>
      </c>
    </row>
    <row r="19" spans="2:11" ht="30" x14ac:dyDescent="0.25">
      <c r="B19" s="124">
        <v>15</v>
      </c>
      <c r="C19" s="125" t="s">
        <v>200</v>
      </c>
      <c r="D19" s="126" t="s">
        <v>181</v>
      </c>
      <c r="E19" s="126">
        <v>8</v>
      </c>
      <c r="F19" s="127" t="s">
        <v>189</v>
      </c>
      <c r="G19" s="128">
        <v>2013</v>
      </c>
      <c r="H19" s="126">
        <v>8.64</v>
      </c>
      <c r="I19" s="131">
        <f t="shared" si="0"/>
        <v>93.000095999999999</v>
      </c>
      <c r="J19" s="129">
        <v>600</v>
      </c>
      <c r="K19" s="130">
        <f t="shared" si="1"/>
        <v>55800.0576</v>
      </c>
    </row>
    <row r="20" spans="2:11" ht="30" x14ac:dyDescent="0.25">
      <c r="B20" s="124">
        <v>16</v>
      </c>
      <c r="C20" s="125" t="s">
        <v>198</v>
      </c>
      <c r="D20" s="126" t="s">
        <v>181</v>
      </c>
      <c r="E20" s="126">
        <v>8</v>
      </c>
      <c r="F20" s="127" t="s">
        <v>189</v>
      </c>
      <c r="G20" s="128">
        <v>2013</v>
      </c>
      <c r="H20" s="126">
        <v>27.81</v>
      </c>
      <c r="I20" s="131">
        <f t="shared" si="0"/>
        <v>299.34405899999996</v>
      </c>
      <c r="J20" s="129">
        <v>600</v>
      </c>
      <c r="K20" s="130">
        <f t="shared" si="1"/>
        <v>179606.43539999999</v>
      </c>
    </row>
    <row r="21" spans="2:11" ht="30" x14ac:dyDescent="0.25">
      <c r="B21" s="124">
        <v>17</v>
      </c>
      <c r="C21" s="125" t="s">
        <v>201</v>
      </c>
      <c r="D21" s="126" t="s">
        <v>181</v>
      </c>
      <c r="E21" s="126">
        <v>8</v>
      </c>
      <c r="F21" s="127" t="s">
        <v>189</v>
      </c>
      <c r="G21" s="128">
        <v>2013</v>
      </c>
      <c r="H21" s="126">
        <v>6.12</v>
      </c>
      <c r="I21" s="131">
        <f t="shared" si="0"/>
        <v>65.875067999999999</v>
      </c>
      <c r="J21" s="129">
        <v>600</v>
      </c>
      <c r="K21" s="130">
        <f t="shared" si="1"/>
        <v>39525.040800000002</v>
      </c>
    </row>
    <row r="22" spans="2:11" ht="30" x14ac:dyDescent="0.25">
      <c r="B22" s="124">
        <v>18</v>
      </c>
      <c r="C22" s="125" t="s">
        <v>202</v>
      </c>
      <c r="D22" s="126" t="s">
        <v>181</v>
      </c>
      <c r="E22" s="126">
        <v>8</v>
      </c>
      <c r="F22" s="127" t="s">
        <v>182</v>
      </c>
      <c r="G22" s="128">
        <v>2013</v>
      </c>
      <c r="H22" s="126">
        <v>14.76</v>
      </c>
      <c r="I22" s="131">
        <f t="shared" si="0"/>
        <v>158.87516399999998</v>
      </c>
      <c r="J22" s="129">
        <v>450</v>
      </c>
      <c r="K22" s="130">
        <f t="shared" si="1"/>
        <v>71493.823799999998</v>
      </c>
    </row>
    <row r="23" spans="2:11" ht="30" x14ac:dyDescent="0.25">
      <c r="B23" s="124">
        <v>19</v>
      </c>
      <c r="C23" s="125" t="s">
        <v>203</v>
      </c>
      <c r="D23" s="126" t="s">
        <v>181</v>
      </c>
      <c r="E23" s="126">
        <v>15</v>
      </c>
      <c r="F23" s="127" t="s">
        <v>182</v>
      </c>
      <c r="G23" s="128">
        <v>2013</v>
      </c>
      <c r="H23" s="126">
        <v>25.92</v>
      </c>
      <c r="I23" s="131">
        <f t="shared" si="0"/>
        <v>279.00028800000001</v>
      </c>
      <c r="J23" s="129">
        <v>450</v>
      </c>
      <c r="K23" s="130">
        <f t="shared" si="1"/>
        <v>125550.1296</v>
      </c>
    </row>
    <row r="24" spans="2:11" ht="30" x14ac:dyDescent="0.25">
      <c r="B24" s="124">
        <v>20</v>
      </c>
      <c r="C24" s="125" t="s">
        <v>204</v>
      </c>
      <c r="D24" s="126" t="s">
        <v>181</v>
      </c>
      <c r="E24" s="126">
        <v>15</v>
      </c>
      <c r="F24" s="127" t="s">
        <v>189</v>
      </c>
      <c r="G24" s="128">
        <v>2013</v>
      </c>
      <c r="H24" s="126">
        <v>2950</v>
      </c>
      <c r="I24" s="131">
        <f t="shared" si="0"/>
        <v>31753.504999999997</v>
      </c>
      <c r="J24" s="129">
        <v>900</v>
      </c>
      <c r="K24" s="130">
        <f t="shared" si="1"/>
        <v>28578154.499999996</v>
      </c>
    </row>
    <row r="25" spans="2:11" ht="30" x14ac:dyDescent="0.25">
      <c r="B25" s="124">
        <v>21</v>
      </c>
      <c r="C25" s="125" t="s">
        <v>205</v>
      </c>
      <c r="D25" s="126" t="s">
        <v>181</v>
      </c>
      <c r="E25" s="126">
        <v>15</v>
      </c>
      <c r="F25" s="127" t="s">
        <v>189</v>
      </c>
      <c r="G25" s="128">
        <v>2013</v>
      </c>
      <c r="H25" s="126">
        <v>1000</v>
      </c>
      <c r="I25" s="131">
        <f t="shared" si="0"/>
        <v>10763.9</v>
      </c>
      <c r="J25" s="129">
        <v>900</v>
      </c>
      <c r="K25" s="130">
        <f t="shared" si="1"/>
        <v>9687510</v>
      </c>
    </row>
    <row r="26" spans="2:11" ht="30" x14ac:dyDescent="0.25">
      <c r="B26" s="124">
        <v>22</v>
      </c>
      <c r="C26" s="125" t="s">
        <v>206</v>
      </c>
      <c r="D26" s="126" t="s">
        <v>181</v>
      </c>
      <c r="E26" s="126">
        <v>15</v>
      </c>
      <c r="F26" s="127" t="s">
        <v>189</v>
      </c>
      <c r="G26" s="128">
        <v>2013</v>
      </c>
      <c r="H26" s="126">
        <v>1000</v>
      </c>
      <c r="I26" s="131">
        <f t="shared" si="0"/>
        <v>10763.9</v>
      </c>
      <c r="J26" s="129">
        <v>900</v>
      </c>
      <c r="K26" s="130">
        <f t="shared" si="1"/>
        <v>9687510</v>
      </c>
    </row>
    <row r="27" spans="2:11" ht="30.75" thickBot="1" x14ac:dyDescent="0.3">
      <c r="B27" s="139">
        <v>23</v>
      </c>
      <c r="C27" s="140" t="s">
        <v>207</v>
      </c>
      <c r="D27" s="141" t="s">
        <v>181</v>
      </c>
      <c r="E27" s="141">
        <v>10</v>
      </c>
      <c r="F27" s="142" t="s">
        <v>189</v>
      </c>
      <c r="G27" s="143">
        <v>2013</v>
      </c>
      <c r="H27" s="141">
        <v>280</v>
      </c>
      <c r="I27" s="144">
        <f t="shared" si="0"/>
        <v>3013.8919999999998</v>
      </c>
      <c r="J27" s="145">
        <v>800</v>
      </c>
      <c r="K27" s="146">
        <f t="shared" si="1"/>
        <v>2411113.5999999996</v>
      </c>
    </row>
    <row r="28" spans="2:11" ht="15.75" thickBot="1" x14ac:dyDescent="0.3">
      <c r="B28" s="147" t="s">
        <v>169</v>
      </c>
      <c r="C28" s="148"/>
      <c r="D28" s="148"/>
      <c r="E28" s="148"/>
      <c r="F28" s="148"/>
      <c r="G28" s="149"/>
      <c r="H28" s="150">
        <f t="shared" ref="H28:I28" si="2">SUM(H5:H27)</f>
        <v>6100.12</v>
      </c>
      <c r="I28" s="150">
        <f t="shared" si="2"/>
        <v>65661.081667999999</v>
      </c>
      <c r="J28" s="151"/>
      <c r="K28" s="152">
        <f>SUM(K5:K27)</f>
        <v>55544474.176449999</v>
      </c>
    </row>
    <row r="29" spans="2:11" ht="15.75" thickBot="1" x14ac:dyDescent="0.3">
      <c r="B29" s="156" t="s">
        <v>160</v>
      </c>
      <c r="C29" s="157"/>
      <c r="D29" s="157"/>
      <c r="E29" s="157"/>
      <c r="F29" s="157"/>
      <c r="G29" s="157"/>
      <c r="H29" s="157"/>
      <c r="I29" s="157"/>
      <c r="J29" s="157"/>
      <c r="K29" s="158"/>
    </row>
    <row r="30" spans="2:11" x14ac:dyDescent="0.25">
      <c r="B30" s="153" t="s">
        <v>208</v>
      </c>
      <c r="C30" s="154"/>
      <c r="D30" s="154"/>
      <c r="E30" s="154"/>
      <c r="F30" s="154"/>
      <c r="G30" s="154"/>
      <c r="H30" s="154"/>
      <c r="I30" s="154"/>
      <c r="J30" s="154"/>
      <c r="K30" s="155"/>
    </row>
    <row r="31" spans="2:11" x14ac:dyDescent="0.25">
      <c r="B31" s="132" t="s">
        <v>209</v>
      </c>
      <c r="C31" s="133"/>
      <c r="D31" s="133"/>
      <c r="E31" s="133"/>
      <c r="F31" s="133"/>
      <c r="G31" s="133"/>
      <c r="H31" s="133"/>
      <c r="I31" s="133"/>
      <c r="J31" s="133"/>
      <c r="K31" s="134"/>
    </row>
    <row r="32" spans="2:11" ht="15.75" thickBot="1" x14ac:dyDescent="0.3">
      <c r="B32" s="135" t="s">
        <v>210</v>
      </c>
      <c r="C32" s="136"/>
      <c r="D32" s="136"/>
      <c r="E32" s="136"/>
      <c r="F32" s="136"/>
      <c r="G32" s="136"/>
      <c r="H32" s="136"/>
      <c r="I32" s="136"/>
      <c r="J32" s="136"/>
      <c r="K32" s="137"/>
    </row>
  </sheetData>
  <mergeCells count="6">
    <mergeCell ref="B3:K3"/>
    <mergeCell ref="B28:F28"/>
    <mergeCell ref="B29:K29"/>
    <mergeCell ref="B30:K30"/>
    <mergeCell ref="B31:K31"/>
    <mergeCell ref="B32:K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0:M22"/>
  <sheetViews>
    <sheetView topLeftCell="A7" workbookViewId="0">
      <selection activeCell="F16" sqref="F16:K16"/>
    </sheetView>
  </sheetViews>
  <sheetFormatPr defaultRowHeight="15" x14ac:dyDescent="0.25"/>
  <cols>
    <col min="7" max="7" width="27.5703125" customWidth="1"/>
    <col min="8" max="8" width="18.28515625" customWidth="1"/>
    <col min="9" max="9" width="16.85546875" bestFit="1" customWidth="1"/>
    <col min="10" max="10" width="20.7109375" customWidth="1"/>
    <col min="11" max="11" width="16.85546875" bestFit="1" customWidth="1"/>
  </cols>
  <sheetData>
    <row r="10" spans="6:11" ht="15.75" thickBot="1" x14ac:dyDescent="0.3"/>
    <row r="11" spans="6:11" ht="30.75" customHeight="1" thickBot="1" x14ac:dyDescent="0.3">
      <c r="F11" s="108" t="s">
        <v>164</v>
      </c>
      <c r="G11" s="109"/>
      <c r="H11" s="109"/>
      <c r="I11" s="109"/>
      <c r="J11" s="109"/>
      <c r="K11" s="110"/>
    </row>
    <row r="12" spans="6:11" ht="35.25" customHeight="1" thickBot="1" x14ac:dyDescent="0.3">
      <c r="F12" s="77" t="s">
        <v>91</v>
      </c>
      <c r="G12" s="78" t="s">
        <v>157</v>
      </c>
      <c r="H12" s="78" t="s">
        <v>98</v>
      </c>
      <c r="I12" s="78" t="s">
        <v>99</v>
      </c>
      <c r="J12" s="78" t="s">
        <v>158</v>
      </c>
      <c r="K12" s="79" t="s">
        <v>159</v>
      </c>
    </row>
    <row r="13" spans="6:11" ht="15.75" thickBot="1" x14ac:dyDescent="0.3">
      <c r="F13" s="80">
        <v>1</v>
      </c>
      <c r="G13" s="81" t="s">
        <v>156</v>
      </c>
      <c r="H13" s="82">
        <f>'p&amp;m Working'!I255</f>
        <v>538607730.13000011</v>
      </c>
      <c r="I13" s="82">
        <f>'p&amp;m Working'!J255</f>
        <v>140816391.21778959</v>
      </c>
      <c r="J13" s="83">
        <f>'p&amp;m Working'!L255</f>
        <v>576884670.23977458</v>
      </c>
      <c r="K13" s="84">
        <f>'p&amp;m Working'!P255</f>
        <v>242612893.96816984</v>
      </c>
    </row>
    <row r="14" spans="6:11" ht="15.75" thickBot="1" x14ac:dyDescent="0.3">
      <c r="F14" s="80">
        <v>2</v>
      </c>
      <c r="G14" s="81" t="s">
        <v>168</v>
      </c>
      <c r="H14" s="88">
        <v>0</v>
      </c>
      <c r="I14" s="88">
        <v>0</v>
      </c>
      <c r="J14" s="88">
        <v>0</v>
      </c>
      <c r="K14" s="89">
        <v>279907474</v>
      </c>
    </row>
    <row r="15" spans="6:11" ht="15.75" thickBot="1" x14ac:dyDescent="0.3">
      <c r="F15" s="100" t="s">
        <v>169</v>
      </c>
      <c r="G15" s="101"/>
      <c r="H15" s="88"/>
      <c r="I15" s="88"/>
      <c r="J15" s="88"/>
      <c r="K15" s="89">
        <f>SUM(K13:K14)</f>
        <v>522520367.96816981</v>
      </c>
    </row>
    <row r="16" spans="6:11" ht="15.75" thickBot="1" x14ac:dyDescent="0.3">
      <c r="F16" s="105"/>
      <c r="G16" s="106"/>
      <c r="H16" s="106"/>
      <c r="I16" s="106"/>
      <c r="J16" s="106"/>
      <c r="K16" s="107"/>
    </row>
    <row r="17" spans="6:13" ht="15.75" thickBot="1" x14ac:dyDescent="0.3">
      <c r="F17" s="111" t="s">
        <v>160</v>
      </c>
      <c r="G17" s="112"/>
      <c r="H17" s="112"/>
      <c r="I17" s="112"/>
      <c r="J17" s="112"/>
      <c r="K17" s="113"/>
    </row>
    <row r="18" spans="6:13" ht="16.5" customHeight="1" x14ac:dyDescent="0.25">
      <c r="F18" s="114" t="s">
        <v>163</v>
      </c>
      <c r="G18" s="115"/>
      <c r="H18" s="115"/>
      <c r="I18" s="115"/>
      <c r="J18" s="115"/>
      <c r="K18" s="116"/>
      <c r="L18" s="75"/>
      <c r="M18" s="74"/>
    </row>
    <row r="19" spans="6:13" ht="47.25" customHeight="1" x14ac:dyDescent="0.25">
      <c r="F19" s="97" t="s">
        <v>161</v>
      </c>
      <c r="G19" s="98"/>
      <c r="H19" s="98"/>
      <c r="I19" s="98"/>
      <c r="J19" s="98"/>
      <c r="K19" s="99"/>
      <c r="L19" s="75"/>
      <c r="M19" s="74"/>
    </row>
    <row r="20" spans="6:13" ht="18" customHeight="1" x14ac:dyDescent="0.25">
      <c r="F20" s="97" t="s">
        <v>165</v>
      </c>
      <c r="G20" s="98"/>
      <c r="H20" s="98"/>
      <c r="I20" s="98"/>
      <c r="J20" s="98"/>
      <c r="K20" s="99"/>
      <c r="L20" s="76"/>
      <c r="M20" s="74"/>
    </row>
    <row r="21" spans="6:13" ht="48" customHeight="1" thickBot="1" x14ac:dyDescent="0.3">
      <c r="F21" s="102" t="s">
        <v>162</v>
      </c>
      <c r="G21" s="103"/>
      <c r="H21" s="103"/>
      <c r="I21" s="103"/>
      <c r="J21" s="103"/>
      <c r="K21" s="104"/>
      <c r="L21" s="76"/>
      <c r="M21" s="74"/>
    </row>
    <row r="22" spans="6:13" ht="27.75" customHeight="1" x14ac:dyDescent="0.25">
      <c r="F22" s="97" t="s">
        <v>167</v>
      </c>
      <c r="G22" s="98"/>
      <c r="H22" s="98"/>
      <c r="I22" s="98"/>
      <c r="J22" s="98"/>
      <c r="K22" s="99"/>
    </row>
  </sheetData>
  <mergeCells count="9">
    <mergeCell ref="F22:K22"/>
    <mergeCell ref="F15:G15"/>
    <mergeCell ref="F21:K21"/>
    <mergeCell ref="F16:K16"/>
    <mergeCell ref="F11:K11"/>
    <mergeCell ref="F17:K17"/>
    <mergeCell ref="F18:K18"/>
    <mergeCell ref="F19:K19"/>
    <mergeCell ref="F20:K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7"/>
  <sheetViews>
    <sheetView topLeftCell="B1" workbookViewId="0">
      <selection activeCell="I3" sqref="I3"/>
    </sheetView>
  </sheetViews>
  <sheetFormatPr defaultRowHeight="15" x14ac:dyDescent="0.25"/>
  <cols>
    <col min="1" max="1" width="21.42578125" customWidth="1"/>
    <col min="4" max="4" width="12.7109375" customWidth="1"/>
    <col min="14" max="14" width="19.5703125" customWidth="1"/>
    <col min="16" max="16" width="14.85546875" customWidth="1"/>
  </cols>
  <sheetData>
    <row r="2" spans="1:19" x14ac:dyDescent="0.25">
      <c r="C2" t="s">
        <v>119</v>
      </c>
      <c r="D2" t="s">
        <v>106</v>
      </c>
      <c r="K2" t="s">
        <v>120</v>
      </c>
      <c r="L2" t="s">
        <v>106</v>
      </c>
      <c r="P2" t="s">
        <v>112</v>
      </c>
      <c r="Q2">
        <v>2016</v>
      </c>
      <c r="R2" s="47">
        <v>-0.1</v>
      </c>
      <c r="S2" t="s">
        <v>116</v>
      </c>
    </row>
    <row r="3" spans="1:19" x14ac:dyDescent="0.25">
      <c r="B3" t="s">
        <v>139</v>
      </c>
      <c r="C3">
        <v>2013</v>
      </c>
      <c r="D3">
        <v>10</v>
      </c>
      <c r="K3">
        <v>2013</v>
      </c>
      <c r="L3">
        <v>4</v>
      </c>
    </row>
    <row r="4" spans="1:19" x14ac:dyDescent="0.25">
      <c r="B4" t="s">
        <v>118</v>
      </c>
      <c r="C4">
        <v>2014</v>
      </c>
      <c r="D4">
        <v>7</v>
      </c>
      <c r="K4">
        <v>2014</v>
      </c>
      <c r="L4">
        <v>-1</v>
      </c>
      <c r="M4" t="s">
        <v>116</v>
      </c>
    </row>
    <row r="5" spans="1:19" ht="30" x14ac:dyDescent="0.25">
      <c r="P5" s="49" t="s">
        <v>117</v>
      </c>
      <c r="Q5" t="s">
        <v>106</v>
      </c>
    </row>
    <row r="6" spans="1:19" ht="30" x14ac:dyDescent="0.25">
      <c r="G6" t="s">
        <v>105</v>
      </c>
      <c r="H6" t="s">
        <v>106</v>
      </c>
      <c r="K6" s="49" t="s">
        <v>124</v>
      </c>
      <c r="L6" t="s">
        <v>106</v>
      </c>
      <c r="P6">
        <v>2013</v>
      </c>
      <c r="Q6">
        <v>7</v>
      </c>
    </row>
    <row r="7" spans="1:19" x14ac:dyDescent="0.25">
      <c r="A7" t="s">
        <v>138</v>
      </c>
      <c r="B7" t="s">
        <v>135</v>
      </c>
      <c r="C7" t="s">
        <v>107</v>
      </c>
      <c r="G7">
        <v>13</v>
      </c>
      <c r="H7">
        <v>215</v>
      </c>
      <c r="K7">
        <v>2013</v>
      </c>
      <c r="L7" s="47">
        <v>0.17</v>
      </c>
      <c r="P7">
        <v>2014</v>
      </c>
      <c r="Q7">
        <v>4</v>
      </c>
    </row>
    <row r="8" spans="1:19" x14ac:dyDescent="0.25">
      <c r="B8" t="s">
        <v>136</v>
      </c>
      <c r="C8" t="s">
        <v>108</v>
      </c>
      <c r="G8">
        <v>14</v>
      </c>
      <c r="H8" s="47">
        <v>0.15</v>
      </c>
      <c r="I8" s="47"/>
      <c r="J8" s="47"/>
      <c r="K8" s="45">
        <v>2014</v>
      </c>
      <c r="L8" s="47">
        <v>0.13</v>
      </c>
      <c r="P8">
        <v>2015</v>
      </c>
      <c r="Q8">
        <v>1</v>
      </c>
    </row>
    <row r="9" spans="1:19" x14ac:dyDescent="0.25">
      <c r="B9" t="s">
        <v>137</v>
      </c>
      <c r="C9" t="s">
        <v>109</v>
      </c>
      <c r="G9">
        <v>15</v>
      </c>
      <c r="H9" s="47">
        <v>0.14000000000000001</v>
      </c>
      <c r="I9" s="47"/>
      <c r="J9" s="47"/>
      <c r="K9" s="45">
        <v>2017</v>
      </c>
      <c r="L9" s="47">
        <v>0.04</v>
      </c>
      <c r="P9">
        <v>2016</v>
      </c>
      <c r="Q9">
        <v>1</v>
      </c>
    </row>
    <row r="10" spans="1:19" x14ac:dyDescent="0.25">
      <c r="C10" t="s">
        <v>110</v>
      </c>
      <c r="G10">
        <v>16</v>
      </c>
      <c r="H10">
        <v>10</v>
      </c>
      <c r="P10">
        <v>2017</v>
      </c>
      <c r="Q10">
        <v>4</v>
      </c>
    </row>
    <row r="11" spans="1:19" x14ac:dyDescent="0.25">
      <c r="C11" t="s">
        <v>111</v>
      </c>
      <c r="G11">
        <v>17</v>
      </c>
      <c r="H11">
        <v>7</v>
      </c>
      <c r="P11">
        <v>2018</v>
      </c>
      <c r="Q11">
        <v>1</v>
      </c>
    </row>
    <row r="12" spans="1:19" x14ac:dyDescent="0.25">
      <c r="C12" t="s">
        <v>114</v>
      </c>
      <c r="G12">
        <v>18</v>
      </c>
      <c r="H12">
        <v>4</v>
      </c>
    </row>
    <row r="13" spans="1:19" ht="45" x14ac:dyDescent="0.25">
      <c r="P13" s="48" t="s">
        <v>113</v>
      </c>
      <c r="Q13" t="s">
        <v>106</v>
      </c>
    </row>
    <row r="14" spans="1:19" x14ac:dyDescent="0.25">
      <c r="D14" t="s">
        <v>126</v>
      </c>
      <c r="E14" t="s">
        <v>106</v>
      </c>
      <c r="H14" t="s">
        <v>133</v>
      </c>
      <c r="I14" t="s">
        <v>106</v>
      </c>
      <c r="N14" t="s">
        <v>121</v>
      </c>
      <c r="P14">
        <v>2013</v>
      </c>
      <c r="Q14">
        <v>18</v>
      </c>
    </row>
    <row r="15" spans="1:19" x14ac:dyDescent="0.25">
      <c r="C15" t="s">
        <v>127</v>
      </c>
      <c r="D15">
        <v>2013</v>
      </c>
      <c r="E15" s="47">
        <v>0.23</v>
      </c>
      <c r="H15">
        <v>2014</v>
      </c>
      <c r="I15">
        <v>25</v>
      </c>
      <c r="N15" t="s">
        <v>122</v>
      </c>
      <c r="P15">
        <v>2014</v>
      </c>
      <c r="Q15">
        <v>8</v>
      </c>
    </row>
    <row r="16" spans="1:19" x14ac:dyDescent="0.25">
      <c r="C16" t="s">
        <v>128</v>
      </c>
      <c r="D16">
        <v>2014</v>
      </c>
      <c r="E16" s="47">
        <v>0.21</v>
      </c>
      <c r="N16" t="s">
        <v>123</v>
      </c>
      <c r="P16">
        <v>2015</v>
      </c>
      <c r="Q16">
        <v>0</v>
      </c>
    </row>
    <row r="17" spans="3:17" x14ac:dyDescent="0.25">
      <c r="N17" t="s">
        <v>125</v>
      </c>
      <c r="P17">
        <v>2016</v>
      </c>
      <c r="Q17">
        <v>1</v>
      </c>
    </row>
    <row r="18" spans="3:17" x14ac:dyDescent="0.25">
      <c r="N18" t="s">
        <v>129</v>
      </c>
      <c r="P18">
        <v>2017</v>
      </c>
      <c r="Q18">
        <v>4</v>
      </c>
    </row>
    <row r="19" spans="3:17" x14ac:dyDescent="0.25">
      <c r="N19" t="s">
        <v>130</v>
      </c>
      <c r="P19">
        <v>2018</v>
      </c>
      <c r="Q19">
        <v>2</v>
      </c>
    </row>
    <row r="20" spans="3:17" x14ac:dyDescent="0.25">
      <c r="N20" s="46" t="s">
        <v>55</v>
      </c>
    </row>
    <row r="21" spans="3:17" ht="30" x14ac:dyDescent="0.25">
      <c r="D21" s="48" t="s">
        <v>115</v>
      </c>
      <c r="E21" t="s">
        <v>106</v>
      </c>
      <c r="N21" s="46" t="s">
        <v>56</v>
      </c>
    </row>
    <row r="22" spans="3:17" ht="30" x14ac:dyDescent="0.25">
      <c r="C22" t="s">
        <v>131</v>
      </c>
      <c r="D22">
        <v>2013</v>
      </c>
      <c r="E22">
        <v>8</v>
      </c>
      <c r="N22" s="46" t="s">
        <v>61</v>
      </c>
    </row>
    <row r="23" spans="3:17" ht="30" x14ac:dyDescent="0.25">
      <c r="C23" t="s">
        <v>132</v>
      </c>
      <c r="D23">
        <v>2014</v>
      </c>
      <c r="E23">
        <v>2</v>
      </c>
      <c r="N23" s="46" t="s">
        <v>61</v>
      </c>
    </row>
    <row r="24" spans="3:17" x14ac:dyDescent="0.25">
      <c r="C24" t="s">
        <v>134</v>
      </c>
      <c r="D24">
        <v>2015</v>
      </c>
      <c r="E24">
        <v>6</v>
      </c>
      <c r="N24" s="46" t="s">
        <v>62</v>
      </c>
    </row>
    <row r="25" spans="3:17" x14ac:dyDescent="0.25">
      <c r="D25">
        <v>2016</v>
      </c>
      <c r="E25">
        <v>6</v>
      </c>
      <c r="N25" s="46" t="s">
        <v>63</v>
      </c>
    </row>
    <row r="26" spans="3:17" x14ac:dyDescent="0.25">
      <c r="D26">
        <v>2017</v>
      </c>
      <c r="E26">
        <v>5</v>
      </c>
    </row>
    <row r="27" spans="3:17" x14ac:dyDescent="0.25">
      <c r="D27">
        <v>2018</v>
      </c>
      <c r="E27">
        <v>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R27"/>
  <sheetViews>
    <sheetView topLeftCell="A8" workbookViewId="0">
      <selection activeCell="D18" sqref="D18"/>
    </sheetView>
  </sheetViews>
  <sheetFormatPr defaultRowHeight="15" x14ac:dyDescent="0.25"/>
  <cols>
    <col min="5" max="5" width="8.85546875" bestFit="1" customWidth="1"/>
    <col min="6" max="6" width="6.140625" bestFit="1" customWidth="1"/>
  </cols>
  <sheetData>
    <row r="5" spans="5:18" ht="15.75" thickBot="1" x14ac:dyDescent="0.3">
      <c r="E5" s="117" t="s">
        <v>152</v>
      </c>
      <c r="F5" s="117"/>
      <c r="G5" s="117"/>
      <c r="H5" s="117"/>
      <c r="I5" s="117"/>
      <c r="J5" s="117"/>
      <c r="N5" s="117" t="s">
        <v>153</v>
      </c>
      <c r="O5" s="117"/>
      <c r="P5" s="117"/>
      <c r="Q5" s="117"/>
      <c r="R5" s="117"/>
    </row>
    <row r="6" spans="5:18" ht="26.25" thickBot="1" x14ac:dyDescent="0.3">
      <c r="E6" s="71" t="s">
        <v>141</v>
      </c>
      <c r="F6" s="71" t="s">
        <v>142</v>
      </c>
      <c r="N6" s="71" t="s">
        <v>154</v>
      </c>
      <c r="O6" s="71" t="s">
        <v>142</v>
      </c>
    </row>
    <row r="7" spans="5:18" ht="15.75" thickBot="1" x14ac:dyDescent="0.3">
      <c r="E7" s="72" t="s">
        <v>143</v>
      </c>
      <c r="F7" s="73">
        <v>115.9</v>
      </c>
      <c r="I7">
        <v>2012</v>
      </c>
      <c r="J7" s="51">
        <f>(F7-F15)/F15</f>
        <v>0.10803059273422573</v>
      </c>
      <c r="N7" s="72" t="s">
        <v>143</v>
      </c>
      <c r="O7" s="73">
        <v>117.7</v>
      </c>
      <c r="Q7">
        <v>2012</v>
      </c>
      <c r="R7" s="51">
        <f>(O7-O15)/O15</f>
        <v>5.7502246181491516E-2</v>
      </c>
    </row>
    <row r="8" spans="5:18" ht="15.75" thickBot="1" x14ac:dyDescent="0.3">
      <c r="E8" s="72" t="s">
        <v>144</v>
      </c>
      <c r="F8" s="73">
        <v>109.7</v>
      </c>
      <c r="I8">
        <v>2013</v>
      </c>
      <c r="J8" s="51">
        <f>(F7-F14)/F14</f>
        <v>8.6223055295220272E-2</v>
      </c>
      <c r="N8" s="72" t="s">
        <v>144</v>
      </c>
      <c r="O8" s="73">
        <v>111.9</v>
      </c>
      <c r="Q8">
        <v>2013</v>
      </c>
      <c r="R8" s="51">
        <f>(O7-O14)/O14</f>
        <v>3.5180299032541773E-2</v>
      </c>
    </row>
    <row r="9" spans="5:18" ht="15.75" thickBot="1" x14ac:dyDescent="0.3">
      <c r="E9" s="72" t="s">
        <v>145</v>
      </c>
      <c r="F9" s="73">
        <v>111.2</v>
      </c>
      <c r="I9">
        <v>2014</v>
      </c>
      <c r="J9" s="51">
        <f>(F7-F13)/F13</f>
        <v>8.4190832553788578E-2</v>
      </c>
      <c r="N9" s="72" t="s">
        <v>145</v>
      </c>
      <c r="O9" s="73">
        <v>112.9</v>
      </c>
      <c r="Q9">
        <v>2014</v>
      </c>
      <c r="R9" s="51">
        <f>(O7-O13)/O13</f>
        <v>4.3439716312056786E-2</v>
      </c>
    </row>
    <row r="10" spans="5:18" ht="15.75" thickBot="1" x14ac:dyDescent="0.3">
      <c r="E10" s="72" t="s">
        <v>146</v>
      </c>
      <c r="F10" s="73">
        <v>105.7</v>
      </c>
      <c r="I10">
        <v>2015</v>
      </c>
      <c r="J10" s="51">
        <f>(F7-F12)/F12</f>
        <v>0.14412635735439297</v>
      </c>
      <c r="N10" s="72" t="s">
        <v>146</v>
      </c>
      <c r="O10" s="73">
        <v>107</v>
      </c>
      <c r="Q10">
        <v>2015</v>
      </c>
      <c r="R10" s="51">
        <f>(O7-O12)/O12</f>
        <v>0.10205992509363301</v>
      </c>
    </row>
    <row r="11" spans="5:18" ht="15.75" thickBot="1" x14ac:dyDescent="0.3">
      <c r="E11" s="72" t="s">
        <v>147</v>
      </c>
      <c r="F11" s="73">
        <v>99.7</v>
      </c>
      <c r="I11">
        <v>2016</v>
      </c>
      <c r="J11" s="51">
        <f>(F7-F11)/F11</f>
        <v>0.1624874623871615</v>
      </c>
      <c r="N11" s="72" t="s">
        <v>147</v>
      </c>
      <c r="O11" s="73">
        <v>99.6</v>
      </c>
      <c r="Q11">
        <v>2016</v>
      </c>
      <c r="R11" s="51">
        <f>(O7-O11)/O11</f>
        <v>0.18172690763052218</v>
      </c>
    </row>
    <row r="12" spans="5:18" ht="15.75" thickBot="1" x14ac:dyDescent="0.3">
      <c r="E12" s="72" t="s">
        <v>148</v>
      </c>
      <c r="F12" s="73">
        <v>101.3</v>
      </c>
      <c r="I12">
        <v>2017</v>
      </c>
      <c r="J12" s="51">
        <f>(F7-F10)/F10</f>
        <v>9.6499526963103141E-2</v>
      </c>
      <c r="N12" s="72" t="s">
        <v>148</v>
      </c>
      <c r="O12" s="73">
        <v>106.8</v>
      </c>
      <c r="Q12">
        <v>2017</v>
      </c>
      <c r="R12" s="51">
        <f>(O7-O10)/O10</f>
        <v>0.10000000000000003</v>
      </c>
    </row>
    <row r="13" spans="5:18" ht="15.75" thickBot="1" x14ac:dyDescent="0.3">
      <c r="E13" s="72" t="s">
        <v>149</v>
      </c>
      <c r="F13" s="73">
        <v>106.9</v>
      </c>
      <c r="I13">
        <v>2018</v>
      </c>
      <c r="J13" s="51">
        <f>(F7-F9)/F9</f>
        <v>4.2266187050359734E-2</v>
      </c>
      <c r="N13" s="72" t="s">
        <v>149</v>
      </c>
      <c r="O13" s="73">
        <v>112.8</v>
      </c>
      <c r="Q13">
        <v>2018</v>
      </c>
      <c r="R13" s="51">
        <f>(O7-O9)/O9</f>
        <v>4.2515500442869766E-2</v>
      </c>
    </row>
    <row r="14" spans="5:18" ht="15.75" thickBot="1" x14ac:dyDescent="0.3">
      <c r="E14" s="72" t="s">
        <v>150</v>
      </c>
      <c r="F14" s="73">
        <v>106.7</v>
      </c>
      <c r="I14">
        <v>2019</v>
      </c>
      <c r="J14" s="51">
        <f>(F7-F8)/F8</f>
        <v>5.6517775752051073E-2</v>
      </c>
      <c r="N14" s="72" t="s">
        <v>150</v>
      </c>
      <c r="O14" s="73">
        <v>113.7</v>
      </c>
      <c r="Q14">
        <v>2019</v>
      </c>
      <c r="R14" s="51">
        <f>(O7-O8)/O8</f>
        <v>5.1831992850759581E-2</v>
      </c>
    </row>
    <row r="15" spans="5:18" ht="15.75" thickBot="1" x14ac:dyDescent="0.3">
      <c r="E15" s="72" t="s">
        <v>151</v>
      </c>
      <c r="F15" s="73">
        <v>104.6</v>
      </c>
      <c r="I15">
        <v>2020</v>
      </c>
      <c r="J15" s="51">
        <f>(F7-F7)/F7</f>
        <v>0</v>
      </c>
      <c r="N15" s="72" t="s">
        <v>151</v>
      </c>
      <c r="O15" s="73">
        <v>111.3</v>
      </c>
      <c r="Q15">
        <v>2020</v>
      </c>
      <c r="R15" s="51">
        <f>(O7-O7)/O7</f>
        <v>0</v>
      </c>
    </row>
    <row r="17" spans="5:10" ht="15.75" thickBot="1" x14ac:dyDescent="0.3">
      <c r="E17" s="87" t="s">
        <v>166</v>
      </c>
    </row>
    <row r="18" spans="5:10" ht="26.25" thickBot="1" x14ac:dyDescent="0.3">
      <c r="E18" s="71" t="s">
        <v>141</v>
      </c>
      <c r="F18" s="71" t="s">
        <v>142</v>
      </c>
    </row>
    <row r="19" spans="5:10" ht="15.75" thickBot="1" x14ac:dyDescent="0.3">
      <c r="E19" s="72" t="s">
        <v>143</v>
      </c>
      <c r="F19" s="73">
        <v>114.8</v>
      </c>
      <c r="I19">
        <v>2012</v>
      </c>
      <c r="J19" s="51">
        <f>($F$19-F27)/F27</f>
        <v>0.12549019607843134</v>
      </c>
    </row>
    <row r="20" spans="5:10" ht="15.75" thickBot="1" x14ac:dyDescent="0.3">
      <c r="E20" s="72" t="s">
        <v>144</v>
      </c>
      <c r="F20" s="73">
        <v>113.2</v>
      </c>
      <c r="I20">
        <v>2013</v>
      </c>
      <c r="J20" s="51">
        <f>($F$19-F26)/F26</f>
        <v>0.12992125984251973</v>
      </c>
    </row>
    <row r="21" spans="5:10" ht="15.75" thickBot="1" x14ac:dyDescent="0.3">
      <c r="E21" s="72" t="s">
        <v>145</v>
      </c>
      <c r="F21" s="73">
        <v>104.7</v>
      </c>
      <c r="I21">
        <v>2014</v>
      </c>
      <c r="J21" s="51">
        <f>($F$19-F25)/F25</f>
        <v>9.1254752851710974E-2</v>
      </c>
    </row>
    <row r="22" spans="5:10" ht="15.75" thickBot="1" x14ac:dyDescent="0.3">
      <c r="E22" s="72" t="s">
        <v>146</v>
      </c>
      <c r="F22" s="73">
        <v>96.8</v>
      </c>
      <c r="I22">
        <v>2015</v>
      </c>
      <c r="J22" s="51">
        <f>($F$19-F24)/F24</f>
        <v>0.20842105263157892</v>
      </c>
    </row>
    <row r="23" spans="5:10" ht="15.75" thickBot="1" x14ac:dyDescent="0.3">
      <c r="E23" s="72" t="s">
        <v>147</v>
      </c>
      <c r="F23" s="73">
        <v>93.5</v>
      </c>
      <c r="I23">
        <v>2016</v>
      </c>
      <c r="J23" s="51">
        <f>($F$19-F23)/F23</f>
        <v>0.22780748663101602</v>
      </c>
    </row>
    <row r="24" spans="5:10" ht="15.75" thickBot="1" x14ac:dyDescent="0.3">
      <c r="E24" s="72" t="s">
        <v>148</v>
      </c>
      <c r="F24" s="73">
        <v>95</v>
      </c>
      <c r="I24">
        <v>2017</v>
      </c>
      <c r="J24" s="51">
        <f>($F$19-F22)/F22</f>
        <v>0.18595041322314051</v>
      </c>
    </row>
    <row r="25" spans="5:10" ht="15.75" thickBot="1" x14ac:dyDescent="0.3">
      <c r="E25" s="72" t="s">
        <v>149</v>
      </c>
      <c r="F25" s="73">
        <v>105.2</v>
      </c>
      <c r="I25">
        <v>2018</v>
      </c>
      <c r="J25" s="51">
        <f>($F$19-F21)/F21</f>
        <v>9.6466093600764025E-2</v>
      </c>
    </row>
    <row r="26" spans="5:10" ht="15.75" thickBot="1" x14ac:dyDescent="0.3">
      <c r="E26" s="72" t="s">
        <v>150</v>
      </c>
      <c r="F26" s="73">
        <v>101.6</v>
      </c>
      <c r="I26">
        <v>2019</v>
      </c>
      <c r="J26" s="51">
        <f>($F$19-F20)/F20</f>
        <v>1.4134275618374508E-2</v>
      </c>
    </row>
    <row r="27" spans="5:10" ht="15.75" thickBot="1" x14ac:dyDescent="0.3">
      <c r="E27" s="72" t="s">
        <v>151</v>
      </c>
      <c r="F27" s="73">
        <v>102</v>
      </c>
      <c r="I27">
        <v>2020</v>
      </c>
      <c r="J27" s="51">
        <f>($F$19-F19)/F19</f>
        <v>0</v>
      </c>
    </row>
  </sheetData>
  <mergeCells count="2">
    <mergeCell ref="E5:J5"/>
    <mergeCell ref="N5:R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FAR</vt:lpstr>
      <vt:lpstr>p&amp;m Working</vt:lpstr>
      <vt:lpstr>l&amp;b</vt:lpstr>
      <vt:lpstr>SUMMARY</vt: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Zaid Ebne Mairaz</cp:lastModifiedBy>
  <dcterms:created xsi:type="dcterms:W3CDTF">2021-07-28T07:10:45Z</dcterms:created>
  <dcterms:modified xsi:type="dcterms:W3CDTF">2021-08-09T05:57:27Z</dcterms:modified>
</cp:coreProperties>
</file>