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In Progress Files\Vibhanshu Vaibhav\Sakambri\Sakhambri\"/>
    </mc:Choice>
  </mc:AlternateContent>
  <bookViews>
    <workbookView xWindow="0" yWindow="0" windowWidth="24000" windowHeight="9735" activeTab="2"/>
  </bookViews>
  <sheets>
    <sheet name="P &amp; M" sheetId="2" r:id="rId1"/>
    <sheet name="Sheet1" sheetId="3" r:id="rId2"/>
    <sheet name="Sheet3" sheetId="5" r:id="rId3"/>
    <sheet name="Sheet2" sheetId="4" r:id="rId4"/>
  </sheets>
  <externalReferences>
    <externalReference r:id="rId5"/>
  </externalReferences>
  <definedNames>
    <definedName name="_xlnm._FilterDatabase" localSheetId="0" hidden="1">'P &amp; M'!$B$3:$R$154</definedName>
    <definedName name="_xlnm._FilterDatabase" localSheetId="1" hidden="1">Sheet1!$A$2:$N$21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5" l="1"/>
  <c r="I7" i="5"/>
  <c r="H7" i="5"/>
  <c r="J8" i="5" l="1"/>
  <c r="I8" i="5"/>
  <c r="H8" i="5"/>
  <c r="K19" i="4"/>
  <c r="F90" i="3"/>
  <c r="F89" i="3"/>
  <c r="F88" i="3"/>
  <c r="F87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19" i="3"/>
  <c r="F18" i="3"/>
  <c r="F17" i="3"/>
  <c r="F16" i="3"/>
  <c r="F15" i="3"/>
  <c r="F14" i="3"/>
  <c r="F13" i="3"/>
  <c r="F12" i="3"/>
  <c r="F11" i="3"/>
  <c r="F10" i="3"/>
  <c r="F9" i="3"/>
  <c r="F6" i="3"/>
  <c r="F5" i="3"/>
  <c r="F4" i="3"/>
  <c r="N4" i="2" l="1"/>
  <c r="H30" i="4" l="1"/>
  <c r="H29" i="4"/>
  <c r="H28" i="4"/>
  <c r="H27" i="4"/>
  <c r="H26" i="4"/>
  <c r="H25" i="4"/>
  <c r="H24" i="4"/>
  <c r="H23" i="4"/>
  <c r="H22" i="4"/>
  <c r="H21" i="4"/>
  <c r="H20" i="4"/>
  <c r="H19" i="4"/>
  <c r="J15" i="4"/>
  <c r="H18" i="4"/>
  <c r="H17" i="4"/>
  <c r="H14" i="4"/>
  <c r="H15" i="4"/>
  <c r="H16" i="4"/>
  <c r="H13" i="4"/>
  <c r="N147" i="2"/>
  <c r="N146" i="2"/>
  <c r="N145" i="2"/>
  <c r="N144" i="2"/>
  <c r="N143" i="2"/>
  <c r="N140" i="2"/>
  <c r="N139" i="2"/>
  <c r="N138" i="2"/>
  <c r="N137" i="2"/>
  <c r="N136" i="2"/>
  <c r="N135" i="2"/>
  <c r="N133" i="2"/>
  <c r="N132" i="2"/>
  <c r="N131" i="2"/>
  <c r="N130" i="2"/>
  <c r="N129" i="2"/>
  <c r="N128" i="2"/>
  <c r="N127" i="2"/>
  <c r="N126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L110" i="2"/>
  <c r="F50" i="3" s="1"/>
  <c r="H12" i="4"/>
  <c r="H11" i="4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L142" i="2"/>
  <c r="N142" i="2" s="1"/>
  <c r="L141" i="2"/>
  <c r="N141" i="2" s="1"/>
  <c r="L134" i="2"/>
  <c r="L125" i="2"/>
  <c r="N125" i="2" s="1"/>
  <c r="L109" i="2"/>
  <c r="N109" i="2" s="1"/>
  <c r="L108" i="2"/>
  <c r="H128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69" i="2"/>
  <c r="H70" i="2"/>
  <c r="H71" i="2"/>
  <c r="I96" i="3"/>
  <c r="H96" i="3"/>
  <c r="G96" i="3"/>
  <c r="E96" i="3"/>
  <c r="K93" i="3"/>
  <c r="K92" i="3"/>
  <c r="K90" i="3"/>
  <c r="K89" i="3"/>
  <c r="J88" i="3"/>
  <c r="J96" i="3" s="1"/>
  <c r="K87" i="3"/>
  <c r="J85" i="3"/>
  <c r="I85" i="3"/>
  <c r="H85" i="3"/>
  <c r="G85" i="3"/>
  <c r="K83" i="3"/>
  <c r="E82" i="3"/>
  <c r="K82" i="3" s="1"/>
  <c r="E81" i="3"/>
  <c r="K81" i="3" s="1"/>
  <c r="K80" i="3"/>
  <c r="K79" i="3"/>
  <c r="K78" i="3"/>
  <c r="K77" i="3"/>
  <c r="K76" i="3"/>
  <c r="K75" i="3"/>
  <c r="E74" i="3"/>
  <c r="K74" i="3" s="1"/>
  <c r="K73" i="3"/>
  <c r="K72" i="3"/>
  <c r="K71" i="3"/>
  <c r="K70" i="3"/>
  <c r="K69" i="3"/>
  <c r="K68" i="3"/>
  <c r="K67" i="3"/>
  <c r="K66" i="3"/>
  <c r="E65" i="3"/>
  <c r="K65" i="3" s="1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E50" i="3"/>
  <c r="K50" i="3" s="1"/>
  <c r="E49" i="3"/>
  <c r="K49" i="3" s="1"/>
  <c r="E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J20" i="3"/>
  <c r="I20" i="3"/>
  <c r="H20" i="3"/>
  <c r="G20" i="3"/>
  <c r="E20" i="3"/>
  <c r="K19" i="3"/>
  <c r="K18" i="3"/>
  <c r="K17" i="3"/>
  <c r="K16" i="3"/>
  <c r="K15" i="3"/>
  <c r="K14" i="3"/>
  <c r="K13" i="3"/>
  <c r="K12" i="3"/>
  <c r="K11" i="3"/>
  <c r="K10" i="3"/>
  <c r="K9" i="3"/>
  <c r="K8" i="3"/>
  <c r="J7" i="3"/>
  <c r="I7" i="3"/>
  <c r="I98" i="3" s="1"/>
  <c r="H7" i="3"/>
  <c r="G7" i="3"/>
  <c r="E7" i="3"/>
  <c r="K6" i="3"/>
  <c r="K5" i="3"/>
  <c r="K4" i="3"/>
  <c r="F83" i="3" l="1"/>
  <c r="F79" i="3"/>
  <c r="F75" i="3"/>
  <c r="F81" i="3"/>
  <c r="F80" i="3"/>
  <c r="F82" i="3"/>
  <c r="F78" i="3"/>
  <c r="F74" i="3"/>
  <c r="F77" i="3"/>
  <c r="F76" i="3"/>
  <c r="L148" i="2"/>
  <c r="N110" i="2"/>
  <c r="N148" i="2" s="1"/>
  <c r="N134" i="2"/>
  <c r="E85" i="3"/>
  <c r="E98" i="3" s="1"/>
  <c r="E101" i="3" s="1"/>
  <c r="K88" i="3"/>
  <c r="K96" i="3" s="1"/>
  <c r="K48" i="3"/>
  <c r="K85" i="3" s="1"/>
  <c r="G98" i="3"/>
  <c r="H98" i="3"/>
  <c r="K20" i="3"/>
  <c r="K7" i="3"/>
  <c r="J98" i="3"/>
  <c r="O111" i="2"/>
  <c r="P111" i="2" s="1"/>
  <c r="R111" i="2" s="1"/>
  <c r="O95" i="2"/>
  <c r="P95" i="2" s="1"/>
  <c r="R95" i="2" s="1"/>
  <c r="O79" i="2"/>
  <c r="P79" i="2" s="1"/>
  <c r="R79" i="2" s="1"/>
  <c r="O104" i="2"/>
  <c r="O127" i="2"/>
  <c r="P127" i="2" s="1"/>
  <c r="R127" i="2" s="1"/>
  <c r="O119" i="2"/>
  <c r="P119" i="2" s="1"/>
  <c r="R119" i="2" s="1"/>
  <c r="O146" i="2"/>
  <c r="P146" i="2" s="1"/>
  <c r="R146" i="2" s="1"/>
  <c r="O142" i="2"/>
  <c r="P142" i="2" s="1"/>
  <c r="R142" i="2" s="1"/>
  <c r="O138" i="2"/>
  <c r="P138" i="2" s="1"/>
  <c r="R138" i="2" s="1"/>
  <c r="O134" i="2"/>
  <c r="P134" i="2" s="1"/>
  <c r="R134" i="2" s="1"/>
  <c r="O130" i="2"/>
  <c r="P130" i="2" s="1"/>
  <c r="R130" i="2" s="1"/>
  <c r="O70" i="2"/>
  <c r="P70" i="2" s="1"/>
  <c r="R70" i="2" s="1"/>
  <c r="O143" i="2"/>
  <c r="P143" i="2" s="1"/>
  <c r="R143" i="2" s="1"/>
  <c r="O131" i="2"/>
  <c r="P131" i="2" s="1"/>
  <c r="R131" i="2" s="1"/>
  <c r="O88" i="2"/>
  <c r="P88" i="2" s="1"/>
  <c r="R88" i="2" s="1"/>
  <c r="O72" i="2"/>
  <c r="P72" i="2" s="1"/>
  <c r="R72" i="2" s="1"/>
  <c r="O103" i="2"/>
  <c r="P103" i="2" s="1"/>
  <c r="R103" i="2" s="1"/>
  <c r="O120" i="2"/>
  <c r="P120" i="2" s="1"/>
  <c r="R120" i="2" s="1"/>
  <c r="O136" i="2"/>
  <c r="P136" i="2" s="1"/>
  <c r="R136" i="2" s="1"/>
  <c r="O132" i="2"/>
  <c r="P132" i="2" s="1"/>
  <c r="R132" i="2" s="1"/>
  <c r="O116" i="2"/>
  <c r="P116" i="2" s="1"/>
  <c r="R116" i="2" s="1"/>
  <c r="O100" i="2"/>
  <c r="P100" i="2" s="1"/>
  <c r="R100" i="2" s="1"/>
  <c r="O84" i="2"/>
  <c r="P84" i="2" s="1"/>
  <c r="R84" i="2" s="1"/>
  <c r="O87" i="2"/>
  <c r="P87" i="2" s="1"/>
  <c r="R87" i="2" s="1"/>
  <c r="O115" i="2"/>
  <c r="P115" i="2" s="1"/>
  <c r="R115" i="2" s="1"/>
  <c r="O99" i="2"/>
  <c r="P99" i="2" s="1"/>
  <c r="R99" i="2" s="1"/>
  <c r="O83" i="2"/>
  <c r="P83" i="2" s="1"/>
  <c r="R83" i="2" s="1"/>
  <c r="O106" i="2"/>
  <c r="P106" i="2" s="1"/>
  <c r="R106" i="2" s="1"/>
  <c r="O94" i="2"/>
  <c r="P94" i="2" s="1"/>
  <c r="R94" i="2" s="1"/>
  <c r="O78" i="2"/>
  <c r="P78" i="2" s="1"/>
  <c r="R78" i="2" s="1"/>
  <c r="O71" i="2"/>
  <c r="P71" i="2" s="1"/>
  <c r="R71" i="2" s="1"/>
  <c r="O144" i="2"/>
  <c r="P144" i="2" s="1"/>
  <c r="R144" i="2" s="1"/>
  <c r="O140" i="2"/>
  <c r="P140" i="2" s="1"/>
  <c r="R140" i="2" s="1"/>
  <c r="O128" i="2"/>
  <c r="P128" i="2" s="1"/>
  <c r="R128" i="2" s="1"/>
  <c r="O124" i="2"/>
  <c r="P124" i="2" s="1"/>
  <c r="R124" i="2" s="1"/>
  <c r="O112" i="2"/>
  <c r="P112" i="2" s="1"/>
  <c r="R112" i="2" s="1"/>
  <c r="O108" i="2"/>
  <c r="P108" i="2" s="1"/>
  <c r="R108" i="2" s="1"/>
  <c r="O96" i="2"/>
  <c r="P96" i="2" s="1"/>
  <c r="R96" i="2" s="1"/>
  <c r="O92" i="2"/>
  <c r="P92" i="2" s="1"/>
  <c r="R92" i="2" s="1"/>
  <c r="O80" i="2"/>
  <c r="P80" i="2" s="1"/>
  <c r="R80" i="2" s="1"/>
  <c r="O76" i="2"/>
  <c r="P76" i="2" s="1"/>
  <c r="R76" i="2" s="1"/>
  <c r="O123" i="2"/>
  <c r="P123" i="2" s="1"/>
  <c r="R123" i="2" s="1"/>
  <c r="O107" i="2"/>
  <c r="P107" i="2" s="1"/>
  <c r="R107" i="2" s="1"/>
  <c r="O91" i="2"/>
  <c r="P91" i="2" s="1"/>
  <c r="R91" i="2" s="1"/>
  <c r="O75" i="2"/>
  <c r="P75" i="2" s="1"/>
  <c r="R75" i="2" s="1"/>
  <c r="O126" i="2"/>
  <c r="P126" i="2" s="1"/>
  <c r="R126" i="2" s="1"/>
  <c r="O90" i="2"/>
  <c r="P90" i="2" s="1"/>
  <c r="R90" i="2" s="1"/>
  <c r="O74" i="2"/>
  <c r="P74" i="2" s="1"/>
  <c r="R74" i="2" s="1"/>
  <c r="O122" i="2"/>
  <c r="P122" i="2" s="1"/>
  <c r="R122" i="2" s="1"/>
  <c r="O118" i="2"/>
  <c r="P118" i="2" s="1"/>
  <c r="R118" i="2" s="1"/>
  <c r="O102" i="2"/>
  <c r="P102" i="2" s="1"/>
  <c r="R102" i="2" s="1"/>
  <c r="O86" i="2"/>
  <c r="P86" i="2" s="1"/>
  <c r="R86" i="2" s="1"/>
  <c r="O135" i="2"/>
  <c r="P135" i="2" s="1"/>
  <c r="R135" i="2" s="1"/>
  <c r="O114" i="2"/>
  <c r="P114" i="2" s="1"/>
  <c r="R114" i="2" s="1"/>
  <c r="O98" i="2"/>
  <c r="P98" i="2" s="1"/>
  <c r="R98" i="2" s="1"/>
  <c r="O82" i="2"/>
  <c r="P82" i="2" s="1"/>
  <c r="R82" i="2" s="1"/>
  <c r="O139" i="2"/>
  <c r="P139" i="2" s="1"/>
  <c r="R139" i="2" s="1"/>
  <c r="O145" i="2"/>
  <c r="P145" i="2" s="1"/>
  <c r="R145" i="2" s="1"/>
  <c r="O141" i="2"/>
  <c r="P141" i="2" s="1"/>
  <c r="R141" i="2" s="1"/>
  <c r="O137" i="2"/>
  <c r="O133" i="2"/>
  <c r="P133" i="2" s="1"/>
  <c r="R133" i="2" s="1"/>
  <c r="O129" i="2"/>
  <c r="P129" i="2" s="1"/>
  <c r="R129" i="2" s="1"/>
  <c r="O125" i="2"/>
  <c r="P125" i="2" s="1"/>
  <c r="R125" i="2" s="1"/>
  <c r="O121" i="2"/>
  <c r="P121" i="2" s="1"/>
  <c r="R121" i="2" s="1"/>
  <c r="O117" i="2"/>
  <c r="P117" i="2" s="1"/>
  <c r="R117" i="2" s="1"/>
  <c r="O113" i="2"/>
  <c r="P113" i="2" s="1"/>
  <c r="R113" i="2" s="1"/>
  <c r="O109" i="2"/>
  <c r="P109" i="2" s="1"/>
  <c r="R109" i="2" s="1"/>
  <c r="O105" i="2"/>
  <c r="P105" i="2" s="1"/>
  <c r="R105" i="2" s="1"/>
  <c r="O101" i="2"/>
  <c r="P101" i="2" s="1"/>
  <c r="R101" i="2" s="1"/>
  <c r="O97" i="2"/>
  <c r="P97" i="2" s="1"/>
  <c r="R97" i="2" s="1"/>
  <c r="O93" i="2"/>
  <c r="P93" i="2" s="1"/>
  <c r="R93" i="2" s="1"/>
  <c r="O89" i="2"/>
  <c r="P89" i="2" s="1"/>
  <c r="R89" i="2" s="1"/>
  <c r="O85" i="2"/>
  <c r="P85" i="2" s="1"/>
  <c r="R85" i="2" s="1"/>
  <c r="O81" i="2"/>
  <c r="P81" i="2" s="1"/>
  <c r="R81" i="2" s="1"/>
  <c r="O77" i="2"/>
  <c r="P77" i="2" s="1"/>
  <c r="R77" i="2" s="1"/>
  <c r="O73" i="2"/>
  <c r="P73" i="2" s="1"/>
  <c r="R73" i="2" s="1"/>
  <c r="O69" i="2"/>
  <c r="P69" i="2" s="1"/>
  <c r="R69" i="2" s="1"/>
  <c r="P104" i="2"/>
  <c r="R104" i="2" s="1"/>
  <c r="O147" i="2"/>
  <c r="P147" i="2" s="1"/>
  <c r="R147" i="2" s="1"/>
  <c r="P137" i="2"/>
  <c r="R137" i="2" s="1"/>
  <c r="O110" i="2" l="1"/>
  <c r="P110" i="2" s="1"/>
  <c r="R110" i="2" s="1"/>
  <c r="K98" i="3"/>
  <c r="R156" i="2"/>
  <c r="R157" i="2"/>
  <c r="K68" i="2" l="1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H4" i="2" l="1"/>
  <c r="O4" i="2" s="1"/>
  <c r="H66" i="2" l="1"/>
  <c r="H68" i="2"/>
  <c r="H67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P4" i="2" l="1"/>
  <c r="O8" i="2"/>
  <c r="P8" i="2" s="1"/>
  <c r="R8" i="2" s="1"/>
  <c r="O6" i="2"/>
  <c r="P6" i="2" s="1"/>
  <c r="R6" i="2" s="1"/>
  <c r="O10" i="2"/>
  <c r="P10" i="2" s="1"/>
  <c r="R10" i="2" s="1"/>
  <c r="O12" i="2"/>
  <c r="P12" i="2" s="1"/>
  <c r="R12" i="2" s="1"/>
  <c r="O14" i="2"/>
  <c r="P14" i="2" s="1"/>
  <c r="R14" i="2" s="1"/>
  <c r="O16" i="2"/>
  <c r="P16" i="2" s="1"/>
  <c r="R16" i="2" s="1"/>
  <c r="O18" i="2"/>
  <c r="P18" i="2" s="1"/>
  <c r="R18" i="2" s="1"/>
  <c r="O20" i="2"/>
  <c r="P20" i="2" s="1"/>
  <c r="R20" i="2" s="1"/>
  <c r="O22" i="2"/>
  <c r="P22" i="2" s="1"/>
  <c r="R22" i="2" s="1"/>
  <c r="O24" i="2"/>
  <c r="P24" i="2" s="1"/>
  <c r="R24" i="2" s="1"/>
  <c r="O26" i="2"/>
  <c r="P26" i="2" s="1"/>
  <c r="R26" i="2" s="1"/>
  <c r="O28" i="2"/>
  <c r="P28" i="2" s="1"/>
  <c r="R28" i="2" s="1"/>
  <c r="O30" i="2"/>
  <c r="P30" i="2" s="1"/>
  <c r="R30" i="2" s="1"/>
  <c r="O32" i="2"/>
  <c r="P32" i="2" s="1"/>
  <c r="R32" i="2" s="1"/>
  <c r="O34" i="2"/>
  <c r="P34" i="2" s="1"/>
  <c r="R34" i="2" s="1"/>
  <c r="O36" i="2"/>
  <c r="P36" i="2" s="1"/>
  <c r="R36" i="2" s="1"/>
  <c r="O38" i="2"/>
  <c r="P38" i="2" s="1"/>
  <c r="R38" i="2" s="1"/>
  <c r="O40" i="2"/>
  <c r="P40" i="2" s="1"/>
  <c r="R40" i="2" s="1"/>
  <c r="O42" i="2"/>
  <c r="P42" i="2" s="1"/>
  <c r="R42" i="2" s="1"/>
  <c r="O44" i="2"/>
  <c r="P44" i="2" s="1"/>
  <c r="R44" i="2" s="1"/>
  <c r="O45" i="2"/>
  <c r="P45" i="2" s="1"/>
  <c r="R45" i="2" s="1"/>
  <c r="O47" i="2"/>
  <c r="P47" i="2" s="1"/>
  <c r="R47" i="2" s="1"/>
  <c r="O49" i="2"/>
  <c r="P49" i="2" s="1"/>
  <c r="R49" i="2" s="1"/>
  <c r="O50" i="2"/>
  <c r="P50" i="2" s="1"/>
  <c r="R50" i="2" s="1"/>
  <c r="O52" i="2"/>
  <c r="P52" i="2" s="1"/>
  <c r="R52" i="2" s="1"/>
  <c r="O54" i="2"/>
  <c r="P54" i="2" s="1"/>
  <c r="R54" i="2" s="1"/>
  <c r="O56" i="2"/>
  <c r="P56" i="2" s="1"/>
  <c r="R56" i="2" s="1"/>
  <c r="O58" i="2"/>
  <c r="P58" i="2" s="1"/>
  <c r="R58" i="2" s="1"/>
  <c r="O60" i="2"/>
  <c r="P60" i="2" s="1"/>
  <c r="R60" i="2" s="1"/>
  <c r="O62" i="2"/>
  <c r="P62" i="2" s="1"/>
  <c r="R62" i="2" s="1"/>
  <c r="O64" i="2"/>
  <c r="P64" i="2" s="1"/>
  <c r="R64" i="2" s="1"/>
  <c r="O66" i="2"/>
  <c r="P66" i="2" s="1"/>
  <c r="R66" i="2" s="1"/>
  <c r="O68" i="2"/>
  <c r="P68" i="2" s="1"/>
  <c r="R68" i="2" s="1"/>
  <c r="O5" i="2"/>
  <c r="P5" i="2" s="1"/>
  <c r="R5" i="2" s="1"/>
  <c r="O7" i="2"/>
  <c r="O9" i="2"/>
  <c r="P9" i="2" s="1"/>
  <c r="R9" i="2" s="1"/>
  <c r="O11" i="2"/>
  <c r="P11" i="2" s="1"/>
  <c r="R11" i="2" s="1"/>
  <c r="O13" i="2"/>
  <c r="P13" i="2" s="1"/>
  <c r="R13" i="2" s="1"/>
  <c r="O15" i="2"/>
  <c r="P15" i="2" s="1"/>
  <c r="R15" i="2" s="1"/>
  <c r="O17" i="2"/>
  <c r="P17" i="2" s="1"/>
  <c r="R17" i="2" s="1"/>
  <c r="O19" i="2"/>
  <c r="P19" i="2" s="1"/>
  <c r="R19" i="2" s="1"/>
  <c r="O21" i="2"/>
  <c r="P21" i="2" s="1"/>
  <c r="R21" i="2" s="1"/>
  <c r="O23" i="2"/>
  <c r="P23" i="2" s="1"/>
  <c r="R23" i="2" s="1"/>
  <c r="O25" i="2"/>
  <c r="P25" i="2" s="1"/>
  <c r="R25" i="2" s="1"/>
  <c r="O27" i="2"/>
  <c r="P27" i="2" s="1"/>
  <c r="R27" i="2" s="1"/>
  <c r="O29" i="2"/>
  <c r="P29" i="2" s="1"/>
  <c r="R29" i="2" s="1"/>
  <c r="O31" i="2"/>
  <c r="P31" i="2" s="1"/>
  <c r="R31" i="2" s="1"/>
  <c r="O33" i="2"/>
  <c r="P33" i="2" s="1"/>
  <c r="R33" i="2" s="1"/>
  <c r="O35" i="2"/>
  <c r="P35" i="2" s="1"/>
  <c r="R35" i="2" s="1"/>
  <c r="O37" i="2"/>
  <c r="P37" i="2" s="1"/>
  <c r="R37" i="2" s="1"/>
  <c r="O39" i="2"/>
  <c r="P39" i="2" s="1"/>
  <c r="R39" i="2" s="1"/>
  <c r="O41" i="2"/>
  <c r="P41" i="2" s="1"/>
  <c r="R41" i="2" s="1"/>
  <c r="O43" i="2"/>
  <c r="P43" i="2" s="1"/>
  <c r="R43" i="2" s="1"/>
  <c r="O46" i="2"/>
  <c r="P46" i="2" s="1"/>
  <c r="R46" i="2" s="1"/>
  <c r="O48" i="2"/>
  <c r="P48" i="2" s="1"/>
  <c r="R48" i="2" s="1"/>
  <c r="O51" i="2"/>
  <c r="P51" i="2" s="1"/>
  <c r="R51" i="2" s="1"/>
  <c r="O53" i="2"/>
  <c r="P53" i="2" s="1"/>
  <c r="R53" i="2" s="1"/>
  <c r="O55" i="2"/>
  <c r="P55" i="2" s="1"/>
  <c r="R55" i="2" s="1"/>
  <c r="O57" i="2"/>
  <c r="P57" i="2" s="1"/>
  <c r="R57" i="2" s="1"/>
  <c r="O59" i="2"/>
  <c r="P59" i="2" s="1"/>
  <c r="R59" i="2" s="1"/>
  <c r="O61" i="2"/>
  <c r="P61" i="2" s="1"/>
  <c r="R61" i="2" s="1"/>
  <c r="O63" i="2"/>
  <c r="P63" i="2" s="1"/>
  <c r="R63" i="2" s="1"/>
  <c r="O65" i="2"/>
  <c r="P65" i="2" s="1"/>
  <c r="R65" i="2" s="1"/>
  <c r="O67" i="2"/>
  <c r="P67" i="2" s="1"/>
  <c r="R67" i="2" s="1"/>
  <c r="R4" i="2" l="1"/>
  <c r="P7" i="2"/>
  <c r="R7" i="2" s="1"/>
  <c r="R148" i="2" l="1"/>
</calcChain>
</file>

<file path=xl/sharedStrings.xml><?xml version="1.0" encoding="utf-8"?>
<sst xmlns="http://schemas.openxmlformats.org/spreadsheetml/2006/main" count="842" uniqueCount="309">
  <si>
    <t>S.No.</t>
  </si>
  <si>
    <t>Name of Machinery</t>
  </si>
  <si>
    <t>Qty.</t>
  </si>
  <si>
    <t>Name of Supplier</t>
  </si>
  <si>
    <t xml:space="preserve">Date of Capitalization  </t>
  </si>
  <si>
    <t>Date of Valuation</t>
  </si>
  <si>
    <t xml:space="preserve">Prospective Fair Market value (INR) </t>
  </si>
  <si>
    <t>Importants notes:-</t>
  </si>
  <si>
    <t>Depreciation</t>
  </si>
  <si>
    <t>Maida Automation System to feed Mixer, Magnet grill for Maida Hopper</t>
  </si>
  <si>
    <t>Air Compressore</t>
  </si>
  <si>
    <t>Drum type made by SS complited including SS shaft, gear motor fitting, Hopper type made by SS, Roller, Side boby SS &amp; dear mitir fitting</t>
  </si>
  <si>
    <t>Stacker Machine for plant</t>
  </si>
  <si>
    <t>Sugar grinder machine, Hopper &amp; motor</t>
  </si>
  <si>
    <t>Geared motor with variable speed drive controller with chain &amp; Sprocket, Intermediate web conveyor</t>
  </si>
  <si>
    <t>Cooling conveyor drive unit with Gear motor fitting, Drive Stand, Sheet Bracket</t>
  </si>
  <si>
    <t>M. S. Capsule, MS extension Structure at top of St. tank, MS Chimney Canopy with flanges, Pressure gauge</t>
  </si>
  <si>
    <t>Mixer machine, motor directly completed electric panel box &amp; jacket system, Milk Spray system, GMS Prepration tank, SS dough Trolley, Carton conveyor, Dice Lifting system, Cooling extension</t>
  </si>
  <si>
    <t>Mixer Machine</t>
  </si>
  <si>
    <t>Gear Motor with Chain, Sprocket &amp; Speed Controller through frequency inverter</t>
  </si>
  <si>
    <t>Dough trolley unloaded lifting system, Biscuits Grinder Machine system, Invert Syrup Machine</t>
  </si>
  <si>
    <t>Finseal-11 HS, Tool Kit Addition Finseal 1</t>
  </si>
  <si>
    <t>Mixer Fully Automatic Regulator System with Bowl</t>
  </si>
  <si>
    <t>Hand Giar Box</t>
  </si>
  <si>
    <t>Biscuits Beaking Oven Machineries</t>
  </si>
  <si>
    <t>Intermediate cutting web, Reciprocating Scrap distributor, Plc Panel with two color, Final gauge roller conveyor, First (inclined) conveyor, Scrap retun sysytem, Etc.</t>
  </si>
  <si>
    <t>Final gauge roller unit, Second gauge roller unit, IntermediateConveyor, Two roll scrap dough Sheeter, Pre-Gauge Roller, Intermediate Conveyor between pre - gauge rollers, Etc</t>
  </si>
  <si>
    <t>Cut &amp; Lay Laminator unit, rotray Moulder Unit, Central Lubricant- Motorized</t>
  </si>
  <si>
    <t>First gauge roller unit, Two roll fresh dough sheeter, Single Head Rotary cutting unit, Swivel pannier web, Pre- gauge roller unit, intermediate conveyor between sheeter &amp; Pre- gauge roller, Web Moistening rubber roller, Etc</t>
  </si>
  <si>
    <t xml:space="preserve">Complete on Edge Axis HFW M/C </t>
  </si>
  <si>
    <t>Family Pack M/C with Single Lane Magazine</t>
  </si>
  <si>
    <t>Complete on - EDGE Axis HFW Machine</t>
  </si>
  <si>
    <t>Secondary Packing HFW Machine</t>
  </si>
  <si>
    <t>Family Pack Machine with Single Lane Magazine</t>
  </si>
  <si>
    <t>On- edge Packing Machine with twin chute magazine</t>
  </si>
  <si>
    <t>Two Die Roller</t>
  </si>
  <si>
    <t>Rewinder machine with Web Guider Sysytem, Motor Panel and Accessories.</t>
  </si>
  <si>
    <t>Articulated Wire Belt</t>
  </si>
  <si>
    <t>Cream Sandwich M/C Pen Pive Line, AC Tunnel Size with Conveyor</t>
  </si>
  <si>
    <t>Industrial process Chiller</t>
  </si>
  <si>
    <t>Wesman Square Hitemp fired Burner block, Screwed type Butterfly Valve with AISI Flapper and shaft, FlexibleMS air Hose BSP with Connector, MS HEX Nipple, Wafer-style butterfly valve with MS Flapper and shaft, Contactor Box AMPS with Isolating Fusefor wesman preheater and non flameproof Outflowheater, Honeywell Modulating Motor, Gas Pressure, Etc</t>
  </si>
  <si>
    <t>Wesman DPDH duplex oil Pumping/Heating Unit for furnace oil, Wesman Non-Flameproof outflow heater, Wesman vertical electric oil Preheater</t>
  </si>
  <si>
    <t>Wesman Oil Burner with standard CI Mounting, Wesman Sensitrol oil valve, Wesman Blower HPT direct drive LVU with Motor, Wesman PRV Constant Oil Pressure Regulator</t>
  </si>
  <si>
    <t>2 Nos.</t>
  </si>
  <si>
    <t>1 No.</t>
  </si>
  <si>
    <t>4 Nos.</t>
  </si>
  <si>
    <t>10 Nos.</t>
  </si>
  <si>
    <t>8 Nos.</t>
  </si>
  <si>
    <t>9 Nos.</t>
  </si>
  <si>
    <t>3 Nos.</t>
  </si>
  <si>
    <t>34 Nos.</t>
  </si>
  <si>
    <t>Ambaji Automations</t>
  </si>
  <si>
    <t>Elgi Equipments Ltd.</t>
  </si>
  <si>
    <t>Hazra Industries</t>
  </si>
  <si>
    <t>Heiza Chem Engineers (P) Ltd.</t>
  </si>
  <si>
    <t>K. C. Industries</t>
  </si>
  <si>
    <t>Khosla Innovopack</t>
  </si>
  <si>
    <t>M. R. Enterprise</t>
  </si>
  <si>
    <t>M. S. Technologies</t>
  </si>
  <si>
    <t>M/s VSA Machines India</t>
  </si>
  <si>
    <t xml:space="preserve">Make Well Engineering </t>
  </si>
  <si>
    <t>Madan Pal &amp; Sons</t>
  </si>
  <si>
    <t>Pal Industries</t>
  </si>
  <si>
    <t>Roshan Industries</t>
  </si>
  <si>
    <t>Sukhmani Enterprises</t>
  </si>
  <si>
    <t>Tempcon</t>
  </si>
  <si>
    <t>Wesman Thermal Engineering Processes pvt. Ltd.</t>
  </si>
  <si>
    <t>commisioning Charge</t>
  </si>
  <si>
    <t>Hardware merchants</t>
  </si>
  <si>
    <t>(K) Section</t>
  </si>
  <si>
    <t>MS Sockets, MS Band, Etc</t>
  </si>
  <si>
    <t>Slipon flanges, Short band</t>
  </si>
  <si>
    <t>Plant &amp; Mach</t>
  </si>
  <si>
    <t>Trolley wheel</t>
  </si>
  <si>
    <t>auto Scrubber dryer Floor Cleaner Mopper, Industrial vaccum Cleaner, Telescopic Pole aluminum handle, Round Dust brush, Soft tube</t>
  </si>
  <si>
    <t>Weighing Scale</t>
  </si>
  <si>
    <t>Helical Bearing type Gear Pump Mountedon a Channel base &amp; belt Pulley driver by SHP, RPM Kirloskar Motor</t>
  </si>
  <si>
    <t>Chamber oven Panel, Temperature Indicator with Box</t>
  </si>
  <si>
    <t>PCC Panel with Coper Busbar</t>
  </si>
  <si>
    <t>Rotary Operating Mechanisam for PCC pane;  (make siemens), Etc.</t>
  </si>
  <si>
    <t>MS Pipe, MS Angle, MS Channel, MS Plate.</t>
  </si>
  <si>
    <t>Ball Valve universal, Screwed</t>
  </si>
  <si>
    <t xml:space="preserve">Hand Pallet truck </t>
  </si>
  <si>
    <t>SS Dough Trolley Including Heavy Duty NOS nylin Wheel Fitting</t>
  </si>
  <si>
    <t>Geared motor with Variable Speed Drive Controller</t>
  </si>
  <si>
    <t>Oil Pump, Gear Motor, S.S. lobe pump, H.P. Motor, Gear motor &amp; Dice Fitting, Electrical heater</t>
  </si>
  <si>
    <t>Packing Table</t>
  </si>
  <si>
    <t>M.S. Storage tank, Bottom Foundation structural Materials, heat tracing &amp; Insulation of St. tank with P.B, Measuring Scale, Service tank, Bearing G. Pump with accessories, etc</t>
  </si>
  <si>
    <t>7 Nos.</t>
  </si>
  <si>
    <t>11 Nos.</t>
  </si>
  <si>
    <t>5 Nos.</t>
  </si>
  <si>
    <t>16 Nos.</t>
  </si>
  <si>
    <t>Gandhi Hardware Mart</t>
  </si>
  <si>
    <t>Jubilee engineering stores</t>
  </si>
  <si>
    <t>Mondal Enterprise</t>
  </si>
  <si>
    <t>Ganesh Hradware stores</t>
  </si>
  <si>
    <t>Industrial Mill Stores</t>
  </si>
  <si>
    <t>Metro Hardware Mart</t>
  </si>
  <si>
    <t>New Age Cleaning Solution</t>
  </si>
  <si>
    <t>Rajdeep Enterprise</t>
  </si>
  <si>
    <t>Riat Machinery Co.</t>
  </si>
  <si>
    <t xml:space="preserve">Unitech system </t>
  </si>
  <si>
    <t>Laxmi Enterprises</t>
  </si>
  <si>
    <t>Laxmi Narayan Iron Trading Co.</t>
  </si>
  <si>
    <t>Bengal Machinery Company</t>
  </si>
  <si>
    <t>Janata Plastic Store</t>
  </si>
  <si>
    <r>
      <t xml:space="preserve">Gross Current Reproduction Cost </t>
    </r>
    <r>
      <rPr>
        <i/>
        <sz val="11"/>
        <rFont val="Arial"/>
        <family val="2"/>
      </rPr>
      <t xml:space="preserve">(in INR) </t>
    </r>
  </si>
  <si>
    <r>
      <rPr>
        <b/>
        <sz val="11"/>
        <rFont val="Arial"/>
        <family val="2"/>
      </rPr>
      <t>Economic Life</t>
    </r>
    <r>
      <rPr>
        <b/>
        <sz val="10"/>
        <rFont val="Arial"/>
        <family val="2"/>
      </rPr>
      <t xml:space="preserve">             </t>
    </r>
    <r>
      <rPr>
        <i/>
        <sz val="10"/>
        <rFont val="Arial"/>
        <family val="2"/>
      </rPr>
      <t>(in Yrs.)</t>
    </r>
  </si>
  <si>
    <t>Total</t>
  </si>
  <si>
    <r>
      <t xml:space="preserve">Gross Block Value                      </t>
    </r>
    <r>
      <rPr>
        <i/>
        <sz val="11"/>
        <rFont val="Arial"/>
        <family val="2"/>
      </rPr>
      <t>(In INR)</t>
    </r>
  </si>
  <si>
    <t>Turn table, Cooling Conveyor</t>
  </si>
  <si>
    <t>Salvage Value</t>
  </si>
  <si>
    <t>Depreciation factor</t>
  </si>
  <si>
    <t>DETAILS OF ADDITION TO FIXED ASSETS (From 1.4.18 to 10.7.21)</t>
  </si>
  <si>
    <t>DATE</t>
  </si>
  <si>
    <t>PARTY NAME</t>
  </si>
  <si>
    <t>ITEM</t>
  </si>
  <si>
    <t>BILL NO.</t>
  </si>
  <si>
    <t>BASIC</t>
  </si>
  <si>
    <t>IGST</t>
  </si>
  <si>
    <t>SGST</t>
  </si>
  <si>
    <t>CGST</t>
  </si>
  <si>
    <t>OTHERS</t>
  </si>
  <si>
    <t>TOTAL</t>
  </si>
  <si>
    <t>REMARKS</t>
  </si>
  <si>
    <t>FY-18-19</t>
  </si>
  <si>
    <t>14.7.18</t>
  </si>
  <si>
    <t>Madanpal &amp; Sons</t>
  </si>
  <si>
    <t>Cylinder Butter Tahelka 38g</t>
  </si>
  <si>
    <t>7.5.18</t>
  </si>
  <si>
    <t>Fuji Industries</t>
  </si>
  <si>
    <t>Lemon puff 2/-</t>
  </si>
  <si>
    <t>28.4.18</t>
  </si>
  <si>
    <t>Sudhir Electricals</t>
  </si>
  <si>
    <t>Fans</t>
  </si>
  <si>
    <t>A</t>
  </si>
  <si>
    <t>FY- 19-20</t>
  </si>
  <si>
    <t>2.4.19</t>
  </si>
  <si>
    <t>H R Synergies</t>
  </si>
  <si>
    <t>Computer &amp; Acessories</t>
  </si>
  <si>
    <t>Computer</t>
  </si>
  <si>
    <t>4.10.19</t>
  </si>
  <si>
    <t>11.7.19</t>
  </si>
  <si>
    <t>Gem Computer &amp; Security</t>
  </si>
  <si>
    <t>Camera &amp; Assecories</t>
  </si>
  <si>
    <t>GCS0719-0013</t>
  </si>
  <si>
    <t>Furniture &amp; Fixure</t>
  </si>
  <si>
    <t>GCS0719-0014</t>
  </si>
  <si>
    <t>21.5.19</t>
  </si>
  <si>
    <t>Die</t>
  </si>
  <si>
    <t>other machinery</t>
  </si>
  <si>
    <t>11.4.19</t>
  </si>
  <si>
    <t>Poorva Engineering &amp; Tools (P) Ltd</t>
  </si>
  <si>
    <t>Dryer Machine</t>
  </si>
  <si>
    <t>20.9.19</t>
  </si>
  <si>
    <t>Maida Automation</t>
  </si>
  <si>
    <t>7.6.19</t>
  </si>
  <si>
    <t>Khosla Electronics (P) Ltd</t>
  </si>
  <si>
    <t>AC Machine</t>
  </si>
  <si>
    <t>24.6.19</t>
  </si>
  <si>
    <t>Pin Point Logistic</t>
  </si>
  <si>
    <t>Deep Fridge</t>
  </si>
  <si>
    <t>1.10.19</t>
  </si>
  <si>
    <t>SS Troley</t>
  </si>
  <si>
    <t>SS Enterprise</t>
  </si>
  <si>
    <t>21.7.19</t>
  </si>
  <si>
    <t>Bardhman Air Ventilator</t>
  </si>
  <si>
    <t>Air Turbine Ventilators</t>
  </si>
  <si>
    <t>B</t>
  </si>
  <si>
    <t>FY-20-21</t>
  </si>
  <si>
    <t>9.6.20</t>
  </si>
  <si>
    <t>Power System</t>
  </si>
  <si>
    <t>PH Drive</t>
  </si>
  <si>
    <t>Electrical installation</t>
  </si>
  <si>
    <t>13.6.20</t>
  </si>
  <si>
    <t>13.11.20</t>
  </si>
  <si>
    <t>Drive</t>
  </si>
  <si>
    <t>9.11.20</t>
  </si>
  <si>
    <t>13.8.20</t>
  </si>
  <si>
    <t>Pannel</t>
  </si>
  <si>
    <t>31.7.20</t>
  </si>
  <si>
    <t>Amaze Power</t>
  </si>
  <si>
    <t>Generator 500 kva</t>
  </si>
  <si>
    <t>4.8.20</t>
  </si>
  <si>
    <t>Other Mchinery</t>
  </si>
  <si>
    <t>1.1.21</t>
  </si>
  <si>
    <t>4.12.20</t>
  </si>
  <si>
    <t>Bengal Pipe &amp; Fittings</t>
  </si>
  <si>
    <t>Pipe Fittings</t>
  </si>
  <si>
    <t>baking oven</t>
  </si>
  <si>
    <t>17.12.20</t>
  </si>
  <si>
    <t>Shibam</t>
  </si>
  <si>
    <t>Glass wool</t>
  </si>
  <si>
    <t>16.1.21</t>
  </si>
  <si>
    <t>4.7.20</t>
  </si>
  <si>
    <t>MS Technologies</t>
  </si>
  <si>
    <t>Oven</t>
  </si>
  <si>
    <t>Baking Oven -II</t>
  </si>
  <si>
    <t>22.7.20</t>
  </si>
  <si>
    <t>18.8.20</t>
  </si>
  <si>
    <t>4.9.20</t>
  </si>
  <si>
    <t>8.9.20</t>
  </si>
  <si>
    <t>16.9.20</t>
  </si>
  <si>
    <t>5.10.20</t>
  </si>
  <si>
    <t>14.10.20</t>
  </si>
  <si>
    <t>20.10.20</t>
  </si>
  <si>
    <t>29.8.20</t>
  </si>
  <si>
    <t>Makewell Engineering</t>
  </si>
  <si>
    <t>Packing Machine</t>
  </si>
  <si>
    <t>12.8.20</t>
  </si>
  <si>
    <t>12.11.20</t>
  </si>
  <si>
    <t>26.11.20</t>
  </si>
  <si>
    <t>1.12.20</t>
  </si>
  <si>
    <t>23.6.20</t>
  </si>
  <si>
    <t>Packing Machine parts</t>
  </si>
  <si>
    <t>28.9.20</t>
  </si>
  <si>
    <t>KGK Jet India  (P) Ltd</t>
  </si>
  <si>
    <t>Printer</t>
  </si>
  <si>
    <t>19.6.20</t>
  </si>
  <si>
    <t>Poorva Engineering &amp; Tools (P) Ltd.</t>
  </si>
  <si>
    <t>Air Compressor</t>
  </si>
  <si>
    <t>P &amp; M</t>
  </si>
  <si>
    <t>10.3.21</t>
  </si>
  <si>
    <t>Dashmesh Refrigeration</t>
  </si>
  <si>
    <t>Milk Chiller</t>
  </si>
  <si>
    <t>Plant &amp; Machinery</t>
  </si>
  <si>
    <t>15.9.20</t>
  </si>
  <si>
    <t>1.10.20</t>
  </si>
  <si>
    <t>9.10.20</t>
  </si>
  <si>
    <t>10.10.20</t>
  </si>
  <si>
    <t>13.10.20</t>
  </si>
  <si>
    <t>Wesman Thermal Engineering Processes (P) Ltd</t>
  </si>
  <si>
    <t>Burners</t>
  </si>
  <si>
    <t>28.6.200</t>
  </si>
  <si>
    <t>Khosla Electronics Pvt. Ltd</t>
  </si>
  <si>
    <t>AC</t>
  </si>
  <si>
    <t>P&amp; M</t>
  </si>
  <si>
    <t>16.6.20</t>
  </si>
  <si>
    <t>TV</t>
  </si>
  <si>
    <t>28.8.20</t>
  </si>
  <si>
    <t>Deep Freeze</t>
  </si>
  <si>
    <t>1.7.20</t>
  </si>
  <si>
    <t>Himmat Elecctricals &amp; Electronics</t>
  </si>
  <si>
    <t>Electrical item</t>
  </si>
  <si>
    <t>HEE/A0497/2021</t>
  </si>
  <si>
    <t>9.7.20</t>
  </si>
  <si>
    <t>HEE/A0476/2021</t>
  </si>
  <si>
    <t>11.7.20</t>
  </si>
  <si>
    <t>HEE/A0506/2021</t>
  </si>
  <si>
    <t>HEE/A0572/2021</t>
  </si>
  <si>
    <t>HEE/A0812/2021</t>
  </si>
  <si>
    <t>HEE/A1128/2021</t>
  </si>
  <si>
    <t>HEE/A1122/2021</t>
  </si>
  <si>
    <t>5.11.20</t>
  </si>
  <si>
    <t>HEE/A2010/2021</t>
  </si>
  <si>
    <t>11.11.20</t>
  </si>
  <si>
    <t>HEE/A2113/2021</t>
  </si>
  <si>
    <t>25.11.20</t>
  </si>
  <si>
    <t>HEE/A2131/2021</t>
  </si>
  <si>
    <t>C</t>
  </si>
  <si>
    <t>FY- 21-22</t>
  </si>
  <si>
    <t>3.7.21</t>
  </si>
  <si>
    <t>Nanak Coding System</t>
  </si>
  <si>
    <t>30.6.21</t>
  </si>
  <si>
    <t>Control Print Limited</t>
  </si>
  <si>
    <t>5.7.21</t>
  </si>
  <si>
    <t>Rajdeep Enterprises</t>
  </si>
  <si>
    <t>Moisture Analyser</t>
  </si>
  <si>
    <t>lab equipment</t>
  </si>
  <si>
    <t>incomplet</t>
  </si>
  <si>
    <t>……………….</t>
  </si>
  <si>
    <t>…………….</t>
  </si>
  <si>
    <t>……………</t>
  </si>
  <si>
    <t>D</t>
  </si>
  <si>
    <t>(A+B+C+D)</t>
  </si>
  <si>
    <t>Plant &amp; Machinery (Moulding Line)</t>
  </si>
  <si>
    <t>Depreciated  Value (INR)</t>
  </si>
  <si>
    <t>Discount</t>
  </si>
  <si>
    <t>% Inflation</t>
  </si>
  <si>
    <t>Operational Life Consumed</t>
  </si>
  <si>
    <t>4.The machines appear to be reasonably well maintained and in working condition though no tests were performed by our team to check their performance levels.</t>
  </si>
  <si>
    <t>5.Only major machines in the list were verified and checked at the site while the rest were assumed to be present at the site in good faith</t>
  </si>
  <si>
    <t xml:space="preserve">2.Machineries name, Date of capitalisation and capitalization value are taken from the List provided by the M/s. Sakambari Processors Pvt. Ltd. management and accepetd in good faith by us. </t>
  </si>
  <si>
    <t>3.For evaluating depreciation,chart of Companies Act-2013 for ascertaining useful life of different types of machines is followed. The useful life of various components of Plant &amp; Machineries has been generally taken varying from 10 years to 15 years.</t>
  </si>
  <si>
    <t>1.This valuation assessment is done for machineries located at the premises of M/s. Sakambari Processors Pvt Ltd situated at R.S. Dag No.- 1, 2, 3, 793 &amp; 312; Khatian No.- 62,123,350,521 &amp; 645; Mouza- Kagnan &amp; Beraberi,P.O.- Makalpur, P.S.- Dadpur, Dist.- Hooghly (West Bengal)</t>
  </si>
  <si>
    <t>Fan</t>
  </si>
  <si>
    <t>Food beverages</t>
  </si>
  <si>
    <t>Turbine</t>
  </si>
  <si>
    <t>Air Gas Compressor</t>
  </si>
  <si>
    <t>Conveyor Belt</t>
  </si>
  <si>
    <t>Chiller</t>
  </si>
  <si>
    <t>Cleaner</t>
  </si>
  <si>
    <t>Measuring scale</t>
  </si>
  <si>
    <t>Microwave Oven</t>
  </si>
  <si>
    <t>Storage Tank</t>
  </si>
  <si>
    <t>Pumps</t>
  </si>
  <si>
    <t>MS Pipe</t>
  </si>
  <si>
    <t>Valve</t>
  </si>
  <si>
    <t>Motor</t>
  </si>
  <si>
    <t>Trolley(Lifting equipment)</t>
  </si>
  <si>
    <t>Grinder</t>
  </si>
  <si>
    <t>Heads</t>
  </si>
  <si>
    <t>Annexures</t>
  </si>
  <si>
    <t>Gross Block</t>
  </si>
  <si>
    <t>Reproductiont Cost</t>
  </si>
  <si>
    <t>Fair market value</t>
  </si>
  <si>
    <t>SUMMARY OF PLANT &amp;MACHINERY VALUATION | M/S SAKAMBARI PROCESSOR PVT. LTD.| HOOGHLY, WEST BENGAL</t>
  </si>
  <si>
    <t>VALUATION OF PLANT &amp; MACHINERY | M/S. SAKAMBARI PROCESSORS PVT. LTD. | HOOGHLY (W.B.)</t>
  </si>
  <si>
    <t>1.This valuation assessment is done for machineries located at the premises of M/s. Sakambari Processors Pvt Ltd situated at R.S. Dag No.- 1, 2, 3, 793 &amp; 312; Khatian No.- 62,123,350,521 &amp; 645; Mouza- Kagnan &amp; Beraberi,P.O.- Makalpur, P.S.- Dadpur, Dist.- Hooghly (West Bengal).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</si>
</sst>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 [$₹-4009]\ * #,##0.00_ ;_ [$₹-4009]\ * \-#,##0.00_ ;_ [$₹-4009]\ * &quot;-&quot;??_ ;_ @_ "/>
    <numFmt numFmtId="167" formatCode="_ [$₹-439]\ * #,##0.00_ ;_ [$₹-439]\ * \-#,##0.00_ ;_ [$₹-439]\ * &quot;-&quot;??_ ;_ @_ "/>
    <numFmt numFmtId="168" formatCode="_ * #,##0_ ;_ * \-#,##0_ ;_ * &quot;-&quot;??_ ;_ @_ "/>
    <numFmt numFmtId="169" formatCode="_ [$₹-4009]\ * #,##0_ ;_ [$₹-4009]\ * \-#,##0_ ;_ [$₹-4009]\ * &quot;-&quot;??_ ;_ @_ "/>
    <numFmt numFmtId="170" formatCode="_ &quot;₹&quot;\ * #,##0_ ;_ &quot;₹&quot;\ * \-#,##0_ ;_ &quot;₹&quot;\ * &quot;-&quot;??_ ;_ @_ "/>
  </numFmts>
  <fonts count="2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i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i/>
      <sz val="11"/>
      <name val="Arial"/>
      <family val="2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i/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4" fontId="0" fillId="0" borderId="1" xfId="0" quotePrefix="1" applyNumberFormat="1" applyFont="1" applyFill="1" applyBorder="1" applyAlignment="1">
      <alignment horizontal="center" vertical="center"/>
    </xf>
    <xf numFmtId="166" fontId="0" fillId="0" borderId="0" xfId="0" applyNumberFormat="1"/>
    <xf numFmtId="166" fontId="0" fillId="0" borderId="0" xfId="3" applyNumberFormat="1" applyFont="1"/>
    <xf numFmtId="0" fontId="0" fillId="0" borderId="1" xfId="0" quotePrefix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quotePrefix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quotePrefix="1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167" fontId="0" fillId="0" borderId="0" xfId="3" applyNumberFormat="1" applyFont="1"/>
    <xf numFmtId="0" fontId="7" fillId="0" borderId="0" xfId="0" applyFont="1"/>
    <xf numFmtId="9" fontId="0" fillId="0" borderId="1" xfId="4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67" fontId="0" fillId="0" borderId="0" xfId="3" applyNumberFormat="1" applyFont="1" applyBorder="1"/>
    <xf numFmtId="166" fontId="0" fillId="0" borderId="0" xfId="0" applyNumberFormat="1" applyBorder="1"/>
    <xf numFmtId="166" fontId="0" fillId="0" borderId="0" xfId="0" applyNumberFormat="1" applyBorder="1" applyAlignment="1">
      <alignment horizontal="center" vertical="center"/>
    </xf>
    <xf numFmtId="0" fontId="0" fillId="0" borderId="0" xfId="0" applyBorder="1"/>
    <xf numFmtId="166" fontId="0" fillId="0" borderId="0" xfId="3" applyNumberFormat="1" applyFont="1" applyBorder="1"/>
    <xf numFmtId="2" fontId="6" fillId="0" borderId="0" xfId="0" applyNumberFormat="1" applyFont="1"/>
    <xf numFmtId="0" fontId="4" fillId="0" borderId="0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168" fontId="9" fillId="0" borderId="1" xfId="1" applyNumberFormat="1" applyFont="1" applyBorder="1" applyAlignment="1">
      <alignment horizontal="center"/>
    </xf>
    <xf numFmtId="165" fontId="9" fillId="0" borderId="1" xfId="1" applyFont="1" applyBorder="1" applyAlignment="1">
      <alignment horizontal="center"/>
    </xf>
    <xf numFmtId="0" fontId="0" fillId="0" borderId="1" xfId="0" applyBorder="1"/>
    <xf numFmtId="0" fontId="11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68" fontId="9" fillId="0" borderId="6" xfId="1" applyNumberFormat="1" applyFont="1" applyBorder="1" applyAlignment="1">
      <alignment horizontal="center"/>
    </xf>
    <xf numFmtId="165" fontId="9" fillId="0" borderId="6" xfId="1" applyFont="1" applyBorder="1" applyAlignment="1">
      <alignment horizontal="center"/>
    </xf>
    <xf numFmtId="0" fontId="0" fillId="0" borderId="6" xfId="0" applyBorder="1"/>
    <xf numFmtId="168" fontId="0" fillId="0" borderId="6" xfId="1" applyNumberFormat="1" applyFont="1" applyBorder="1"/>
    <xf numFmtId="165" fontId="0" fillId="0" borderId="6" xfId="1" applyFont="1" applyBorder="1"/>
    <xf numFmtId="168" fontId="9" fillId="0" borderId="7" xfId="1" applyNumberFormat="1" applyFont="1" applyBorder="1"/>
    <xf numFmtId="165" fontId="9" fillId="0" borderId="7" xfId="1" applyFont="1" applyBorder="1"/>
    <xf numFmtId="0" fontId="11" fillId="0" borderId="6" xfId="0" applyFont="1" applyBorder="1"/>
    <xf numFmtId="0" fontId="0" fillId="0" borderId="6" xfId="1" applyNumberFormat="1" applyFont="1" applyBorder="1"/>
    <xf numFmtId="0" fontId="12" fillId="0" borderId="6" xfId="0" applyNumberFormat="1" applyFont="1" applyFill="1" applyBorder="1" applyAlignment="1" applyProtection="1"/>
    <xf numFmtId="43" fontId="12" fillId="0" borderId="6" xfId="0" applyNumberFormat="1" applyFont="1" applyFill="1" applyBorder="1" applyAlignment="1" applyProtection="1"/>
    <xf numFmtId="0" fontId="13" fillId="0" borderId="7" xfId="0" applyNumberFormat="1" applyFont="1" applyFill="1" applyBorder="1" applyAlignment="1" applyProtection="1"/>
    <xf numFmtId="43" fontId="13" fillId="0" borderId="7" xfId="0" applyNumberFormat="1" applyFont="1" applyFill="1" applyBorder="1" applyAlignment="1" applyProtection="1"/>
    <xf numFmtId="0" fontId="14" fillId="0" borderId="6" xfId="0" applyNumberFormat="1" applyFont="1" applyFill="1" applyBorder="1" applyAlignment="1" applyProtection="1"/>
    <xf numFmtId="43" fontId="13" fillId="0" borderId="6" xfId="0" applyNumberFormat="1" applyFont="1" applyFill="1" applyBorder="1" applyAlignment="1" applyProtection="1"/>
    <xf numFmtId="0" fontId="12" fillId="0" borderId="7" xfId="0" applyNumberFormat="1" applyFont="1" applyFill="1" applyBorder="1" applyAlignment="1" applyProtection="1"/>
    <xf numFmtId="0" fontId="0" fillId="0" borderId="8" xfId="0" applyBorder="1"/>
    <xf numFmtId="168" fontId="0" fillId="0" borderId="8" xfId="1" applyNumberFormat="1" applyFont="1" applyBorder="1"/>
    <xf numFmtId="165" fontId="0" fillId="0" borderId="8" xfId="1" applyFont="1" applyBorder="1"/>
    <xf numFmtId="166" fontId="0" fillId="0" borderId="5" xfId="0" applyNumberFormat="1" applyFont="1" applyBorder="1" applyAlignment="1">
      <alignment horizontal="center" vertical="center"/>
    </xf>
    <xf numFmtId="0" fontId="0" fillId="0" borderId="5" xfId="0" applyFont="1" applyBorder="1"/>
    <xf numFmtId="166" fontId="0" fillId="0" borderId="5" xfId="0" applyNumberFormat="1" applyFont="1" applyBorder="1"/>
    <xf numFmtId="166" fontId="0" fillId="0" borderId="5" xfId="3" applyNumberFormat="1" applyFont="1" applyBorder="1"/>
    <xf numFmtId="0" fontId="0" fillId="0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169" fontId="0" fillId="0" borderId="1" xfId="3" applyNumberFormat="1" applyFont="1" applyFill="1" applyBorder="1" applyAlignment="1">
      <alignment horizontal="center" vertical="center" wrapText="1"/>
    </xf>
    <xf numFmtId="169" fontId="0" fillId="0" borderId="1" xfId="1" applyNumberFormat="1" applyFont="1" applyFill="1" applyBorder="1" applyAlignment="1">
      <alignment horizontal="center" vertical="center" wrapText="1"/>
    </xf>
    <xf numFmtId="169" fontId="0" fillId="0" borderId="1" xfId="3" applyNumberFormat="1" applyFont="1" applyBorder="1" applyAlignment="1">
      <alignment horizontal="center" vertical="center" wrapText="1"/>
    </xf>
    <xf numFmtId="10" fontId="0" fillId="0" borderId="1" xfId="3" applyNumberFormat="1" applyFont="1" applyBorder="1" applyAlignment="1">
      <alignment horizontal="center" vertical="center" wrapText="1"/>
    </xf>
    <xf numFmtId="169" fontId="0" fillId="2" borderId="1" xfId="3" applyNumberFormat="1" applyFont="1" applyFill="1" applyBorder="1" applyAlignment="1">
      <alignment horizontal="center" vertical="center" wrapText="1"/>
    </xf>
    <xf numFmtId="169" fontId="0" fillId="0" borderId="1" xfId="3" applyNumberFormat="1" applyFont="1" applyFill="1" applyBorder="1" applyAlignment="1">
      <alignment horizontal="center" vertical="center"/>
    </xf>
    <xf numFmtId="169" fontId="0" fillId="0" borderId="1" xfId="3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9" fontId="0" fillId="0" borderId="1" xfId="1" applyNumberFormat="1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169" fontId="12" fillId="0" borderId="1" xfId="0" applyNumberFormat="1" applyFont="1" applyFill="1" applyBorder="1" applyAlignment="1" applyProtection="1">
      <alignment horizontal="center" vertical="center"/>
    </xf>
    <xf numFmtId="0" fontId="0" fillId="3" borderId="1" xfId="0" applyFill="1" applyBorder="1" applyAlignment="1">
      <alignment horizontal="center" vertical="center"/>
    </xf>
    <xf numFmtId="169" fontId="6" fillId="3" borderId="1" xfId="0" applyNumberFormat="1" applyFont="1" applyFill="1" applyBorder="1" applyAlignment="1">
      <alignment horizontal="center" vertical="center"/>
    </xf>
    <xf numFmtId="169" fontId="5" fillId="3" borderId="1" xfId="0" applyNumberFormat="1" applyFont="1" applyFill="1" applyBorder="1" applyAlignment="1">
      <alignment horizontal="center" vertical="center"/>
    </xf>
    <xf numFmtId="169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9" fontId="12" fillId="0" borderId="1" xfId="4" applyFont="1" applyFill="1" applyBorder="1" applyAlignment="1" applyProtection="1">
      <alignment horizontal="center" vertical="center"/>
    </xf>
    <xf numFmtId="9" fontId="0" fillId="0" borderId="1" xfId="4" applyFont="1" applyBorder="1" applyAlignment="1">
      <alignment horizontal="center" vertical="center"/>
    </xf>
    <xf numFmtId="9" fontId="0" fillId="0" borderId="1" xfId="4" applyFont="1" applyFill="1" applyBorder="1" applyAlignment="1">
      <alignment horizontal="center" vertical="center"/>
    </xf>
    <xf numFmtId="9" fontId="0" fillId="2" borderId="1" xfId="4" applyFont="1" applyFill="1" applyBorder="1" applyAlignment="1">
      <alignment horizontal="center" vertical="center" wrapText="1"/>
    </xf>
    <xf numFmtId="9" fontId="0" fillId="0" borderId="0" xfId="4" applyFont="1"/>
    <xf numFmtId="9" fontId="6" fillId="3" borderId="1" xfId="4" applyFont="1" applyFill="1" applyBorder="1" applyAlignment="1">
      <alignment horizontal="center" vertical="center"/>
    </xf>
    <xf numFmtId="9" fontId="0" fillId="0" borderId="0" xfId="4" applyFont="1" applyAlignment="1"/>
    <xf numFmtId="9" fontId="0" fillId="0" borderId="0" xfId="4" applyFont="1" applyBorder="1"/>
    <xf numFmtId="9" fontId="4" fillId="0" borderId="0" xfId="4" applyFont="1" applyFill="1" applyBorder="1" applyAlignment="1">
      <alignment horizontal="left" vertical="center" wrapText="1"/>
    </xf>
    <xf numFmtId="0" fontId="0" fillId="0" borderId="0" xfId="4" applyNumberFormat="1" applyFont="1"/>
    <xf numFmtId="10" fontId="0" fillId="0" borderId="1" xfId="3" applyNumberFormat="1" applyFont="1" applyFill="1" applyBorder="1" applyAlignment="1">
      <alignment horizontal="center" vertical="center" wrapText="1"/>
    </xf>
    <xf numFmtId="0" fontId="0" fillId="0" borderId="0" xfId="0" applyFill="1"/>
    <xf numFmtId="43" fontId="0" fillId="0" borderId="0" xfId="0" applyNumberFormat="1"/>
    <xf numFmtId="0" fontId="17" fillId="5" borderId="12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17" fillId="5" borderId="14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170" fontId="0" fillId="0" borderId="8" xfId="3" applyNumberFormat="1" applyFont="1" applyBorder="1" applyAlignment="1">
      <alignment horizontal="center"/>
    </xf>
    <xf numFmtId="170" fontId="0" fillId="0" borderId="16" xfId="3" applyNumberFormat="1" applyFont="1" applyBorder="1" applyAlignment="1">
      <alignment horizont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8" fillId="5" borderId="1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170" fontId="9" fillId="0" borderId="18" xfId="3" applyNumberFormat="1" applyFont="1" applyBorder="1" applyAlignment="1">
      <alignment horizontal="center"/>
    </xf>
    <xf numFmtId="170" fontId="9" fillId="0" borderId="19" xfId="3" applyNumberFormat="1" applyFont="1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16" fillId="4" borderId="9" xfId="0" applyFont="1" applyFill="1" applyBorder="1" applyAlignment="1">
      <alignment horizontal="center" wrapText="1"/>
    </xf>
    <xf numFmtId="0" fontId="16" fillId="4" borderId="10" xfId="0" applyFont="1" applyFill="1" applyBorder="1" applyAlignment="1">
      <alignment horizontal="center" wrapText="1"/>
    </xf>
    <xf numFmtId="0" fontId="16" fillId="4" borderId="11" xfId="0" applyFont="1" applyFill="1" applyBorder="1" applyAlignment="1">
      <alignment horizontal="center" wrapText="1"/>
    </xf>
    <xf numFmtId="0" fontId="19" fillId="4" borderId="3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</cellXfs>
  <cellStyles count="5">
    <cellStyle name="Comma" xfId="1" builtinId="3"/>
    <cellStyle name="Currency" xfId="3" builtinId="4"/>
    <cellStyle name="Normal" xfId="0" builtinId="0"/>
    <cellStyle name="Normal 12" xfId="2"/>
    <cellStyle name="Percent" xfId="4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ngineer3\Downloads\Annexure-I%20(27.01.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92">
          <cell r="J92">
            <v>52694841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66"/>
  <sheetViews>
    <sheetView zoomScaleNormal="100" workbookViewId="0">
      <pane ySplit="3" topLeftCell="A4" activePane="bottomLeft" state="frozen"/>
      <selection pane="bottomLeft" activeCell="G136" sqref="G136"/>
    </sheetView>
  </sheetViews>
  <sheetFormatPr defaultRowHeight="12.75" x14ac:dyDescent="0.2"/>
  <cols>
    <col min="2" max="2" width="8.42578125" customWidth="1"/>
    <col min="3" max="3" width="26.7109375" style="23" customWidth="1"/>
    <col min="4" max="4" width="6.28515625" hidden="1" customWidth="1"/>
    <col min="5" max="5" width="23.5703125" hidden="1" customWidth="1"/>
    <col min="6" max="6" width="14.85546875" customWidth="1"/>
    <col min="7" max="7" width="12.42578125" customWidth="1"/>
    <col min="8" max="8" width="13.42578125" customWidth="1"/>
    <col min="9" max="9" width="10.5703125" customWidth="1"/>
    <col min="10" max="10" width="11.85546875" style="21" customWidth="1"/>
    <col min="11" max="11" width="14.85546875" customWidth="1"/>
    <col min="12" max="12" width="16.42578125" style="18" customWidth="1"/>
    <col min="13" max="13" width="20.7109375" style="83" hidden="1" customWidth="1"/>
    <col min="14" max="14" width="16.5703125" style="4" customWidth="1"/>
    <col min="15" max="15" width="16.42578125" style="5" bestFit="1" customWidth="1"/>
    <col min="16" max="16" width="16.85546875" style="5" customWidth="1"/>
    <col min="17" max="17" width="14.5703125" style="5" bestFit="1" customWidth="1"/>
    <col min="18" max="18" width="16.85546875" style="5" customWidth="1"/>
    <col min="20" max="20" width="11.140625" customWidth="1"/>
  </cols>
  <sheetData>
    <row r="1" spans="2:18" x14ac:dyDescent="0.2">
      <c r="J1" s="56"/>
      <c r="K1" s="57"/>
      <c r="N1" s="58"/>
      <c r="O1" s="59"/>
      <c r="P1" s="59"/>
      <c r="Q1" s="59"/>
      <c r="R1" s="59"/>
    </row>
    <row r="2" spans="2:18" ht="13.5" thickBot="1" x14ac:dyDescent="0.25">
      <c r="B2" s="129" t="s">
        <v>307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1"/>
    </row>
    <row r="3" spans="2:18" ht="48" thickBot="1" x14ac:dyDescent="0.25">
      <c r="B3" s="113" t="s">
        <v>0</v>
      </c>
      <c r="C3" s="113" t="s">
        <v>1</v>
      </c>
      <c r="D3" s="113" t="s">
        <v>2</v>
      </c>
      <c r="E3" s="113" t="s">
        <v>3</v>
      </c>
      <c r="F3" s="113" t="s">
        <v>4</v>
      </c>
      <c r="G3" s="113" t="s">
        <v>5</v>
      </c>
      <c r="H3" s="113" t="s">
        <v>279</v>
      </c>
      <c r="I3" s="113" t="s">
        <v>107</v>
      </c>
      <c r="J3" s="113" t="s">
        <v>111</v>
      </c>
      <c r="K3" s="113" t="s">
        <v>112</v>
      </c>
      <c r="L3" s="113" t="s">
        <v>109</v>
      </c>
      <c r="M3" s="113" t="s">
        <v>278</v>
      </c>
      <c r="N3" s="113" t="s">
        <v>106</v>
      </c>
      <c r="O3" s="113" t="s">
        <v>8</v>
      </c>
      <c r="P3" s="113" t="s">
        <v>276</v>
      </c>
      <c r="Q3" s="113" t="s">
        <v>277</v>
      </c>
      <c r="R3" s="113" t="s">
        <v>6</v>
      </c>
    </row>
    <row r="4" spans="2:18" ht="38.25" x14ac:dyDescent="0.2">
      <c r="B4" s="8">
        <v>1</v>
      </c>
      <c r="C4" s="60" t="s">
        <v>9</v>
      </c>
      <c r="D4" s="9" t="s">
        <v>43</v>
      </c>
      <c r="E4" s="8" t="s">
        <v>51</v>
      </c>
      <c r="F4" s="10">
        <v>42907</v>
      </c>
      <c r="G4" s="10">
        <v>44400</v>
      </c>
      <c r="H4" s="11">
        <f xml:space="preserve"> (G4-F4)/365</f>
        <v>4.0904109589041093</v>
      </c>
      <c r="I4" s="8">
        <v>15</v>
      </c>
      <c r="J4" s="20">
        <v>0.05</v>
      </c>
      <c r="K4" s="22">
        <f t="shared" ref="K4:K35" si="0">(1-J4)/I4</f>
        <v>6.3333333333333325E-2</v>
      </c>
      <c r="L4" s="62">
        <v>1564068</v>
      </c>
      <c r="M4" s="20">
        <v>0.04</v>
      </c>
      <c r="N4" s="63">
        <f t="shared" ref="N4:N12" si="1">L4*(1+M4)</f>
        <v>1626630.72</v>
      </c>
      <c r="O4" s="64">
        <f t="shared" ref="O4:O35" si="2">K4*N4*H4</f>
        <v>421393.91446794511</v>
      </c>
      <c r="P4" s="64">
        <f t="shared" ref="P4:P35" si="3">MAX(0,N4-O4)</f>
        <v>1205236.805532055</v>
      </c>
      <c r="Q4" s="65">
        <v>0.1</v>
      </c>
      <c r="R4" s="64">
        <f t="shared" ref="R4:R35" si="4">IF(P4&lt;=N4*J4,N4*J4,P4*(1-Q4))</f>
        <v>1084713.1249788494</v>
      </c>
    </row>
    <row r="5" spans="2:18" ht="14.25" customHeight="1" x14ac:dyDescent="0.2">
      <c r="B5" s="8">
        <v>2</v>
      </c>
      <c r="C5" s="60" t="s">
        <v>10</v>
      </c>
      <c r="D5" s="9" t="s">
        <v>43</v>
      </c>
      <c r="E5" s="8" t="s">
        <v>52</v>
      </c>
      <c r="F5" s="10">
        <v>42886</v>
      </c>
      <c r="G5" s="10">
        <v>44400</v>
      </c>
      <c r="H5" s="11">
        <f t="shared" ref="H5:H65" si="5">(G5-F5)/365</f>
        <v>4.1479452054794521</v>
      </c>
      <c r="I5" s="8">
        <v>10</v>
      </c>
      <c r="J5" s="20">
        <v>0.05</v>
      </c>
      <c r="K5" s="22">
        <f t="shared" si="0"/>
        <v>9.5000000000000001E-2</v>
      </c>
      <c r="L5" s="62">
        <v>344250</v>
      </c>
      <c r="M5" s="20">
        <v>0.06</v>
      </c>
      <c r="N5" s="63">
        <f t="shared" si="1"/>
        <v>364905</v>
      </c>
      <c r="O5" s="64">
        <f t="shared" si="2"/>
        <v>143792.56479452056</v>
      </c>
      <c r="P5" s="64">
        <f t="shared" si="3"/>
        <v>221112.43520547944</v>
      </c>
      <c r="Q5" s="65">
        <v>0.1</v>
      </c>
      <c r="R5" s="64">
        <f t="shared" si="4"/>
        <v>199001.19168493152</v>
      </c>
    </row>
    <row r="6" spans="2:18" ht="63.75" x14ac:dyDescent="0.2">
      <c r="B6" s="8">
        <v>3</v>
      </c>
      <c r="C6" s="60" t="s">
        <v>11</v>
      </c>
      <c r="D6" s="8" t="s">
        <v>43</v>
      </c>
      <c r="E6" s="8" t="s">
        <v>53</v>
      </c>
      <c r="F6" s="10">
        <v>42731</v>
      </c>
      <c r="G6" s="10">
        <v>44400</v>
      </c>
      <c r="H6" s="11">
        <f t="shared" si="5"/>
        <v>4.5726027397260278</v>
      </c>
      <c r="I6" s="8">
        <v>15</v>
      </c>
      <c r="J6" s="20">
        <v>0.05</v>
      </c>
      <c r="K6" s="22">
        <f t="shared" si="0"/>
        <v>6.3333333333333325E-2</v>
      </c>
      <c r="L6" s="62">
        <v>252000</v>
      </c>
      <c r="M6" s="20">
        <v>7.0000000000000007E-2</v>
      </c>
      <c r="N6" s="63">
        <f t="shared" si="1"/>
        <v>269640</v>
      </c>
      <c r="O6" s="64">
        <f t="shared" si="2"/>
        <v>78087.251506849308</v>
      </c>
      <c r="P6" s="64">
        <f t="shared" si="3"/>
        <v>191552.74849315069</v>
      </c>
      <c r="Q6" s="65">
        <v>0.1</v>
      </c>
      <c r="R6" s="64">
        <f t="shared" si="4"/>
        <v>172397.47364383563</v>
      </c>
    </row>
    <row r="7" spans="2:18" x14ac:dyDescent="0.2">
      <c r="B7" s="8">
        <v>4</v>
      </c>
      <c r="C7" s="60" t="s">
        <v>12</v>
      </c>
      <c r="D7" s="8" t="s">
        <v>44</v>
      </c>
      <c r="E7" s="8" t="s">
        <v>53</v>
      </c>
      <c r="F7" s="10">
        <v>42678</v>
      </c>
      <c r="G7" s="10">
        <v>44400</v>
      </c>
      <c r="H7" s="11">
        <f t="shared" si="5"/>
        <v>4.7178082191780826</v>
      </c>
      <c r="I7" s="8">
        <v>10</v>
      </c>
      <c r="J7" s="20">
        <v>0.05</v>
      </c>
      <c r="K7" s="22">
        <f t="shared" si="0"/>
        <v>9.5000000000000001E-2</v>
      </c>
      <c r="L7" s="62">
        <v>735000</v>
      </c>
      <c r="M7" s="20">
        <v>7.0000000000000007E-2</v>
      </c>
      <c r="N7" s="63">
        <f t="shared" si="1"/>
        <v>786450</v>
      </c>
      <c r="O7" s="64">
        <f t="shared" si="2"/>
        <v>352480.42602739728</v>
      </c>
      <c r="P7" s="64">
        <f t="shared" si="3"/>
        <v>433969.57397260272</v>
      </c>
      <c r="Q7" s="65">
        <v>0.1</v>
      </c>
      <c r="R7" s="64">
        <f t="shared" si="4"/>
        <v>390572.61657534249</v>
      </c>
    </row>
    <row r="8" spans="2:18" ht="25.5" x14ac:dyDescent="0.2">
      <c r="B8" s="8">
        <v>5</v>
      </c>
      <c r="C8" s="60" t="s">
        <v>13</v>
      </c>
      <c r="D8" s="8" t="s">
        <v>44</v>
      </c>
      <c r="E8" s="8" t="s">
        <v>53</v>
      </c>
      <c r="F8" s="10">
        <v>42670</v>
      </c>
      <c r="G8" s="10">
        <v>44400</v>
      </c>
      <c r="H8" s="11">
        <f t="shared" si="5"/>
        <v>4.7397260273972606</v>
      </c>
      <c r="I8" s="8">
        <v>15</v>
      </c>
      <c r="J8" s="20">
        <v>0.05</v>
      </c>
      <c r="K8" s="22">
        <f t="shared" si="0"/>
        <v>6.3333333333333325E-2</v>
      </c>
      <c r="L8" s="62">
        <v>78750</v>
      </c>
      <c r="M8" s="20">
        <v>0.06</v>
      </c>
      <c r="N8" s="63">
        <f t="shared" si="1"/>
        <v>83475</v>
      </c>
      <c r="O8" s="64">
        <f t="shared" si="2"/>
        <v>25057.746575342462</v>
      </c>
      <c r="P8" s="64">
        <f t="shared" si="3"/>
        <v>58417.253424657538</v>
      </c>
      <c r="Q8" s="65">
        <v>0.1</v>
      </c>
      <c r="R8" s="64">
        <f t="shared" si="4"/>
        <v>52575.528082191784</v>
      </c>
    </row>
    <row r="9" spans="2:18" ht="51" x14ac:dyDescent="0.2">
      <c r="B9" s="8">
        <v>6</v>
      </c>
      <c r="C9" s="60" t="s">
        <v>14</v>
      </c>
      <c r="D9" s="8" t="s">
        <v>43</v>
      </c>
      <c r="E9" s="8" t="s">
        <v>53</v>
      </c>
      <c r="F9" s="10">
        <v>42665</v>
      </c>
      <c r="G9" s="10">
        <v>44400</v>
      </c>
      <c r="H9" s="11">
        <f t="shared" si="5"/>
        <v>4.7534246575342465</v>
      </c>
      <c r="I9" s="8">
        <v>10</v>
      </c>
      <c r="J9" s="20">
        <v>0.05</v>
      </c>
      <c r="K9" s="22">
        <f t="shared" si="0"/>
        <v>9.5000000000000001E-2</v>
      </c>
      <c r="L9" s="62">
        <v>511350</v>
      </c>
      <c r="M9" s="20">
        <v>7.0000000000000007E-2</v>
      </c>
      <c r="N9" s="63">
        <f t="shared" si="1"/>
        <v>547144.5</v>
      </c>
      <c r="O9" s="64">
        <f t="shared" si="2"/>
        <v>247076.96496575343</v>
      </c>
      <c r="P9" s="64">
        <f t="shared" si="3"/>
        <v>300067.53503424657</v>
      </c>
      <c r="Q9" s="65">
        <v>0.1</v>
      </c>
      <c r="R9" s="64">
        <f t="shared" si="4"/>
        <v>270060.78153082193</v>
      </c>
    </row>
    <row r="10" spans="2:18" ht="38.25" x14ac:dyDescent="0.2">
      <c r="B10" s="8">
        <v>7</v>
      </c>
      <c r="C10" s="60" t="s">
        <v>15</v>
      </c>
      <c r="D10" s="8" t="s">
        <v>45</v>
      </c>
      <c r="E10" s="8" t="s">
        <v>53</v>
      </c>
      <c r="F10" s="10">
        <v>42646</v>
      </c>
      <c r="G10" s="10">
        <v>44400</v>
      </c>
      <c r="H10" s="11">
        <f t="shared" si="5"/>
        <v>4.8054794520547945</v>
      </c>
      <c r="I10" s="8">
        <v>15</v>
      </c>
      <c r="J10" s="20">
        <v>0.05</v>
      </c>
      <c r="K10" s="22">
        <f t="shared" si="0"/>
        <v>6.3333333333333325E-2</v>
      </c>
      <c r="L10" s="62">
        <v>735000</v>
      </c>
      <c r="M10" s="20">
        <v>0.06</v>
      </c>
      <c r="N10" s="63">
        <f t="shared" si="1"/>
        <v>779100</v>
      </c>
      <c r="O10" s="64">
        <f t="shared" si="2"/>
        <v>237116.77260273969</v>
      </c>
      <c r="P10" s="64">
        <f t="shared" si="3"/>
        <v>541983.22739726026</v>
      </c>
      <c r="Q10" s="65">
        <v>0.1</v>
      </c>
      <c r="R10" s="64">
        <f t="shared" si="4"/>
        <v>487784.90465753427</v>
      </c>
    </row>
    <row r="11" spans="2:18" ht="25.5" x14ac:dyDescent="0.2">
      <c r="B11" s="8">
        <v>8</v>
      </c>
      <c r="C11" s="60" t="s">
        <v>110</v>
      </c>
      <c r="D11" s="8" t="s">
        <v>43</v>
      </c>
      <c r="E11" s="8" t="s">
        <v>53</v>
      </c>
      <c r="F11" s="10">
        <v>42633</v>
      </c>
      <c r="G11" s="10">
        <v>44400</v>
      </c>
      <c r="H11" s="11">
        <f t="shared" si="5"/>
        <v>4.8410958904109593</v>
      </c>
      <c r="I11" s="8">
        <v>8</v>
      </c>
      <c r="J11" s="20">
        <v>0.05</v>
      </c>
      <c r="K11" s="22">
        <f t="shared" si="0"/>
        <v>0.11874999999999999</v>
      </c>
      <c r="L11" s="62">
        <v>735000</v>
      </c>
      <c r="M11" s="20">
        <v>7.0000000000000007E-2</v>
      </c>
      <c r="N11" s="63">
        <f t="shared" si="1"/>
        <v>786450</v>
      </c>
      <c r="O11" s="64">
        <f t="shared" si="2"/>
        <v>452114.48373287678</v>
      </c>
      <c r="P11" s="64">
        <f t="shared" si="3"/>
        <v>334335.51626712322</v>
      </c>
      <c r="Q11" s="65">
        <v>0.1</v>
      </c>
      <c r="R11" s="64">
        <f t="shared" si="4"/>
        <v>300901.96464041091</v>
      </c>
    </row>
    <row r="12" spans="2:18" ht="51" x14ac:dyDescent="0.2">
      <c r="B12" s="8">
        <v>9</v>
      </c>
      <c r="C12" s="60" t="s">
        <v>16</v>
      </c>
      <c r="D12" s="8" t="s">
        <v>45</v>
      </c>
      <c r="E12" s="8" t="s">
        <v>54</v>
      </c>
      <c r="F12" s="10">
        <v>42860</v>
      </c>
      <c r="G12" s="10">
        <v>44400</v>
      </c>
      <c r="H12" s="11">
        <f t="shared" si="5"/>
        <v>4.2191780821917808</v>
      </c>
      <c r="I12" s="8">
        <v>15</v>
      </c>
      <c r="J12" s="20">
        <v>0.05</v>
      </c>
      <c r="K12" s="22">
        <f t="shared" si="0"/>
        <v>6.3333333333333325E-2</v>
      </c>
      <c r="L12" s="62">
        <v>11445</v>
      </c>
      <c r="M12" s="20">
        <v>0</v>
      </c>
      <c r="N12" s="63">
        <f t="shared" si="1"/>
        <v>11445</v>
      </c>
      <c r="O12" s="64">
        <f t="shared" si="2"/>
        <v>3058.271232876712</v>
      </c>
      <c r="P12" s="64">
        <f t="shared" si="3"/>
        <v>8386.728767123288</v>
      </c>
      <c r="Q12" s="65">
        <v>0.1</v>
      </c>
      <c r="R12" s="64">
        <f t="shared" si="4"/>
        <v>7548.0558904109594</v>
      </c>
    </row>
    <row r="13" spans="2:18" ht="89.25" x14ac:dyDescent="0.2">
      <c r="B13" s="8">
        <v>10</v>
      </c>
      <c r="C13" s="60" t="s">
        <v>17</v>
      </c>
      <c r="D13" s="8" t="s">
        <v>46</v>
      </c>
      <c r="E13" s="8" t="s">
        <v>55</v>
      </c>
      <c r="F13" s="10">
        <v>42857</v>
      </c>
      <c r="G13" s="10">
        <v>44400</v>
      </c>
      <c r="H13" s="11">
        <f t="shared" si="5"/>
        <v>4.2273972602739729</v>
      </c>
      <c r="I13" s="8">
        <v>15</v>
      </c>
      <c r="J13" s="20">
        <v>0.05</v>
      </c>
      <c r="K13" s="22">
        <f t="shared" si="0"/>
        <v>6.3333333333333325E-2</v>
      </c>
      <c r="L13" s="62">
        <v>3117450</v>
      </c>
      <c r="M13" s="83">
        <v>0.04</v>
      </c>
      <c r="N13" s="63">
        <f>L13*(1+M4)</f>
        <v>3242148</v>
      </c>
      <c r="O13" s="64">
        <f t="shared" si="2"/>
        <v>868037.01293150685</v>
      </c>
      <c r="P13" s="64">
        <f t="shared" si="3"/>
        <v>2374110.9870684929</v>
      </c>
      <c r="Q13" s="65">
        <v>0.1</v>
      </c>
      <c r="R13" s="64">
        <f t="shared" si="4"/>
        <v>2136699.8883616435</v>
      </c>
    </row>
    <row r="14" spans="2:18" x14ac:dyDescent="0.2">
      <c r="B14" s="8">
        <v>11</v>
      </c>
      <c r="C14" s="60" t="s">
        <v>18</v>
      </c>
      <c r="D14" s="8" t="s">
        <v>44</v>
      </c>
      <c r="E14" s="8" t="s">
        <v>55</v>
      </c>
      <c r="F14" s="10">
        <v>42633</v>
      </c>
      <c r="G14" s="10">
        <v>44400</v>
      </c>
      <c r="H14" s="11">
        <f t="shared" si="5"/>
        <v>4.8410958904109593</v>
      </c>
      <c r="I14" s="8">
        <v>15</v>
      </c>
      <c r="J14" s="20">
        <v>0.05</v>
      </c>
      <c r="K14" s="22">
        <f t="shared" si="0"/>
        <v>6.3333333333333325E-2</v>
      </c>
      <c r="L14" s="62">
        <v>1837500</v>
      </c>
      <c r="M14" s="20">
        <v>0.03</v>
      </c>
      <c r="N14" s="63">
        <f t="shared" ref="N14:N45" si="6">L14*(1+M14)</f>
        <v>1892625</v>
      </c>
      <c r="O14" s="64">
        <f t="shared" si="2"/>
        <v>580284.01027397253</v>
      </c>
      <c r="P14" s="64">
        <f t="shared" si="3"/>
        <v>1312340.9897260275</v>
      </c>
      <c r="Q14" s="65">
        <v>0.1</v>
      </c>
      <c r="R14" s="64">
        <f t="shared" si="4"/>
        <v>1181106.8907534247</v>
      </c>
    </row>
    <row r="15" spans="2:18" ht="38.25" x14ac:dyDescent="0.2">
      <c r="B15" s="8">
        <v>12</v>
      </c>
      <c r="C15" s="60" t="s">
        <v>19</v>
      </c>
      <c r="D15" s="8" t="s">
        <v>43</v>
      </c>
      <c r="E15" s="8" t="s">
        <v>55</v>
      </c>
      <c r="F15" s="10">
        <v>42612</v>
      </c>
      <c r="G15" s="10">
        <v>44400</v>
      </c>
      <c r="H15" s="11">
        <f t="shared" si="5"/>
        <v>4.8986301369863012</v>
      </c>
      <c r="I15" s="8">
        <v>15</v>
      </c>
      <c r="J15" s="20">
        <v>0.05</v>
      </c>
      <c r="K15" s="22">
        <f t="shared" si="0"/>
        <v>6.3333333333333325E-2</v>
      </c>
      <c r="L15" s="62">
        <v>766500</v>
      </c>
      <c r="M15" s="20">
        <v>7.0000000000000007E-2</v>
      </c>
      <c r="N15" s="63">
        <f t="shared" si="6"/>
        <v>820155</v>
      </c>
      <c r="O15" s="64">
        <f t="shared" si="2"/>
        <v>254450.27999999997</v>
      </c>
      <c r="P15" s="64">
        <f t="shared" si="3"/>
        <v>565704.72</v>
      </c>
      <c r="Q15" s="65">
        <v>0.1</v>
      </c>
      <c r="R15" s="64">
        <f t="shared" si="4"/>
        <v>509134.24799999996</v>
      </c>
    </row>
    <row r="16" spans="2:18" ht="51" x14ac:dyDescent="0.2">
      <c r="B16" s="8">
        <v>13</v>
      </c>
      <c r="C16" s="60" t="s">
        <v>20</v>
      </c>
      <c r="D16" s="8" t="s">
        <v>45</v>
      </c>
      <c r="E16" s="8" t="s">
        <v>55</v>
      </c>
      <c r="F16" s="10">
        <v>42612</v>
      </c>
      <c r="G16" s="10">
        <v>44400</v>
      </c>
      <c r="H16" s="11">
        <f t="shared" si="5"/>
        <v>4.8986301369863012</v>
      </c>
      <c r="I16" s="8">
        <v>15</v>
      </c>
      <c r="J16" s="20">
        <v>0.05</v>
      </c>
      <c r="K16" s="22">
        <f t="shared" si="0"/>
        <v>6.3333333333333325E-2</v>
      </c>
      <c r="L16" s="62">
        <v>1013250</v>
      </c>
      <c r="M16" s="20">
        <v>0.03</v>
      </c>
      <c r="N16" s="63">
        <f t="shared" si="6"/>
        <v>1043647.5</v>
      </c>
      <c r="O16" s="64">
        <f t="shared" si="2"/>
        <v>323788.06273972598</v>
      </c>
      <c r="P16" s="64">
        <f t="shared" si="3"/>
        <v>719859.43726027408</v>
      </c>
      <c r="Q16" s="65">
        <v>0.1</v>
      </c>
      <c r="R16" s="64">
        <f t="shared" si="4"/>
        <v>647873.49353424669</v>
      </c>
    </row>
    <row r="17" spans="2:18" ht="25.5" x14ac:dyDescent="0.2">
      <c r="B17" s="8">
        <v>14</v>
      </c>
      <c r="C17" s="60" t="s">
        <v>21</v>
      </c>
      <c r="D17" s="8" t="s">
        <v>43</v>
      </c>
      <c r="E17" s="8" t="s">
        <v>56</v>
      </c>
      <c r="F17" s="10">
        <v>42910</v>
      </c>
      <c r="G17" s="10">
        <v>44400</v>
      </c>
      <c r="H17" s="11">
        <f t="shared" si="5"/>
        <v>4.0821917808219181</v>
      </c>
      <c r="I17" s="8">
        <v>15</v>
      </c>
      <c r="J17" s="20">
        <v>0.05</v>
      </c>
      <c r="K17" s="22">
        <f t="shared" si="0"/>
        <v>6.3333333333333325E-2</v>
      </c>
      <c r="L17" s="62">
        <v>1202602</v>
      </c>
      <c r="M17" s="20">
        <v>0</v>
      </c>
      <c r="N17" s="63">
        <f t="shared" si="6"/>
        <v>1202602</v>
      </c>
      <c r="O17" s="64">
        <f t="shared" si="2"/>
        <v>310919.29333333328</v>
      </c>
      <c r="P17" s="64">
        <f t="shared" si="3"/>
        <v>891682.70666666678</v>
      </c>
      <c r="Q17" s="65">
        <v>0.1</v>
      </c>
      <c r="R17" s="64">
        <f t="shared" si="4"/>
        <v>802514.4360000001</v>
      </c>
    </row>
    <row r="18" spans="2:18" ht="25.5" x14ac:dyDescent="0.2">
      <c r="B18" s="8">
        <v>15</v>
      </c>
      <c r="C18" s="60" t="s">
        <v>22</v>
      </c>
      <c r="D18" s="8" t="s">
        <v>44</v>
      </c>
      <c r="E18" s="8" t="s">
        <v>57</v>
      </c>
      <c r="F18" s="10">
        <v>42874</v>
      </c>
      <c r="G18" s="10">
        <v>44400</v>
      </c>
      <c r="H18" s="11">
        <f t="shared" si="5"/>
        <v>4.1808219178082195</v>
      </c>
      <c r="I18" s="8">
        <v>15</v>
      </c>
      <c r="J18" s="20">
        <v>0.05</v>
      </c>
      <c r="K18" s="22">
        <f t="shared" si="0"/>
        <v>6.3333333333333325E-2</v>
      </c>
      <c r="L18" s="62">
        <v>262500</v>
      </c>
      <c r="M18" s="20">
        <v>0.04</v>
      </c>
      <c r="N18" s="63">
        <f t="shared" si="6"/>
        <v>273000</v>
      </c>
      <c r="O18" s="64">
        <f t="shared" si="2"/>
        <v>72286.410958904104</v>
      </c>
      <c r="P18" s="64">
        <f t="shared" si="3"/>
        <v>200713.5890410959</v>
      </c>
      <c r="Q18" s="65">
        <v>0.1</v>
      </c>
      <c r="R18" s="64">
        <f t="shared" si="4"/>
        <v>180642.2301369863</v>
      </c>
    </row>
    <row r="19" spans="2:18" x14ac:dyDescent="0.2">
      <c r="B19" s="8">
        <v>16</v>
      </c>
      <c r="C19" s="60" t="s">
        <v>23</v>
      </c>
      <c r="D19" s="8" t="s">
        <v>44</v>
      </c>
      <c r="E19" s="8" t="s">
        <v>58</v>
      </c>
      <c r="F19" s="10">
        <v>42594</v>
      </c>
      <c r="G19" s="10">
        <v>44400</v>
      </c>
      <c r="H19" s="11">
        <f t="shared" si="5"/>
        <v>4.9479452054794519</v>
      </c>
      <c r="I19" s="8">
        <v>10</v>
      </c>
      <c r="J19" s="20">
        <v>0.05</v>
      </c>
      <c r="K19" s="22">
        <f t="shared" si="0"/>
        <v>9.5000000000000001E-2</v>
      </c>
      <c r="L19" s="62">
        <v>10400</v>
      </c>
      <c r="M19" s="20">
        <v>7.0000000000000007E-2</v>
      </c>
      <c r="N19" s="63">
        <f t="shared" si="6"/>
        <v>11128</v>
      </c>
      <c r="O19" s="64">
        <f t="shared" si="2"/>
        <v>5230.7697534246581</v>
      </c>
      <c r="P19" s="64">
        <f t="shared" si="3"/>
        <v>5897.2302465753419</v>
      </c>
      <c r="Q19" s="65">
        <v>0.1</v>
      </c>
      <c r="R19" s="64">
        <f t="shared" si="4"/>
        <v>5307.5072219178082</v>
      </c>
    </row>
    <row r="20" spans="2:18" ht="25.5" x14ac:dyDescent="0.2">
      <c r="B20" s="8">
        <v>17</v>
      </c>
      <c r="C20" s="60" t="s">
        <v>24</v>
      </c>
      <c r="D20" s="8" t="s">
        <v>44</v>
      </c>
      <c r="E20" s="8" t="s">
        <v>58</v>
      </c>
      <c r="F20" s="10">
        <v>42528</v>
      </c>
      <c r="G20" s="10">
        <v>44400</v>
      </c>
      <c r="H20" s="11">
        <f t="shared" si="5"/>
        <v>5.1287671232876715</v>
      </c>
      <c r="I20" s="8">
        <v>15</v>
      </c>
      <c r="J20" s="20">
        <v>0.05</v>
      </c>
      <c r="K20" s="22">
        <f t="shared" si="0"/>
        <v>6.3333333333333325E-2</v>
      </c>
      <c r="L20" s="62">
        <v>612000</v>
      </c>
      <c r="M20" s="20">
        <v>0.03</v>
      </c>
      <c r="N20" s="63">
        <f t="shared" si="6"/>
        <v>630360</v>
      </c>
      <c r="O20" s="64">
        <f t="shared" si="2"/>
        <v>204754.74410958902</v>
      </c>
      <c r="P20" s="64">
        <f t="shared" si="3"/>
        <v>425605.25589041098</v>
      </c>
      <c r="Q20" s="65">
        <v>0.1</v>
      </c>
      <c r="R20" s="64">
        <f t="shared" si="4"/>
        <v>383044.73030136991</v>
      </c>
    </row>
    <row r="21" spans="2:18" ht="25.5" x14ac:dyDescent="0.2">
      <c r="B21" s="8">
        <v>18</v>
      </c>
      <c r="C21" s="60" t="s">
        <v>24</v>
      </c>
      <c r="D21" s="8" t="s">
        <v>44</v>
      </c>
      <c r="E21" s="8" t="s">
        <v>58</v>
      </c>
      <c r="F21" s="10">
        <v>42476</v>
      </c>
      <c r="G21" s="10">
        <v>44400</v>
      </c>
      <c r="H21" s="11">
        <f t="shared" si="5"/>
        <v>5.2712328767123289</v>
      </c>
      <c r="I21" s="8">
        <v>15</v>
      </c>
      <c r="J21" s="20">
        <v>0.05</v>
      </c>
      <c r="K21" s="22">
        <f t="shared" si="0"/>
        <v>6.3333333333333325E-2</v>
      </c>
      <c r="L21" s="62">
        <v>867000</v>
      </c>
      <c r="M21" s="20">
        <v>0.03</v>
      </c>
      <c r="N21" s="63">
        <f t="shared" si="6"/>
        <v>893010</v>
      </c>
      <c r="O21" s="64">
        <f t="shared" si="2"/>
        <v>298126.69917808217</v>
      </c>
      <c r="P21" s="64">
        <f t="shared" si="3"/>
        <v>594883.30082191783</v>
      </c>
      <c r="Q21" s="65">
        <v>0.1</v>
      </c>
      <c r="R21" s="64">
        <f t="shared" si="4"/>
        <v>535394.97073972609</v>
      </c>
    </row>
    <row r="22" spans="2:18" ht="25.5" x14ac:dyDescent="0.2">
      <c r="B22" s="8">
        <v>19</v>
      </c>
      <c r="C22" s="60" t="s">
        <v>24</v>
      </c>
      <c r="D22" s="8" t="s">
        <v>44</v>
      </c>
      <c r="E22" s="8" t="s">
        <v>58</v>
      </c>
      <c r="F22" s="10">
        <v>42460</v>
      </c>
      <c r="G22" s="10">
        <v>44400</v>
      </c>
      <c r="H22" s="11">
        <f t="shared" si="5"/>
        <v>5.3150684931506849</v>
      </c>
      <c r="I22" s="8">
        <v>15</v>
      </c>
      <c r="J22" s="20">
        <v>0.05</v>
      </c>
      <c r="K22" s="22">
        <f t="shared" si="0"/>
        <v>6.3333333333333325E-2</v>
      </c>
      <c r="L22" s="62">
        <v>1020000</v>
      </c>
      <c r="M22" s="20">
        <v>0.03</v>
      </c>
      <c r="N22" s="63">
        <f t="shared" si="6"/>
        <v>1050600</v>
      </c>
      <c r="O22" s="64">
        <f t="shared" si="2"/>
        <v>353654.02739726019</v>
      </c>
      <c r="P22" s="64">
        <f t="shared" si="3"/>
        <v>696945.97260273981</v>
      </c>
      <c r="Q22" s="65">
        <v>0.1</v>
      </c>
      <c r="R22" s="64">
        <f t="shared" si="4"/>
        <v>627251.37534246582</v>
      </c>
    </row>
    <row r="23" spans="2:18" ht="25.5" x14ac:dyDescent="0.2">
      <c r="B23" s="8">
        <v>20</v>
      </c>
      <c r="C23" s="60" t="s">
        <v>24</v>
      </c>
      <c r="D23" s="8" t="s">
        <v>44</v>
      </c>
      <c r="E23" s="8" t="s">
        <v>58</v>
      </c>
      <c r="F23" s="10">
        <v>42459</v>
      </c>
      <c r="G23" s="10">
        <v>44400</v>
      </c>
      <c r="H23" s="11">
        <f t="shared" si="5"/>
        <v>5.3178082191780822</v>
      </c>
      <c r="I23" s="8">
        <v>15</v>
      </c>
      <c r="J23" s="20">
        <v>0.05</v>
      </c>
      <c r="K23" s="22">
        <f t="shared" si="0"/>
        <v>6.3333333333333325E-2</v>
      </c>
      <c r="L23" s="62">
        <v>1530000</v>
      </c>
      <c r="M23" s="20">
        <v>0.03</v>
      </c>
      <c r="N23" s="63">
        <f t="shared" si="6"/>
        <v>1575900</v>
      </c>
      <c r="O23" s="64">
        <f t="shared" si="2"/>
        <v>530754.4849315068</v>
      </c>
      <c r="P23" s="64">
        <f t="shared" si="3"/>
        <v>1045145.5150684932</v>
      </c>
      <c r="Q23" s="65">
        <v>0.1</v>
      </c>
      <c r="R23" s="64">
        <f t="shared" si="4"/>
        <v>940630.96356164385</v>
      </c>
    </row>
    <row r="24" spans="2:18" ht="89.25" x14ac:dyDescent="0.2">
      <c r="B24" s="8">
        <v>21</v>
      </c>
      <c r="C24" s="60" t="s">
        <v>25</v>
      </c>
      <c r="D24" s="8" t="s">
        <v>47</v>
      </c>
      <c r="E24" s="8" t="s">
        <v>59</v>
      </c>
      <c r="F24" s="10">
        <v>42445</v>
      </c>
      <c r="G24" s="10">
        <v>44400</v>
      </c>
      <c r="H24" s="11">
        <f t="shared" si="5"/>
        <v>5.3561643835616435</v>
      </c>
      <c r="I24" s="8">
        <v>15</v>
      </c>
      <c r="J24" s="20">
        <v>0.05</v>
      </c>
      <c r="K24" s="22">
        <f t="shared" si="0"/>
        <v>6.3333333333333325E-2</v>
      </c>
      <c r="L24" s="62">
        <v>3155625</v>
      </c>
      <c r="M24" s="20">
        <v>0.03</v>
      </c>
      <c r="N24" s="63">
        <f t="shared" si="6"/>
        <v>3250293.75</v>
      </c>
      <c r="O24" s="64">
        <f t="shared" si="2"/>
        <v>1102576.8159246573</v>
      </c>
      <c r="P24" s="64">
        <f t="shared" si="3"/>
        <v>2147716.9340753425</v>
      </c>
      <c r="Q24" s="65">
        <v>0.1</v>
      </c>
      <c r="R24" s="64">
        <f t="shared" si="4"/>
        <v>1932945.2406678083</v>
      </c>
    </row>
    <row r="25" spans="2:18" ht="89.25" x14ac:dyDescent="0.2">
      <c r="B25" s="8">
        <v>22</v>
      </c>
      <c r="C25" s="60" t="s">
        <v>26</v>
      </c>
      <c r="D25" s="8" t="s">
        <v>48</v>
      </c>
      <c r="E25" s="8" t="s">
        <v>59</v>
      </c>
      <c r="F25" s="10">
        <v>42445</v>
      </c>
      <c r="G25" s="10">
        <v>44400</v>
      </c>
      <c r="H25" s="11">
        <f t="shared" si="5"/>
        <v>5.3561643835616435</v>
      </c>
      <c r="I25" s="8">
        <v>15</v>
      </c>
      <c r="J25" s="20">
        <v>0.05</v>
      </c>
      <c r="K25" s="22">
        <f t="shared" si="0"/>
        <v>6.3333333333333325E-2</v>
      </c>
      <c r="L25" s="62">
        <v>4360500</v>
      </c>
      <c r="M25" s="20">
        <v>0.03</v>
      </c>
      <c r="N25" s="63">
        <f t="shared" si="6"/>
        <v>4491315</v>
      </c>
      <c r="O25" s="64">
        <f t="shared" si="2"/>
        <v>1523560.69109589</v>
      </c>
      <c r="P25" s="64">
        <f t="shared" si="3"/>
        <v>2967754.30890411</v>
      </c>
      <c r="Q25" s="65">
        <v>0.1</v>
      </c>
      <c r="R25" s="64">
        <f t="shared" si="4"/>
        <v>2670978.8780136988</v>
      </c>
    </row>
    <row r="26" spans="2:18" ht="38.25" x14ac:dyDescent="0.2">
      <c r="B26" s="8">
        <v>23</v>
      </c>
      <c r="C26" s="60" t="s">
        <v>27</v>
      </c>
      <c r="D26" s="8" t="s">
        <v>49</v>
      </c>
      <c r="E26" s="8" t="s">
        <v>59</v>
      </c>
      <c r="F26" s="10">
        <v>42445</v>
      </c>
      <c r="G26" s="10">
        <v>44400</v>
      </c>
      <c r="H26" s="11">
        <f t="shared" si="5"/>
        <v>5.3561643835616435</v>
      </c>
      <c r="I26" s="8">
        <v>15</v>
      </c>
      <c r="J26" s="20">
        <v>0.05</v>
      </c>
      <c r="K26" s="22">
        <f t="shared" si="0"/>
        <v>6.3333333333333325E-2</v>
      </c>
      <c r="L26" s="62">
        <v>3499875</v>
      </c>
      <c r="M26" s="20">
        <v>0.06</v>
      </c>
      <c r="N26" s="63">
        <f t="shared" si="6"/>
        <v>3709867.5</v>
      </c>
      <c r="O26" s="64">
        <f t="shared" si="2"/>
        <v>1258475.144178082</v>
      </c>
      <c r="P26" s="64">
        <f t="shared" si="3"/>
        <v>2451392.3558219178</v>
      </c>
      <c r="Q26" s="65">
        <v>0.1</v>
      </c>
      <c r="R26" s="64">
        <f t="shared" si="4"/>
        <v>2206253.1202397263</v>
      </c>
    </row>
    <row r="27" spans="2:18" ht="102" x14ac:dyDescent="0.2">
      <c r="B27" s="8">
        <v>24</v>
      </c>
      <c r="C27" s="60" t="s">
        <v>28</v>
      </c>
      <c r="D27" s="8" t="s">
        <v>47</v>
      </c>
      <c r="E27" s="8" t="s">
        <v>59</v>
      </c>
      <c r="F27" s="10">
        <v>42445</v>
      </c>
      <c r="G27" s="10">
        <v>44400</v>
      </c>
      <c r="H27" s="11">
        <f t="shared" si="5"/>
        <v>5.3561643835616435</v>
      </c>
      <c r="I27" s="8">
        <v>15</v>
      </c>
      <c r="J27" s="20">
        <v>0.05</v>
      </c>
      <c r="K27" s="22">
        <f t="shared" si="0"/>
        <v>6.3333333333333325E-2</v>
      </c>
      <c r="L27" s="62">
        <v>4245750</v>
      </c>
      <c r="M27" s="20">
        <v>0.03</v>
      </c>
      <c r="N27" s="63">
        <f t="shared" si="6"/>
        <v>4373122.5</v>
      </c>
      <c r="O27" s="64">
        <f t="shared" si="2"/>
        <v>1483466.9886986299</v>
      </c>
      <c r="P27" s="64">
        <f t="shared" si="3"/>
        <v>2889655.5113013703</v>
      </c>
      <c r="Q27" s="65">
        <v>0.1</v>
      </c>
      <c r="R27" s="64">
        <f t="shared" si="4"/>
        <v>2600689.9601712334</v>
      </c>
    </row>
    <row r="28" spans="2:18" ht="25.5" x14ac:dyDescent="0.2">
      <c r="B28" s="8">
        <v>25</v>
      </c>
      <c r="C28" s="60" t="s">
        <v>29</v>
      </c>
      <c r="D28" s="8" t="s">
        <v>44</v>
      </c>
      <c r="E28" s="8" t="s">
        <v>60</v>
      </c>
      <c r="F28" s="10">
        <v>42874</v>
      </c>
      <c r="G28" s="10">
        <v>44400</v>
      </c>
      <c r="H28" s="11">
        <f t="shared" si="5"/>
        <v>4.1808219178082195</v>
      </c>
      <c r="I28" s="8">
        <v>15</v>
      </c>
      <c r="J28" s="20">
        <v>0.05</v>
      </c>
      <c r="K28" s="22">
        <f t="shared" si="0"/>
        <v>6.3333333333333325E-2</v>
      </c>
      <c r="L28" s="62">
        <v>1402500</v>
      </c>
      <c r="M28" s="20">
        <v>0.06</v>
      </c>
      <c r="N28" s="63">
        <f t="shared" si="6"/>
        <v>1486650</v>
      </c>
      <c r="O28" s="64">
        <f t="shared" si="2"/>
        <v>393643.19726027397</v>
      </c>
      <c r="P28" s="64">
        <f t="shared" si="3"/>
        <v>1093006.8027397259</v>
      </c>
      <c r="Q28" s="65">
        <v>0.1</v>
      </c>
      <c r="R28" s="64">
        <f t="shared" si="4"/>
        <v>983706.12246575335</v>
      </c>
    </row>
    <row r="29" spans="2:18" ht="25.5" x14ac:dyDescent="0.2">
      <c r="B29" s="8">
        <v>26</v>
      </c>
      <c r="C29" s="60" t="s">
        <v>30</v>
      </c>
      <c r="D29" s="8" t="s">
        <v>44</v>
      </c>
      <c r="E29" s="8" t="s">
        <v>60</v>
      </c>
      <c r="F29" s="10">
        <v>42874</v>
      </c>
      <c r="G29" s="10">
        <v>44400</v>
      </c>
      <c r="H29" s="11">
        <f t="shared" si="5"/>
        <v>4.1808219178082195</v>
      </c>
      <c r="I29" s="8">
        <v>15</v>
      </c>
      <c r="J29" s="20">
        <v>0.05</v>
      </c>
      <c r="K29" s="22">
        <f t="shared" si="0"/>
        <v>6.3333333333333325E-2</v>
      </c>
      <c r="L29" s="62">
        <v>912900</v>
      </c>
      <c r="M29" s="20">
        <v>0.06</v>
      </c>
      <c r="N29" s="63">
        <f t="shared" si="6"/>
        <v>967674</v>
      </c>
      <c r="O29" s="64">
        <f t="shared" si="2"/>
        <v>256225.93567123284</v>
      </c>
      <c r="P29" s="64">
        <f t="shared" si="3"/>
        <v>711448.06432876713</v>
      </c>
      <c r="Q29" s="65">
        <v>0.1</v>
      </c>
      <c r="R29" s="64">
        <f t="shared" si="4"/>
        <v>640303.25789589039</v>
      </c>
    </row>
    <row r="30" spans="2:18" ht="25.5" x14ac:dyDescent="0.2">
      <c r="B30" s="8">
        <v>27</v>
      </c>
      <c r="C30" s="60" t="s">
        <v>30</v>
      </c>
      <c r="D30" s="8" t="s">
        <v>44</v>
      </c>
      <c r="E30" s="8" t="s">
        <v>60</v>
      </c>
      <c r="F30" s="10">
        <v>42456</v>
      </c>
      <c r="G30" s="10">
        <v>44400</v>
      </c>
      <c r="H30" s="11">
        <f t="shared" si="5"/>
        <v>5.3260273972602743</v>
      </c>
      <c r="I30" s="8">
        <v>15</v>
      </c>
      <c r="J30" s="20">
        <v>0.05</v>
      </c>
      <c r="K30" s="22">
        <f t="shared" si="0"/>
        <v>6.3333333333333325E-2</v>
      </c>
      <c r="L30" s="62">
        <v>912900</v>
      </c>
      <c r="M30" s="20">
        <v>7.0000000000000007E-2</v>
      </c>
      <c r="N30" s="63">
        <f t="shared" si="6"/>
        <v>976803</v>
      </c>
      <c r="O30" s="64">
        <f t="shared" si="2"/>
        <v>329490.37084931508</v>
      </c>
      <c r="P30" s="64">
        <f t="shared" si="3"/>
        <v>647312.62915068492</v>
      </c>
      <c r="Q30" s="65">
        <v>0.1</v>
      </c>
      <c r="R30" s="64">
        <f t="shared" si="4"/>
        <v>582581.3662356165</v>
      </c>
    </row>
    <row r="31" spans="2:18" ht="25.5" x14ac:dyDescent="0.2">
      <c r="B31" s="8">
        <v>28</v>
      </c>
      <c r="C31" s="60" t="s">
        <v>31</v>
      </c>
      <c r="D31" s="8" t="s">
        <v>44</v>
      </c>
      <c r="E31" s="8" t="s">
        <v>60</v>
      </c>
      <c r="F31" s="10">
        <v>42971</v>
      </c>
      <c r="G31" s="10">
        <v>44400</v>
      </c>
      <c r="H31" s="11">
        <f t="shared" si="5"/>
        <v>3.9150684931506849</v>
      </c>
      <c r="I31" s="8">
        <v>15</v>
      </c>
      <c r="J31" s="20">
        <v>0.05</v>
      </c>
      <c r="K31" s="22">
        <f t="shared" si="0"/>
        <v>6.3333333333333325E-2</v>
      </c>
      <c r="L31" s="62">
        <v>1622500</v>
      </c>
      <c r="M31" s="20">
        <v>0.06</v>
      </c>
      <c r="N31" s="63">
        <f t="shared" si="6"/>
        <v>1719850</v>
      </c>
      <c r="O31" s="64">
        <f t="shared" si="2"/>
        <v>426444.2680365296</v>
      </c>
      <c r="P31" s="64">
        <f t="shared" si="3"/>
        <v>1293405.7319634703</v>
      </c>
      <c r="Q31" s="65">
        <v>0.1</v>
      </c>
      <c r="R31" s="64">
        <f t="shared" si="4"/>
        <v>1164065.1587671232</v>
      </c>
    </row>
    <row r="32" spans="2:18" ht="25.5" x14ac:dyDescent="0.2">
      <c r="B32" s="8">
        <v>29</v>
      </c>
      <c r="C32" s="60" t="s">
        <v>32</v>
      </c>
      <c r="D32" s="8" t="s">
        <v>44</v>
      </c>
      <c r="E32" s="8" t="s">
        <v>60</v>
      </c>
      <c r="F32" s="10">
        <v>42988</v>
      </c>
      <c r="G32" s="10">
        <v>44400</v>
      </c>
      <c r="H32" s="11">
        <f t="shared" si="5"/>
        <v>3.8684931506849316</v>
      </c>
      <c r="I32" s="8">
        <v>15</v>
      </c>
      <c r="J32" s="20">
        <v>0.05</v>
      </c>
      <c r="K32" s="22">
        <f t="shared" si="0"/>
        <v>6.3333333333333325E-2</v>
      </c>
      <c r="L32" s="62">
        <v>1748453</v>
      </c>
      <c r="M32" s="20">
        <v>0</v>
      </c>
      <c r="N32" s="63">
        <f t="shared" si="6"/>
        <v>1748453</v>
      </c>
      <c r="O32" s="64">
        <f t="shared" si="2"/>
        <v>428378.96880365291</v>
      </c>
      <c r="P32" s="64">
        <f t="shared" si="3"/>
        <v>1320074.031196347</v>
      </c>
      <c r="Q32" s="65">
        <v>0.1</v>
      </c>
      <c r="R32" s="64">
        <f t="shared" si="4"/>
        <v>1188066.6280767124</v>
      </c>
    </row>
    <row r="33" spans="2:18" ht="25.5" x14ac:dyDescent="0.2">
      <c r="B33" s="8">
        <v>30</v>
      </c>
      <c r="C33" s="61" t="s">
        <v>33</v>
      </c>
      <c r="D33" s="14" t="s">
        <v>44</v>
      </c>
      <c r="E33" s="13" t="s">
        <v>60</v>
      </c>
      <c r="F33" s="10">
        <v>42456</v>
      </c>
      <c r="G33" s="10">
        <v>44400</v>
      </c>
      <c r="H33" s="15">
        <f t="shared" si="5"/>
        <v>5.3260273972602743</v>
      </c>
      <c r="I33" s="8">
        <v>15</v>
      </c>
      <c r="J33" s="20">
        <v>0.05</v>
      </c>
      <c r="K33" s="22">
        <f t="shared" si="0"/>
        <v>6.3333333333333325E-2</v>
      </c>
      <c r="L33" s="66">
        <v>912900</v>
      </c>
      <c r="M33" s="82">
        <v>7.0000000000000007E-2</v>
      </c>
      <c r="N33" s="63">
        <f t="shared" si="6"/>
        <v>976803</v>
      </c>
      <c r="O33" s="64">
        <f t="shared" si="2"/>
        <v>329490.37084931508</v>
      </c>
      <c r="P33" s="64">
        <f t="shared" si="3"/>
        <v>647312.62915068492</v>
      </c>
      <c r="Q33" s="65">
        <v>0.1</v>
      </c>
      <c r="R33" s="64">
        <f t="shared" si="4"/>
        <v>582581.3662356165</v>
      </c>
    </row>
    <row r="34" spans="2:18" ht="25.5" x14ac:dyDescent="0.2">
      <c r="B34" s="8">
        <v>31</v>
      </c>
      <c r="C34" s="60" t="s">
        <v>34</v>
      </c>
      <c r="D34" s="9" t="s">
        <v>44</v>
      </c>
      <c r="E34" s="8" t="s">
        <v>60</v>
      </c>
      <c r="F34" s="10">
        <v>42460</v>
      </c>
      <c r="G34" s="10">
        <v>44400</v>
      </c>
      <c r="H34" s="11">
        <f t="shared" si="5"/>
        <v>5.3150684931506849</v>
      </c>
      <c r="I34" s="8">
        <v>15</v>
      </c>
      <c r="J34" s="20">
        <v>0.05</v>
      </c>
      <c r="K34" s="22">
        <f t="shared" si="0"/>
        <v>6.3333333333333325E-2</v>
      </c>
      <c r="L34" s="62">
        <v>1244400</v>
      </c>
      <c r="M34" s="20">
        <v>0.03</v>
      </c>
      <c r="N34" s="63">
        <f t="shared" si="6"/>
        <v>1281732</v>
      </c>
      <c r="O34" s="64">
        <f t="shared" si="2"/>
        <v>431457.91342465748</v>
      </c>
      <c r="P34" s="64">
        <f t="shared" si="3"/>
        <v>850274.08657534258</v>
      </c>
      <c r="Q34" s="65">
        <v>0.1</v>
      </c>
      <c r="R34" s="64">
        <f t="shared" si="4"/>
        <v>765246.67791780829</v>
      </c>
    </row>
    <row r="35" spans="2:18" x14ac:dyDescent="0.2">
      <c r="B35" s="8">
        <v>32</v>
      </c>
      <c r="C35" s="60" t="s">
        <v>35</v>
      </c>
      <c r="D35" s="9" t="s">
        <v>44</v>
      </c>
      <c r="E35" s="8" t="s">
        <v>61</v>
      </c>
      <c r="F35" s="10">
        <v>42886</v>
      </c>
      <c r="G35" s="10">
        <v>44400</v>
      </c>
      <c r="H35" s="11">
        <f t="shared" si="5"/>
        <v>4.1479452054794521</v>
      </c>
      <c r="I35" s="8">
        <v>15</v>
      </c>
      <c r="J35" s="20">
        <v>0.05</v>
      </c>
      <c r="K35" s="22">
        <f t="shared" si="0"/>
        <v>6.3333333333333325E-2</v>
      </c>
      <c r="L35" s="62">
        <v>609960</v>
      </c>
      <c r="M35" s="20">
        <v>0</v>
      </c>
      <c r="N35" s="63">
        <f t="shared" si="6"/>
        <v>609960</v>
      </c>
      <c r="O35" s="64">
        <f t="shared" si="2"/>
        <v>160238.4416438356</v>
      </c>
      <c r="P35" s="64">
        <f t="shared" si="3"/>
        <v>449721.55835616437</v>
      </c>
      <c r="Q35" s="65">
        <v>0.1</v>
      </c>
      <c r="R35" s="64">
        <f t="shared" si="4"/>
        <v>404749.40252054797</v>
      </c>
    </row>
    <row r="36" spans="2:18" ht="25.5" x14ac:dyDescent="0.2">
      <c r="B36" s="8">
        <v>33</v>
      </c>
      <c r="C36" s="60" t="s">
        <v>34</v>
      </c>
      <c r="D36" s="9" t="s">
        <v>44</v>
      </c>
      <c r="E36" s="8" t="s">
        <v>60</v>
      </c>
      <c r="F36" s="10">
        <v>42521</v>
      </c>
      <c r="G36" s="10">
        <v>44400</v>
      </c>
      <c r="H36" s="11">
        <f t="shared" si="5"/>
        <v>5.1479452054794521</v>
      </c>
      <c r="I36" s="8">
        <v>15</v>
      </c>
      <c r="J36" s="20">
        <v>0.05</v>
      </c>
      <c r="K36" s="22">
        <f t="shared" ref="K36:K67" si="7">(1-J36)/I36</f>
        <v>6.3333333333333325E-2</v>
      </c>
      <c r="L36" s="62">
        <v>1244400</v>
      </c>
      <c r="M36" s="20">
        <v>0.03</v>
      </c>
      <c r="N36" s="63">
        <f t="shared" si="6"/>
        <v>1281732</v>
      </c>
      <c r="O36" s="64">
        <f t="shared" ref="O36:O67" si="8">K36*N36*H36</f>
        <v>417891.45326027391</v>
      </c>
      <c r="P36" s="64">
        <f t="shared" ref="P36:P67" si="9">MAX(0,N36-O36)</f>
        <v>863840.54673972609</v>
      </c>
      <c r="Q36" s="65">
        <v>0.1</v>
      </c>
      <c r="R36" s="64">
        <f t="shared" ref="R36:R67" si="10">IF(P36&lt;=N36*J36,N36*J36,P36*(1-Q36))</f>
        <v>777456.49206575355</v>
      </c>
    </row>
    <row r="37" spans="2:18" ht="38.25" x14ac:dyDescent="0.2">
      <c r="B37" s="8">
        <v>34</v>
      </c>
      <c r="C37" s="60" t="s">
        <v>36</v>
      </c>
      <c r="D37" s="6" t="s">
        <v>44</v>
      </c>
      <c r="E37" s="1" t="s">
        <v>62</v>
      </c>
      <c r="F37" s="2">
        <v>42881</v>
      </c>
      <c r="G37" s="10">
        <v>44400</v>
      </c>
      <c r="H37" s="7">
        <f t="shared" si="5"/>
        <v>4.161643835616438</v>
      </c>
      <c r="I37" s="8">
        <v>15</v>
      </c>
      <c r="J37" s="20">
        <v>0.05</v>
      </c>
      <c r="K37" s="22">
        <f t="shared" si="7"/>
        <v>6.3333333333333325E-2</v>
      </c>
      <c r="L37" s="67">
        <v>247500</v>
      </c>
      <c r="M37" s="81">
        <v>0.06</v>
      </c>
      <c r="N37" s="63">
        <f t="shared" si="6"/>
        <v>262350</v>
      </c>
      <c r="O37" s="68">
        <f t="shared" si="8"/>
        <v>69147.793150684913</v>
      </c>
      <c r="P37" s="68">
        <f t="shared" si="9"/>
        <v>193202.20684931509</v>
      </c>
      <c r="Q37" s="65">
        <v>0.1</v>
      </c>
      <c r="R37" s="64">
        <f t="shared" si="10"/>
        <v>173881.98616438359</v>
      </c>
    </row>
    <row r="38" spans="2:18" x14ac:dyDescent="0.2">
      <c r="B38" s="8">
        <v>35</v>
      </c>
      <c r="C38" s="60" t="s">
        <v>37</v>
      </c>
      <c r="D38" s="9" t="s">
        <v>44</v>
      </c>
      <c r="E38" s="8" t="s">
        <v>63</v>
      </c>
      <c r="F38" s="10">
        <v>42877</v>
      </c>
      <c r="G38" s="10">
        <v>44400</v>
      </c>
      <c r="H38" s="11">
        <f t="shared" si="5"/>
        <v>4.1726027397260275</v>
      </c>
      <c r="I38" s="8">
        <v>15</v>
      </c>
      <c r="J38" s="20">
        <v>0.05</v>
      </c>
      <c r="K38" s="22">
        <f t="shared" si="7"/>
        <v>6.3333333333333325E-2</v>
      </c>
      <c r="L38" s="62">
        <v>204555</v>
      </c>
      <c r="M38" s="20">
        <v>0.06</v>
      </c>
      <c r="N38" s="63">
        <f t="shared" si="6"/>
        <v>216828.30000000002</v>
      </c>
      <c r="O38" s="64">
        <f t="shared" si="8"/>
        <v>57300.096046575338</v>
      </c>
      <c r="P38" s="64">
        <f t="shared" si="9"/>
        <v>159528.20395342467</v>
      </c>
      <c r="Q38" s="65">
        <v>0.1</v>
      </c>
      <c r="R38" s="64">
        <f t="shared" si="10"/>
        <v>143575.38355808222</v>
      </c>
    </row>
    <row r="39" spans="2:18" ht="38.25" x14ac:dyDescent="0.2">
      <c r="B39" s="8">
        <v>36</v>
      </c>
      <c r="C39" s="60" t="s">
        <v>38</v>
      </c>
      <c r="D39" s="9" t="s">
        <v>43</v>
      </c>
      <c r="E39" s="8" t="s">
        <v>64</v>
      </c>
      <c r="F39" s="10">
        <v>42913</v>
      </c>
      <c r="G39" s="10">
        <v>44400</v>
      </c>
      <c r="H39" s="11">
        <f t="shared" si="5"/>
        <v>4.0739726027397261</v>
      </c>
      <c r="I39" s="8">
        <v>15</v>
      </c>
      <c r="J39" s="20">
        <v>0.05</v>
      </c>
      <c r="K39" s="22">
        <f t="shared" si="7"/>
        <v>6.3333333333333325E-2</v>
      </c>
      <c r="L39" s="62">
        <v>561000</v>
      </c>
      <c r="M39" s="20">
        <v>0.06</v>
      </c>
      <c r="N39" s="63">
        <f t="shared" si="6"/>
        <v>594660</v>
      </c>
      <c r="O39" s="64">
        <f t="shared" si="8"/>
        <v>153433.14136986301</v>
      </c>
      <c r="P39" s="64">
        <f t="shared" si="9"/>
        <v>441226.85863013699</v>
      </c>
      <c r="Q39" s="65">
        <v>0.1</v>
      </c>
      <c r="R39" s="64">
        <f t="shared" si="10"/>
        <v>397104.17276712332</v>
      </c>
    </row>
    <row r="40" spans="2:18" x14ac:dyDescent="0.2">
      <c r="B40" s="8">
        <v>37</v>
      </c>
      <c r="C40" s="60" t="s">
        <v>39</v>
      </c>
      <c r="D40" s="9" t="s">
        <v>44</v>
      </c>
      <c r="E40" s="8" t="s">
        <v>65</v>
      </c>
      <c r="F40" s="10">
        <v>42922</v>
      </c>
      <c r="G40" s="10">
        <v>44400</v>
      </c>
      <c r="H40" s="11">
        <f t="shared" si="5"/>
        <v>4.0493150684931507</v>
      </c>
      <c r="I40" s="8">
        <v>10</v>
      </c>
      <c r="J40" s="20">
        <v>0.05</v>
      </c>
      <c r="K40" s="22">
        <f t="shared" si="7"/>
        <v>9.5000000000000001E-2</v>
      </c>
      <c r="L40" s="62">
        <v>362250</v>
      </c>
      <c r="M40" s="20">
        <v>0.06</v>
      </c>
      <c r="N40" s="63">
        <f t="shared" si="6"/>
        <v>383985</v>
      </c>
      <c r="O40" s="64">
        <f t="shared" si="8"/>
        <v>147713.24342465753</v>
      </c>
      <c r="P40" s="64">
        <f t="shared" si="9"/>
        <v>236271.75657534247</v>
      </c>
      <c r="Q40" s="65">
        <v>0.1</v>
      </c>
      <c r="R40" s="64">
        <f t="shared" si="10"/>
        <v>212644.58091780823</v>
      </c>
    </row>
    <row r="41" spans="2:18" ht="165.75" x14ac:dyDescent="0.2">
      <c r="B41" s="8">
        <v>38</v>
      </c>
      <c r="C41" s="60" t="s">
        <v>40</v>
      </c>
      <c r="D41" s="8" t="s">
        <v>50</v>
      </c>
      <c r="E41" s="8" t="s">
        <v>66</v>
      </c>
      <c r="F41" s="10">
        <v>42704</v>
      </c>
      <c r="G41" s="10">
        <v>44400</v>
      </c>
      <c r="H41" s="11">
        <f t="shared" si="5"/>
        <v>4.646575342465753</v>
      </c>
      <c r="I41" s="8">
        <v>15</v>
      </c>
      <c r="J41" s="20">
        <v>0.05</v>
      </c>
      <c r="K41" s="22">
        <f t="shared" si="7"/>
        <v>6.3333333333333325E-2</v>
      </c>
      <c r="L41" s="62">
        <v>1027572</v>
      </c>
      <c r="M41" s="20">
        <v>0.06</v>
      </c>
      <c r="N41" s="63">
        <f t="shared" si="6"/>
        <v>1089226.32</v>
      </c>
      <c r="O41" s="64">
        <f t="shared" si="8"/>
        <v>320540.90352219174</v>
      </c>
      <c r="P41" s="64">
        <f t="shared" si="9"/>
        <v>768685.41647780826</v>
      </c>
      <c r="Q41" s="65">
        <v>0.1</v>
      </c>
      <c r="R41" s="64">
        <f t="shared" si="10"/>
        <v>691816.87483002746</v>
      </c>
    </row>
    <row r="42" spans="2:18" ht="76.5" x14ac:dyDescent="0.2">
      <c r="B42" s="8">
        <v>39</v>
      </c>
      <c r="C42" s="60" t="s">
        <v>41</v>
      </c>
      <c r="D42" s="1" t="s">
        <v>49</v>
      </c>
      <c r="E42" s="1" t="s">
        <v>66</v>
      </c>
      <c r="F42" s="2">
        <v>42704</v>
      </c>
      <c r="G42" s="10">
        <v>44400</v>
      </c>
      <c r="H42" s="7">
        <f t="shared" si="5"/>
        <v>4.646575342465753</v>
      </c>
      <c r="I42" s="1">
        <v>10</v>
      </c>
      <c r="J42" s="20">
        <v>0.05</v>
      </c>
      <c r="K42" s="22">
        <f t="shared" si="7"/>
        <v>9.5000000000000001E-2</v>
      </c>
      <c r="L42" s="67">
        <v>292384</v>
      </c>
      <c r="M42" s="81">
        <v>7.0000000000000007E-2</v>
      </c>
      <c r="N42" s="63">
        <f t="shared" si="6"/>
        <v>312850.88</v>
      </c>
      <c r="O42" s="68">
        <f t="shared" si="8"/>
        <v>138100.09256328768</v>
      </c>
      <c r="P42" s="68">
        <f t="shared" si="9"/>
        <v>174750.78743671233</v>
      </c>
      <c r="Q42" s="65">
        <v>0.1</v>
      </c>
      <c r="R42" s="64">
        <f t="shared" si="10"/>
        <v>157275.70869304109</v>
      </c>
    </row>
    <row r="43" spans="2:18" ht="89.25" x14ac:dyDescent="0.2">
      <c r="B43" s="8">
        <v>40</v>
      </c>
      <c r="C43" s="60" t="s">
        <v>42</v>
      </c>
      <c r="D43" s="9" t="s">
        <v>47</v>
      </c>
      <c r="E43" s="8" t="s">
        <v>66</v>
      </c>
      <c r="F43" s="10">
        <v>42704</v>
      </c>
      <c r="G43" s="10">
        <v>44400</v>
      </c>
      <c r="H43" s="11">
        <f t="shared" si="5"/>
        <v>4.646575342465753</v>
      </c>
      <c r="I43" s="8">
        <v>15</v>
      </c>
      <c r="J43" s="20">
        <v>0.05</v>
      </c>
      <c r="K43" s="22">
        <f t="shared" si="7"/>
        <v>6.3333333333333325E-2</v>
      </c>
      <c r="L43" s="62">
        <v>640050</v>
      </c>
      <c r="M43" s="20">
        <v>0.06</v>
      </c>
      <c r="N43" s="63">
        <f t="shared" si="6"/>
        <v>678453</v>
      </c>
      <c r="O43" s="64">
        <f t="shared" si="8"/>
        <v>199657.25545205476</v>
      </c>
      <c r="P43" s="64">
        <f t="shared" si="9"/>
        <v>478795.74454794521</v>
      </c>
      <c r="Q43" s="65">
        <v>0.1</v>
      </c>
      <c r="R43" s="64">
        <f t="shared" si="10"/>
        <v>430916.17009315069</v>
      </c>
    </row>
    <row r="44" spans="2:18" x14ac:dyDescent="0.2">
      <c r="B44" s="8">
        <v>41</v>
      </c>
      <c r="C44" s="60" t="s">
        <v>67</v>
      </c>
      <c r="D44" s="1" t="s">
        <v>44</v>
      </c>
      <c r="E44" s="1" t="s">
        <v>56</v>
      </c>
      <c r="F44" s="2">
        <v>42910</v>
      </c>
      <c r="G44" s="10">
        <v>44400</v>
      </c>
      <c r="H44" s="7">
        <f t="shared" si="5"/>
        <v>4.0821917808219181</v>
      </c>
      <c r="I44" s="8">
        <v>15</v>
      </c>
      <c r="J44" s="20">
        <v>0.05</v>
      </c>
      <c r="K44" s="22">
        <f t="shared" si="7"/>
        <v>6.3333333333333325E-2</v>
      </c>
      <c r="L44" s="67">
        <v>23000</v>
      </c>
      <c r="M44" s="81">
        <v>0</v>
      </c>
      <c r="N44" s="63">
        <f t="shared" si="6"/>
        <v>23000</v>
      </c>
      <c r="O44" s="68">
        <f t="shared" si="8"/>
        <v>5946.3926940639267</v>
      </c>
      <c r="P44" s="68">
        <f t="shared" si="9"/>
        <v>17053.607305936071</v>
      </c>
      <c r="Q44" s="65">
        <v>0.1</v>
      </c>
      <c r="R44" s="64">
        <f t="shared" si="10"/>
        <v>15348.246575342464</v>
      </c>
    </row>
    <row r="45" spans="2:18" x14ac:dyDescent="0.2">
      <c r="B45" s="8">
        <v>42</v>
      </c>
      <c r="C45" s="60" t="s">
        <v>68</v>
      </c>
      <c r="D45" s="8" t="s">
        <v>44</v>
      </c>
      <c r="E45" s="8" t="s">
        <v>92</v>
      </c>
      <c r="F45" s="10">
        <v>42733</v>
      </c>
      <c r="G45" s="10">
        <v>44400</v>
      </c>
      <c r="H45" s="11">
        <f t="shared" si="5"/>
        <v>4.5671232876712331</v>
      </c>
      <c r="I45" s="8">
        <v>15</v>
      </c>
      <c r="J45" s="20">
        <v>0.05</v>
      </c>
      <c r="K45" s="22">
        <f t="shared" si="7"/>
        <v>6.3333333333333325E-2</v>
      </c>
      <c r="L45" s="62">
        <v>8846</v>
      </c>
      <c r="M45" s="20">
        <v>7.0000000000000007E-2</v>
      </c>
      <c r="N45" s="63">
        <f t="shared" si="6"/>
        <v>9465.2200000000012</v>
      </c>
      <c r="O45" s="64">
        <f t="shared" si="8"/>
        <v>2737.8256900456622</v>
      </c>
      <c r="P45" s="64">
        <f t="shared" si="9"/>
        <v>6727.3943099543394</v>
      </c>
      <c r="Q45" s="65">
        <v>0.1</v>
      </c>
      <c r="R45" s="64">
        <f t="shared" si="10"/>
        <v>6054.654878958906</v>
      </c>
    </row>
    <row r="46" spans="2:18" x14ac:dyDescent="0.2">
      <c r="B46" s="8">
        <v>43</v>
      </c>
      <c r="C46" s="60" t="s">
        <v>69</v>
      </c>
      <c r="D46" s="9" t="s">
        <v>44</v>
      </c>
      <c r="E46" s="8" t="s">
        <v>93</v>
      </c>
      <c r="F46" s="10">
        <v>42733</v>
      </c>
      <c r="G46" s="10">
        <v>44400</v>
      </c>
      <c r="H46" s="11">
        <f t="shared" si="5"/>
        <v>4.5671232876712331</v>
      </c>
      <c r="I46" s="8">
        <v>15</v>
      </c>
      <c r="J46" s="20">
        <v>0.05</v>
      </c>
      <c r="K46" s="22">
        <f t="shared" si="7"/>
        <v>6.3333333333333325E-2</v>
      </c>
      <c r="L46" s="62">
        <v>5544</v>
      </c>
      <c r="M46" s="20">
        <v>7.0000000000000007E-2</v>
      </c>
      <c r="N46" s="63">
        <f t="shared" ref="N46:N77" si="11">L46*(1+M46)</f>
        <v>5932.08</v>
      </c>
      <c r="O46" s="64">
        <f t="shared" si="8"/>
        <v>1715.8609117808217</v>
      </c>
      <c r="P46" s="64">
        <f t="shared" si="9"/>
        <v>4216.219088219178</v>
      </c>
      <c r="Q46" s="65">
        <v>0.1</v>
      </c>
      <c r="R46" s="64">
        <f t="shared" si="10"/>
        <v>3794.5971793972603</v>
      </c>
    </row>
    <row r="47" spans="2:18" ht="25.5" x14ac:dyDescent="0.2">
      <c r="B47" s="8">
        <v>44</v>
      </c>
      <c r="C47" s="60" t="s">
        <v>72</v>
      </c>
      <c r="D47" s="9" t="s">
        <v>43</v>
      </c>
      <c r="E47" s="8" t="s">
        <v>94</v>
      </c>
      <c r="F47" s="10">
        <v>42733</v>
      </c>
      <c r="G47" s="10">
        <v>44400</v>
      </c>
      <c r="H47" s="11">
        <f t="shared" si="5"/>
        <v>4.5671232876712331</v>
      </c>
      <c r="I47" s="8">
        <v>15</v>
      </c>
      <c r="J47" s="20">
        <v>0.05</v>
      </c>
      <c r="K47" s="22">
        <f t="shared" si="7"/>
        <v>6.3333333333333325E-2</v>
      </c>
      <c r="L47" s="62">
        <v>1208</v>
      </c>
      <c r="M47" s="20">
        <v>7.0000000000000007E-2</v>
      </c>
      <c r="N47" s="63">
        <f t="shared" si="11"/>
        <v>1292.5600000000002</v>
      </c>
      <c r="O47" s="64">
        <f t="shared" si="8"/>
        <v>373.87445552511417</v>
      </c>
      <c r="P47" s="64">
        <f t="shared" si="9"/>
        <v>918.685544474886</v>
      </c>
      <c r="Q47" s="65">
        <v>0.1</v>
      </c>
      <c r="R47" s="64">
        <f t="shared" si="10"/>
        <v>826.81699002739742</v>
      </c>
    </row>
    <row r="48" spans="2:18" x14ac:dyDescent="0.2">
      <c r="B48" s="8">
        <v>45</v>
      </c>
      <c r="C48" s="60" t="s">
        <v>70</v>
      </c>
      <c r="D48" s="6" t="s">
        <v>88</v>
      </c>
      <c r="E48" s="1" t="s">
        <v>95</v>
      </c>
      <c r="F48" s="10">
        <v>42732</v>
      </c>
      <c r="G48" s="10">
        <v>44400</v>
      </c>
      <c r="H48" s="7">
        <f t="shared" si="5"/>
        <v>4.5698630136986305</v>
      </c>
      <c r="I48" s="8">
        <v>15</v>
      </c>
      <c r="J48" s="20">
        <v>0.05</v>
      </c>
      <c r="K48" s="22">
        <f t="shared" si="7"/>
        <v>6.3333333333333325E-2</v>
      </c>
      <c r="L48" s="67">
        <v>3261</v>
      </c>
      <c r="M48" s="81">
        <v>7.0000000000000007E-2</v>
      </c>
      <c r="N48" s="63">
        <f t="shared" si="11"/>
        <v>3489.27</v>
      </c>
      <c r="O48" s="68">
        <f t="shared" si="8"/>
        <v>1009.8807747945204</v>
      </c>
      <c r="P48" s="68">
        <f t="shared" si="9"/>
        <v>2479.3892252054793</v>
      </c>
      <c r="Q48" s="65">
        <v>0.1</v>
      </c>
      <c r="R48" s="64">
        <f t="shared" si="10"/>
        <v>2231.4503026849316</v>
      </c>
    </row>
    <row r="49" spans="2:18" x14ac:dyDescent="0.2">
      <c r="B49" s="8">
        <v>46</v>
      </c>
      <c r="C49" s="60" t="s">
        <v>71</v>
      </c>
      <c r="D49" s="6" t="s">
        <v>89</v>
      </c>
      <c r="E49" s="1" t="s">
        <v>95</v>
      </c>
      <c r="F49" s="10">
        <v>42732</v>
      </c>
      <c r="G49" s="10">
        <v>44400</v>
      </c>
      <c r="H49" s="7">
        <f t="shared" si="5"/>
        <v>4.5698630136986305</v>
      </c>
      <c r="I49" s="1">
        <v>3</v>
      </c>
      <c r="J49" s="20">
        <v>0.05</v>
      </c>
      <c r="K49" s="22">
        <f t="shared" si="7"/>
        <v>0.31666666666666665</v>
      </c>
      <c r="L49" s="67">
        <v>22754</v>
      </c>
      <c r="M49" s="81">
        <v>7.0000000000000007E-2</v>
      </c>
      <c r="N49" s="63">
        <f t="shared" si="11"/>
        <v>24346.780000000002</v>
      </c>
      <c r="O49" s="68">
        <f t="shared" si="8"/>
        <v>35232.79231780822</v>
      </c>
      <c r="P49" s="68">
        <f t="shared" si="9"/>
        <v>0</v>
      </c>
      <c r="Q49" s="65">
        <v>0.1</v>
      </c>
      <c r="R49" s="64">
        <f t="shared" si="10"/>
        <v>1217.3390000000002</v>
      </c>
    </row>
    <row r="50" spans="2:18" ht="25.5" x14ac:dyDescent="0.2">
      <c r="B50" s="8">
        <v>48</v>
      </c>
      <c r="C50" s="61" t="s">
        <v>72</v>
      </c>
      <c r="D50" s="14" t="s">
        <v>49</v>
      </c>
      <c r="E50" s="13" t="s">
        <v>96</v>
      </c>
      <c r="F50" s="12">
        <v>42896</v>
      </c>
      <c r="G50" s="10">
        <v>44400</v>
      </c>
      <c r="H50" s="15">
        <f t="shared" si="5"/>
        <v>4.1205479452054794</v>
      </c>
      <c r="I50" s="8">
        <v>15</v>
      </c>
      <c r="J50" s="20">
        <v>0.05</v>
      </c>
      <c r="K50" s="22">
        <f t="shared" si="7"/>
        <v>6.3333333333333325E-2</v>
      </c>
      <c r="L50" s="66">
        <v>13868</v>
      </c>
      <c r="M50" s="82">
        <v>0</v>
      </c>
      <c r="N50" s="63">
        <f t="shared" si="11"/>
        <v>13868</v>
      </c>
      <c r="O50" s="64">
        <f t="shared" si="8"/>
        <v>3619.1047305936067</v>
      </c>
      <c r="P50" s="64">
        <f t="shared" si="9"/>
        <v>10248.895269406394</v>
      </c>
      <c r="Q50" s="65">
        <v>0.1</v>
      </c>
      <c r="R50" s="64">
        <f t="shared" si="10"/>
        <v>9224.0057424657552</v>
      </c>
    </row>
    <row r="51" spans="2:18" x14ac:dyDescent="0.2">
      <c r="B51" s="8">
        <v>49</v>
      </c>
      <c r="C51" s="60" t="s">
        <v>73</v>
      </c>
      <c r="D51" s="9" t="s">
        <v>44</v>
      </c>
      <c r="E51" s="8" t="s">
        <v>97</v>
      </c>
      <c r="F51" s="12">
        <v>42910</v>
      </c>
      <c r="G51" s="10">
        <v>44400</v>
      </c>
      <c r="H51" s="11">
        <f t="shared" si="5"/>
        <v>4.0821917808219181</v>
      </c>
      <c r="I51" s="8">
        <v>8</v>
      </c>
      <c r="J51" s="20">
        <v>0.05</v>
      </c>
      <c r="K51" s="22">
        <f t="shared" si="7"/>
        <v>0.11874999999999999</v>
      </c>
      <c r="L51" s="62">
        <v>30915</v>
      </c>
      <c r="M51" s="20">
        <v>0</v>
      </c>
      <c r="N51" s="63">
        <f t="shared" si="11"/>
        <v>30915</v>
      </c>
      <c r="O51" s="64">
        <f t="shared" si="8"/>
        <v>14986.363869863015</v>
      </c>
      <c r="P51" s="64">
        <f t="shared" si="9"/>
        <v>15928.636130136985</v>
      </c>
      <c r="Q51" s="65">
        <v>0.1</v>
      </c>
      <c r="R51" s="64">
        <f t="shared" si="10"/>
        <v>14335.772517123287</v>
      </c>
    </row>
    <row r="52" spans="2:18" ht="63.75" x14ac:dyDescent="0.2">
      <c r="B52" s="8">
        <v>50</v>
      </c>
      <c r="C52" s="60" t="s">
        <v>74</v>
      </c>
      <c r="D52" s="9" t="s">
        <v>90</v>
      </c>
      <c r="E52" s="8" t="s">
        <v>98</v>
      </c>
      <c r="F52" s="12">
        <v>42909</v>
      </c>
      <c r="G52" s="10">
        <v>44400</v>
      </c>
      <c r="H52" s="11">
        <f t="shared" si="5"/>
        <v>4.0849315068493155</v>
      </c>
      <c r="I52" s="8">
        <v>15</v>
      </c>
      <c r="J52" s="20">
        <v>0.05</v>
      </c>
      <c r="K52" s="22">
        <f t="shared" si="7"/>
        <v>6.3333333333333325E-2</v>
      </c>
      <c r="L52" s="62">
        <v>152548</v>
      </c>
      <c r="M52" s="20">
        <v>0.04</v>
      </c>
      <c r="N52" s="63">
        <f t="shared" si="11"/>
        <v>158649.92000000001</v>
      </c>
      <c r="O52" s="64">
        <f t="shared" si="8"/>
        <v>41044.690261917807</v>
      </c>
      <c r="P52" s="64">
        <f t="shared" si="9"/>
        <v>117605.22973808221</v>
      </c>
      <c r="Q52" s="65">
        <v>0.1</v>
      </c>
      <c r="R52" s="64">
        <f t="shared" si="10"/>
        <v>105844.706764274</v>
      </c>
    </row>
    <row r="53" spans="2:18" x14ac:dyDescent="0.2">
      <c r="B53" s="8">
        <v>51</v>
      </c>
      <c r="C53" s="60" t="s">
        <v>75</v>
      </c>
      <c r="D53" s="6" t="s">
        <v>44</v>
      </c>
      <c r="E53" s="1" t="s">
        <v>99</v>
      </c>
      <c r="F53" s="12">
        <v>42916</v>
      </c>
      <c r="G53" s="10">
        <v>44400</v>
      </c>
      <c r="H53" s="7">
        <f t="shared" si="5"/>
        <v>4.065753424657534</v>
      </c>
      <c r="I53" s="1">
        <v>6</v>
      </c>
      <c r="J53" s="20">
        <v>0.05</v>
      </c>
      <c r="K53" s="22">
        <f t="shared" si="7"/>
        <v>0.15833333333333333</v>
      </c>
      <c r="L53" s="67">
        <v>14069</v>
      </c>
      <c r="M53" s="81">
        <v>0</v>
      </c>
      <c r="N53" s="63">
        <f t="shared" si="11"/>
        <v>14069</v>
      </c>
      <c r="O53" s="68">
        <f t="shared" si="8"/>
        <v>9056.8384474885843</v>
      </c>
      <c r="P53" s="68">
        <f t="shared" si="9"/>
        <v>5012.1615525114157</v>
      </c>
      <c r="Q53" s="65">
        <v>0.1</v>
      </c>
      <c r="R53" s="64">
        <f t="shared" si="10"/>
        <v>4510.9453972602741</v>
      </c>
    </row>
    <row r="54" spans="2:18" x14ac:dyDescent="0.2">
      <c r="B54" s="8">
        <v>52</v>
      </c>
      <c r="C54" s="60" t="s">
        <v>75</v>
      </c>
      <c r="D54" s="6" t="s">
        <v>44</v>
      </c>
      <c r="E54" s="1" t="s">
        <v>99</v>
      </c>
      <c r="F54" s="2">
        <v>42906</v>
      </c>
      <c r="G54" s="10">
        <v>44400</v>
      </c>
      <c r="H54" s="7">
        <f t="shared" si="5"/>
        <v>4.0931506849315067</v>
      </c>
      <c r="I54" s="1">
        <v>6</v>
      </c>
      <c r="J54" s="20">
        <v>0.05</v>
      </c>
      <c r="K54" s="22">
        <f t="shared" si="7"/>
        <v>0.15833333333333333</v>
      </c>
      <c r="L54" s="67">
        <v>25200</v>
      </c>
      <c r="M54" s="81">
        <v>0</v>
      </c>
      <c r="N54" s="63">
        <f t="shared" si="11"/>
        <v>25200</v>
      </c>
      <c r="O54" s="68">
        <f t="shared" si="8"/>
        <v>16331.671232876712</v>
      </c>
      <c r="P54" s="68">
        <f t="shared" si="9"/>
        <v>8868.3287671232883</v>
      </c>
      <c r="Q54" s="65">
        <v>0.1</v>
      </c>
      <c r="R54" s="64">
        <f t="shared" si="10"/>
        <v>7981.4958904109599</v>
      </c>
    </row>
    <row r="55" spans="2:18" x14ac:dyDescent="0.2">
      <c r="B55" s="8">
        <v>53</v>
      </c>
      <c r="C55" s="60" t="s">
        <v>75</v>
      </c>
      <c r="D55" s="6" t="s">
        <v>44</v>
      </c>
      <c r="E55" s="1" t="s">
        <v>99</v>
      </c>
      <c r="F55" s="2">
        <v>42913</v>
      </c>
      <c r="G55" s="10">
        <v>44400</v>
      </c>
      <c r="H55" s="7">
        <f t="shared" si="5"/>
        <v>4.0739726027397261</v>
      </c>
      <c r="I55" s="1">
        <v>6</v>
      </c>
      <c r="J55" s="20">
        <v>0.05</v>
      </c>
      <c r="K55" s="22">
        <f t="shared" si="7"/>
        <v>0.15833333333333333</v>
      </c>
      <c r="L55" s="67">
        <v>64000.000000000007</v>
      </c>
      <c r="M55" s="81">
        <v>0</v>
      </c>
      <c r="N55" s="63">
        <f t="shared" si="11"/>
        <v>64000.000000000007</v>
      </c>
      <c r="O55" s="68">
        <f t="shared" si="8"/>
        <v>41282.922374429225</v>
      </c>
      <c r="P55" s="68">
        <f t="shared" si="9"/>
        <v>22717.077625570782</v>
      </c>
      <c r="Q55" s="65">
        <v>0.1</v>
      </c>
      <c r="R55" s="64">
        <f t="shared" si="10"/>
        <v>20445.369863013704</v>
      </c>
    </row>
    <row r="56" spans="2:18" ht="51" x14ac:dyDescent="0.2">
      <c r="B56" s="8">
        <v>54</v>
      </c>
      <c r="C56" s="60" t="s">
        <v>76</v>
      </c>
      <c r="D56" s="9" t="s">
        <v>44</v>
      </c>
      <c r="E56" s="8" t="s">
        <v>100</v>
      </c>
      <c r="F56" s="10">
        <v>42733</v>
      </c>
      <c r="G56" s="10">
        <v>44400</v>
      </c>
      <c r="H56" s="11">
        <f t="shared" si="5"/>
        <v>4.5671232876712331</v>
      </c>
      <c r="I56" s="8">
        <v>10</v>
      </c>
      <c r="J56" s="20">
        <v>0.05</v>
      </c>
      <c r="K56" s="22">
        <f t="shared" si="7"/>
        <v>9.5000000000000001E-2</v>
      </c>
      <c r="L56" s="62">
        <v>44520</v>
      </c>
      <c r="M56" s="20">
        <v>0.03</v>
      </c>
      <c r="N56" s="63">
        <f t="shared" si="11"/>
        <v>45855.6</v>
      </c>
      <c r="O56" s="64">
        <f t="shared" si="8"/>
        <v>19895.676969863016</v>
      </c>
      <c r="P56" s="64">
        <f t="shared" si="9"/>
        <v>25959.923030136983</v>
      </c>
      <c r="Q56" s="65">
        <v>0.1</v>
      </c>
      <c r="R56" s="64">
        <f t="shared" si="10"/>
        <v>23363.930727123286</v>
      </c>
    </row>
    <row r="57" spans="2:18" ht="38.25" x14ac:dyDescent="0.2">
      <c r="B57" s="8">
        <v>55</v>
      </c>
      <c r="C57" s="60" t="s">
        <v>77</v>
      </c>
      <c r="D57" s="6" t="s">
        <v>43</v>
      </c>
      <c r="E57" s="1" t="s">
        <v>101</v>
      </c>
      <c r="F57" s="2">
        <v>42891</v>
      </c>
      <c r="G57" s="10">
        <v>44400</v>
      </c>
      <c r="H57" s="7">
        <f t="shared" si="5"/>
        <v>4.1342465753424653</v>
      </c>
      <c r="I57" s="1">
        <v>15</v>
      </c>
      <c r="J57" s="20">
        <v>0.05</v>
      </c>
      <c r="K57" s="22">
        <f t="shared" si="7"/>
        <v>6.3333333333333325E-2</v>
      </c>
      <c r="L57" s="67">
        <v>511350</v>
      </c>
      <c r="M57" s="81">
        <v>0.19</v>
      </c>
      <c r="N57" s="63">
        <f t="shared" si="11"/>
        <v>608506.5</v>
      </c>
      <c r="O57" s="68">
        <f t="shared" si="8"/>
        <v>159328.67453424653</v>
      </c>
      <c r="P57" s="68">
        <f t="shared" si="9"/>
        <v>449177.82546575344</v>
      </c>
      <c r="Q57" s="65">
        <v>0.1</v>
      </c>
      <c r="R57" s="64">
        <f t="shared" si="10"/>
        <v>404260.04291917809</v>
      </c>
    </row>
    <row r="58" spans="2:18" x14ac:dyDescent="0.2">
      <c r="B58" s="8">
        <v>56</v>
      </c>
      <c r="C58" s="60" t="s">
        <v>78</v>
      </c>
      <c r="D58" s="1" t="s">
        <v>44</v>
      </c>
      <c r="E58" s="1" t="s">
        <v>102</v>
      </c>
      <c r="F58" s="2">
        <v>42427</v>
      </c>
      <c r="G58" s="10">
        <v>44400</v>
      </c>
      <c r="H58" s="7">
        <f t="shared" si="5"/>
        <v>5.4054794520547942</v>
      </c>
      <c r="I58" s="1">
        <v>15</v>
      </c>
      <c r="J58" s="20">
        <v>0.05</v>
      </c>
      <c r="K58" s="22">
        <f t="shared" si="7"/>
        <v>6.3333333333333325E-2</v>
      </c>
      <c r="L58" s="67">
        <v>110250</v>
      </c>
      <c r="M58" s="81">
        <v>0</v>
      </c>
      <c r="N58" s="63">
        <f t="shared" si="11"/>
        <v>110250</v>
      </c>
      <c r="O58" s="68">
        <f t="shared" si="8"/>
        <v>37743.760273972599</v>
      </c>
      <c r="P58" s="68">
        <f t="shared" si="9"/>
        <v>72506.239726027401</v>
      </c>
      <c r="Q58" s="65">
        <v>0.1</v>
      </c>
      <c r="R58" s="64">
        <f t="shared" si="10"/>
        <v>65255.615753424659</v>
      </c>
    </row>
    <row r="59" spans="2:18" ht="38.25" x14ac:dyDescent="0.2">
      <c r="B59" s="8">
        <v>57</v>
      </c>
      <c r="C59" s="60" t="s">
        <v>79</v>
      </c>
      <c r="D59" s="1" t="s">
        <v>88</v>
      </c>
      <c r="E59" s="1" t="s">
        <v>102</v>
      </c>
      <c r="F59" s="3">
        <v>42444</v>
      </c>
      <c r="G59" s="10">
        <v>44400</v>
      </c>
      <c r="H59" s="7">
        <f t="shared" si="5"/>
        <v>5.3589041095890408</v>
      </c>
      <c r="I59" s="1">
        <v>15</v>
      </c>
      <c r="J59" s="20">
        <v>0.05</v>
      </c>
      <c r="K59" s="22">
        <f t="shared" si="7"/>
        <v>6.3333333333333325E-2</v>
      </c>
      <c r="L59" s="67">
        <v>13440</v>
      </c>
      <c r="M59" s="81">
        <v>0</v>
      </c>
      <c r="N59" s="63">
        <f t="shared" si="11"/>
        <v>13440</v>
      </c>
      <c r="O59" s="68">
        <f t="shared" si="8"/>
        <v>4561.4991780821911</v>
      </c>
      <c r="P59" s="68">
        <f t="shared" si="9"/>
        <v>8878.5008219178089</v>
      </c>
      <c r="Q59" s="65">
        <v>0.1</v>
      </c>
      <c r="R59" s="64">
        <f t="shared" si="10"/>
        <v>7990.6507397260284</v>
      </c>
    </row>
    <row r="60" spans="2:18" ht="25.5" x14ac:dyDescent="0.2">
      <c r="B60" s="8">
        <v>58</v>
      </c>
      <c r="C60" s="60" t="s">
        <v>80</v>
      </c>
      <c r="D60" s="8" t="s">
        <v>45</v>
      </c>
      <c r="E60" s="8" t="s">
        <v>103</v>
      </c>
      <c r="F60" s="10">
        <v>42734</v>
      </c>
      <c r="G60" s="10">
        <v>44400</v>
      </c>
      <c r="H60" s="11">
        <f t="shared" si="5"/>
        <v>4.5643835616438357</v>
      </c>
      <c r="I60" s="8">
        <v>15</v>
      </c>
      <c r="J60" s="20">
        <v>0.05</v>
      </c>
      <c r="K60" s="22">
        <f t="shared" si="7"/>
        <v>6.3333333333333325E-2</v>
      </c>
      <c r="L60" s="62">
        <v>99017</v>
      </c>
      <c r="M60" s="20">
        <v>0.12</v>
      </c>
      <c r="N60" s="63">
        <f t="shared" si="11"/>
        <v>110899.04000000001</v>
      </c>
      <c r="O60" s="64">
        <f t="shared" si="8"/>
        <v>32058.431161278535</v>
      </c>
      <c r="P60" s="64">
        <f t="shared" si="9"/>
        <v>78840.60883872147</v>
      </c>
      <c r="Q60" s="65">
        <v>0.1</v>
      </c>
      <c r="R60" s="64">
        <f t="shared" si="10"/>
        <v>70956.547954849331</v>
      </c>
    </row>
    <row r="61" spans="2:18" ht="25.5" x14ac:dyDescent="0.2">
      <c r="B61" s="8">
        <v>59</v>
      </c>
      <c r="C61" s="60" t="s">
        <v>81</v>
      </c>
      <c r="D61" s="8" t="s">
        <v>45</v>
      </c>
      <c r="E61" s="8" t="s">
        <v>104</v>
      </c>
      <c r="F61" s="10">
        <v>42732</v>
      </c>
      <c r="G61" s="10">
        <v>44400</v>
      </c>
      <c r="H61" s="11">
        <f t="shared" si="5"/>
        <v>4.5698630136986305</v>
      </c>
      <c r="I61" s="8">
        <v>15</v>
      </c>
      <c r="J61" s="20">
        <v>0.05</v>
      </c>
      <c r="K61" s="22">
        <f t="shared" si="7"/>
        <v>6.3333333333333325E-2</v>
      </c>
      <c r="L61" s="62">
        <v>23902</v>
      </c>
      <c r="M61" s="20">
        <v>0.04</v>
      </c>
      <c r="N61" s="63">
        <f t="shared" si="11"/>
        <v>24858.080000000002</v>
      </c>
      <c r="O61" s="64">
        <f t="shared" si="8"/>
        <v>7194.541290958904</v>
      </c>
      <c r="P61" s="64">
        <f t="shared" si="9"/>
        <v>17663.538709041099</v>
      </c>
      <c r="Q61" s="65">
        <v>0.1</v>
      </c>
      <c r="R61" s="64">
        <f t="shared" si="10"/>
        <v>15897.184838136989</v>
      </c>
    </row>
    <row r="62" spans="2:18" x14ac:dyDescent="0.2">
      <c r="B62" s="8">
        <v>60</v>
      </c>
      <c r="C62" s="60" t="s">
        <v>82</v>
      </c>
      <c r="D62" s="8" t="s">
        <v>44</v>
      </c>
      <c r="E62" s="8" t="s">
        <v>105</v>
      </c>
      <c r="F62" s="10">
        <v>42881</v>
      </c>
      <c r="G62" s="10">
        <v>44400</v>
      </c>
      <c r="H62" s="11">
        <f t="shared" si="5"/>
        <v>4.161643835616438</v>
      </c>
      <c r="I62" s="8">
        <v>5</v>
      </c>
      <c r="J62" s="20">
        <v>0.05</v>
      </c>
      <c r="K62" s="22">
        <f t="shared" si="7"/>
        <v>0.19</v>
      </c>
      <c r="L62" s="62">
        <v>20610</v>
      </c>
      <c r="M62" s="20">
        <v>0</v>
      </c>
      <c r="N62" s="63">
        <f t="shared" si="11"/>
        <v>20610</v>
      </c>
      <c r="O62" s="64">
        <f t="shared" si="8"/>
        <v>16296.581095890409</v>
      </c>
      <c r="P62" s="64">
        <f t="shared" si="9"/>
        <v>4313.4189041095906</v>
      </c>
      <c r="Q62" s="65">
        <v>0.1</v>
      </c>
      <c r="R62" s="64">
        <f t="shared" si="10"/>
        <v>3882.0770136986316</v>
      </c>
    </row>
    <row r="63" spans="2:18" ht="38.25" x14ac:dyDescent="0.2">
      <c r="B63" s="8">
        <v>61</v>
      </c>
      <c r="C63" s="60" t="s">
        <v>83</v>
      </c>
      <c r="D63" s="8" t="s">
        <v>44</v>
      </c>
      <c r="E63" s="8" t="s">
        <v>53</v>
      </c>
      <c r="F63" s="10">
        <v>42732</v>
      </c>
      <c r="G63" s="10">
        <v>44400</v>
      </c>
      <c r="H63" s="11">
        <f t="shared" si="5"/>
        <v>4.5698630136986305</v>
      </c>
      <c r="I63" s="8">
        <v>10</v>
      </c>
      <c r="J63" s="20">
        <v>0.05</v>
      </c>
      <c r="K63" s="22">
        <f t="shared" si="7"/>
        <v>9.5000000000000001E-2</v>
      </c>
      <c r="L63" s="62">
        <v>277200</v>
      </c>
      <c r="M63" s="20">
        <v>7.0000000000000007E-2</v>
      </c>
      <c r="N63" s="63">
        <f t="shared" si="11"/>
        <v>296604</v>
      </c>
      <c r="O63" s="64">
        <f t="shared" si="8"/>
        <v>128766.76668493151</v>
      </c>
      <c r="P63" s="64">
        <f t="shared" si="9"/>
        <v>167837.23331506847</v>
      </c>
      <c r="Q63" s="65">
        <v>0.1</v>
      </c>
      <c r="R63" s="64">
        <f t="shared" si="10"/>
        <v>151053.50998356164</v>
      </c>
    </row>
    <row r="64" spans="2:18" ht="38.25" x14ac:dyDescent="0.2">
      <c r="B64" s="8">
        <v>62</v>
      </c>
      <c r="C64" s="60" t="s">
        <v>83</v>
      </c>
      <c r="D64" s="8" t="s">
        <v>44</v>
      </c>
      <c r="E64" s="8" t="s">
        <v>53</v>
      </c>
      <c r="F64" s="10">
        <v>42732</v>
      </c>
      <c r="G64" s="10">
        <v>44400</v>
      </c>
      <c r="H64" s="11">
        <f t="shared" si="5"/>
        <v>4.5698630136986305</v>
      </c>
      <c r="I64" s="8">
        <v>10</v>
      </c>
      <c r="J64" s="20">
        <v>0.05</v>
      </c>
      <c r="K64" s="22">
        <f t="shared" si="7"/>
        <v>9.5000000000000001E-2</v>
      </c>
      <c r="L64" s="62">
        <v>184800</v>
      </c>
      <c r="M64" s="20">
        <v>7.0000000000000007E-2</v>
      </c>
      <c r="N64" s="63">
        <f t="shared" si="11"/>
        <v>197736</v>
      </c>
      <c r="O64" s="64">
        <f t="shared" si="8"/>
        <v>85844.511123287681</v>
      </c>
      <c r="P64" s="64">
        <f t="shared" si="9"/>
        <v>111891.48887671232</v>
      </c>
      <c r="Q64" s="65">
        <v>0.1</v>
      </c>
      <c r="R64" s="64">
        <f t="shared" si="10"/>
        <v>100702.33998904109</v>
      </c>
    </row>
    <row r="65" spans="2:18" ht="25.5" x14ac:dyDescent="0.2">
      <c r="B65" s="8">
        <v>63</v>
      </c>
      <c r="C65" s="60" t="s">
        <v>84</v>
      </c>
      <c r="D65" s="8" t="s">
        <v>44</v>
      </c>
      <c r="E65" s="8" t="s">
        <v>53</v>
      </c>
      <c r="F65" s="10">
        <v>42670</v>
      </c>
      <c r="G65" s="10">
        <v>44400</v>
      </c>
      <c r="H65" s="11">
        <f t="shared" si="5"/>
        <v>4.7397260273972606</v>
      </c>
      <c r="I65" s="8">
        <v>10</v>
      </c>
      <c r="J65" s="20">
        <v>0.05</v>
      </c>
      <c r="K65" s="22">
        <f t="shared" si="7"/>
        <v>9.5000000000000001E-2</v>
      </c>
      <c r="L65" s="62">
        <v>420000</v>
      </c>
      <c r="M65" s="20">
        <v>7.0000000000000007E-2</v>
      </c>
      <c r="N65" s="63">
        <f t="shared" si="11"/>
        <v>449400</v>
      </c>
      <c r="O65" s="64">
        <f t="shared" si="8"/>
        <v>202353.12328767125</v>
      </c>
      <c r="P65" s="64">
        <f t="shared" si="9"/>
        <v>247046.87671232875</v>
      </c>
      <c r="Q65" s="65">
        <v>0.1</v>
      </c>
      <c r="R65" s="64">
        <f t="shared" si="10"/>
        <v>222342.18904109587</v>
      </c>
    </row>
    <row r="66" spans="2:18" ht="51" x14ac:dyDescent="0.2">
      <c r="B66" s="8">
        <v>64</v>
      </c>
      <c r="C66" s="60" t="s">
        <v>85</v>
      </c>
      <c r="D66" s="1" t="s">
        <v>88</v>
      </c>
      <c r="E66" s="1" t="s">
        <v>53</v>
      </c>
      <c r="F66" s="3">
        <v>42665</v>
      </c>
      <c r="G66" s="10">
        <v>44400</v>
      </c>
      <c r="H66" s="7">
        <f>(G66-F66)/365</f>
        <v>4.7534246575342465</v>
      </c>
      <c r="I66" s="1">
        <v>10</v>
      </c>
      <c r="J66" s="20">
        <v>0.05</v>
      </c>
      <c r="K66" s="22">
        <f t="shared" si="7"/>
        <v>9.5000000000000001E-2</v>
      </c>
      <c r="L66" s="67">
        <v>840000</v>
      </c>
      <c r="M66" s="81">
        <v>7.0000000000000007E-2</v>
      </c>
      <c r="N66" s="63">
        <f t="shared" si="11"/>
        <v>898800</v>
      </c>
      <c r="O66" s="68">
        <f t="shared" si="8"/>
        <v>405875.91780821915</v>
      </c>
      <c r="P66" s="68">
        <f t="shared" si="9"/>
        <v>492924.08219178085</v>
      </c>
      <c r="Q66" s="65">
        <v>0.1</v>
      </c>
      <c r="R66" s="64">
        <f t="shared" si="10"/>
        <v>443631.67397260276</v>
      </c>
    </row>
    <row r="67" spans="2:18" ht="25.5" x14ac:dyDescent="0.2">
      <c r="B67" s="8">
        <v>65</v>
      </c>
      <c r="C67" s="60" t="s">
        <v>86</v>
      </c>
      <c r="D67" s="8" t="s">
        <v>43</v>
      </c>
      <c r="E67" s="8" t="s">
        <v>53</v>
      </c>
      <c r="F67" s="10">
        <v>42633</v>
      </c>
      <c r="G67" s="10">
        <v>44400</v>
      </c>
      <c r="H67" s="11">
        <f t="shared" ref="H67:H130" si="12">(G67-F67)/365</f>
        <v>4.8410958904109593</v>
      </c>
      <c r="I67" s="8">
        <v>8</v>
      </c>
      <c r="J67" s="20">
        <v>0.05</v>
      </c>
      <c r="K67" s="22">
        <f t="shared" si="7"/>
        <v>0.11874999999999999</v>
      </c>
      <c r="L67" s="62">
        <v>630000</v>
      </c>
      <c r="M67" s="20">
        <v>0.06</v>
      </c>
      <c r="N67" s="63">
        <f t="shared" si="11"/>
        <v>667800</v>
      </c>
      <c r="O67" s="64">
        <f t="shared" si="8"/>
        <v>383904.9554794521</v>
      </c>
      <c r="P67" s="64">
        <f t="shared" si="9"/>
        <v>283895.0445205479</v>
      </c>
      <c r="Q67" s="65">
        <v>0.1</v>
      </c>
      <c r="R67" s="64">
        <f t="shared" si="10"/>
        <v>255505.54006849311</v>
      </c>
    </row>
    <row r="68" spans="2:18" ht="89.25" x14ac:dyDescent="0.2">
      <c r="B68" s="13">
        <v>66</v>
      </c>
      <c r="C68" s="61" t="s">
        <v>87</v>
      </c>
      <c r="D68" s="13" t="s">
        <v>91</v>
      </c>
      <c r="E68" s="13" t="s">
        <v>54</v>
      </c>
      <c r="F68" s="12">
        <v>42740</v>
      </c>
      <c r="G68" s="12">
        <v>44400</v>
      </c>
      <c r="H68" s="15">
        <f t="shared" si="12"/>
        <v>4.5479452054794525</v>
      </c>
      <c r="I68" s="13">
        <v>10</v>
      </c>
      <c r="J68" s="82">
        <v>0.05</v>
      </c>
      <c r="K68" s="15">
        <f t="shared" ref="K68:K99" si="13">(1-J68)/I68</f>
        <v>9.5000000000000001E-2</v>
      </c>
      <c r="L68" s="66">
        <v>2740500</v>
      </c>
      <c r="M68" s="82">
        <v>0.04</v>
      </c>
      <c r="N68" s="63">
        <f t="shared" si="11"/>
        <v>2850120</v>
      </c>
      <c r="O68" s="64">
        <f t="shared" ref="O68:O99" si="14">K68*N68*H68</f>
        <v>1231408.0109589044</v>
      </c>
      <c r="P68" s="64">
        <f t="shared" ref="P68:P99" si="15">MAX(0,N68-O68)</f>
        <v>1618711.9890410956</v>
      </c>
      <c r="Q68" s="65">
        <v>0.1</v>
      </c>
      <c r="R68" s="64">
        <f t="shared" ref="R68:R99" si="16">IF(P68&lt;=N68*J68,N68*J68,P68*(1-Q68))</f>
        <v>1456840.7901369862</v>
      </c>
    </row>
    <row r="69" spans="2:18" x14ac:dyDescent="0.2">
      <c r="B69" s="8">
        <v>67</v>
      </c>
      <c r="C69" s="77" t="s">
        <v>128</v>
      </c>
      <c r="D69" s="8" t="s">
        <v>44</v>
      </c>
      <c r="E69" s="69" t="s">
        <v>127</v>
      </c>
      <c r="F69" s="10">
        <v>43295</v>
      </c>
      <c r="G69" s="10">
        <v>44400</v>
      </c>
      <c r="H69" s="15">
        <f t="shared" si="12"/>
        <v>3.0273972602739727</v>
      </c>
      <c r="I69" s="8">
        <v>8</v>
      </c>
      <c r="J69" s="20">
        <v>0.05</v>
      </c>
      <c r="K69" s="22">
        <f t="shared" si="13"/>
        <v>0.11874999999999999</v>
      </c>
      <c r="L69" s="70">
        <v>295000</v>
      </c>
      <c r="M69" s="80">
        <v>0</v>
      </c>
      <c r="N69" s="63">
        <f t="shared" si="11"/>
        <v>295000</v>
      </c>
      <c r="O69" s="64">
        <f t="shared" si="14"/>
        <v>106053.51027397261</v>
      </c>
      <c r="P69" s="64">
        <f t="shared" si="15"/>
        <v>188946.48972602739</v>
      </c>
      <c r="Q69" s="65">
        <v>0.1</v>
      </c>
      <c r="R69" s="64">
        <f t="shared" si="16"/>
        <v>170051.84075342465</v>
      </c>
    </row>
    <row r="70" spans="2:18" x14ac:dyDescent="0.2">
      <c r="B70" s="8">
        <v>68</v>
      </c>
      <c r="C70" s="77" t="s">
        <v>131</v>
      </c>
      <c r="D70" s="8" t="s">
        <v>44</v>
      </c>
      <c r="E70" s="69" t="s">
        <v>130</v>
      </c>
      <c r="F70" s="10">
        <v>43227</v>
      </c>
      <c r="G70" s="10">
        <v>44400</v>
      </c>
      <c r="H70" s="15">
        <f t="shared" si="12"/>
        <v>3.2136986301369861</v>
      </c>
      <c r="I70" s="8">
        <v>5</v>
      </c>
      <c r="J70" s="20">
        <v>0.05</v>
      </c>
      <c r="K70" s="22">
        <f t="shared" si="13"/>
        <v>0.19</v>
      </c>
      <c r="L70" s="70">
        <v>100893</v>
      </c>
      <c r="M70" s="80">
        <v>0</v>
      </c>
      <c r="N70" s="63">
        <f t="shared" si="11"/>
        <v>100893</v>
      </c>
      <c r="O70" s="64">
        <f t="shared" si="14"/>
        <v>61605.542219178082</v>
      </c>
      <c r="P70" s="64">
        <f t="shared" si="15"/>
        <v>39287.457780821918</v>
      </c>
      <c r="Q70" s="65">
        <v>0.1</v>
      </c>
      <c r="R70" s="64">
        <f t="shared" si="16"/>
        <v>35358.712002739725</v>
      </c>
    </row>
    <row r="71" spans="2:18" x14ac:dyDescent="0.2">
      <c r="B71" s="8">
        <v>69</v>
      </c>
      <c r="C71" s="77" t="s">
        <v>134</v>
      </c>
      <c r="D71" s="8" t="s">
        <v>44</v>
      </c>
      <c r="E71" s="69" t="s">
        <v>133</v>
      </c>
      <c r="F71" s="10">
        <v>43218</v>
      </c>
      <c r="G71" s="10">
        <v>44400</v>
      </c>
      <c r="H71" s="15">
        <f t="shared" si="12"/>
        <v>3.2383561643835614</v>
      </c>
      <c r="I71" s="8">
        <v>5</v>
      </c>
      <c r="J71" s="20">
        <v>0.05</v>
      </c>
      <c r="K71" s="22">
        <f t="shared" si="13"/>
        <v>0.19</v>
      </c>
      <c r="L71" s="70">
        <v>34077.96</v>
      </c>
      <c r="M71" s="80">
        <v>4.0000000000000002E-4</v>
      </c>
      <c r="N71" s="63">
        <f t="shared" si="11"/>
        <v>34091.591183999997</v>
      </c>
      <c r="O71" s="64">
        <f t="shared" si="14"/>
        <v>20976.135748226628</v>
      </c>
      <c r="P71" s="64">
        <f t="shared" si="15"/>
        <v>13115.455435773369</v>
      </c>
      <c r="Q71" s="65">
        <v>0.1</v>
      </c>
      <c r="R71" s="64">
        <f t="shared" si="16"/>
        <v>11803.909892196032</v>
      </c>
    </row>
    <row r="72" spans="2:18" x14ac:dyDescent="0.2">
      <c r="B72" s="8">
        <v>70</v>
      </c>
      <c r="C72" s="77" t="s">
        <v>139</v>
      </c>
      <c r="D72" s="8" t="s">
        <v>44</v>
      </c>
      <c r="E72" s="69" t="s">
        <v>138</v>
      </c>
      <c r="F72" s="10">
        <v>43557</v>
      </c>
      <c r="G72" s="10">
        <v>44400</v>
      </c>
      <c r="H72" s="15">
        <f t="shared" si="12"/>
        <v>2.3095890410958906</v>
      </c>
      <c r="I72" s="8">
        <v>3</v>
      </c>
      <c r="J72" s="20">
        <v>0.05</v>
      </c>
      <c r="K72" s="22">
        <f t="shared" si="13"/>
        <v>0.31666666666666665</v>
      </c>
      <c r="L72" s="70">
        <v>24000</v>
      </c>
      <c r="M72" s="80">
        <v>0</v>
      </c>
      <c r="N72" s="63">
        <f t="shared" si="11"/>
        <v>24000</v>
      </c>
      <c r="O72" s="64">
        <f t="shared" si="14"/>
        <v>17552.876712328769</v>
      </c>
      <c r="P72" s="64">
        <f t="shared" si="15"/>
        <v>6447.1232876712311</v>
      </c>
      <c r="Q72" s="65">
        <v>0.1</v>
      </c>
      <c r="R72" s="64">
        <f t="shared" si="16"/>
        <v>5802.4109589041082</v>
      </c>
    </row>
    <row r="73" spans="2:18" x14ac:dyDescent="0.2">
      <c r="B73" s="8">
        <v>71</v>
      </c>
      <c r="C73" s="77" t="s">
        <v>139</v>
      </c>
      <c r="D73" s="8" t="s">
        <v>44</v>
      </c>
      <c r="E73" s="69" t="s">
        <v>138</v>
      </c>
      <c r="F73" s="10">
        <v>43742</v>
      </c>
      <c r="G73" s="10">
        <v>44400</v>
      </c>
      <c r="H73" s="15">
        <f t="shared" si="12"/>
        <v>1.8027397260273972</v>
      </c>
      <c r="I73" s="8">
        <v>3</v>
      </c>
      <c r="J73" s="20">
        <v>0.05</v>
      </c>
      <c r="K73" s="22">
        <f t="shared" si="13"/>
        <v>0.31666666666666665</v>
      </c>
      <c r="L73" s="70">
        <v>11186.44</v>
      </c>
      <c r="M73" s="80">
        <v>0</v>
      </c>
      <c r="N73" s="63">
        <f t="shared" si="11"/>
        <v>11186.44</v>
      </c>
      <c r="O73" s="64">
        <f t="shared" si="14"/>
        <v>6385.9759305936068</v>
      </c>
      <c r="P73" s="64">
        <f t="shared" si="15"/>
        <v>4800.4640694063937</v>
      </c>
      <c r="Q73" s="65">
        <v>0.1</v>
      </c>
      <c r="R73" s="64">
        <f t="shared" si="16"/>
        <v>4320.4176624657548</v>
      </c>
    </row>
    <row r="74" spans="2:18" x14ac:dyDescent="0.2">
      <c r="B74" s="8">
        <v>72</v>
      </c>
      <c r="C74" s="77" t="s">
        <v>144</v>
      </c>
      <c r="D74" s="8" t="s">
        <v>44</v>
      </c>
      <c r="E74" s="69" t="s">
        <v>143</v>
      </c>
      <c r="F74" s="10">
        <v>43657</v>
      </c>
      <c r="G74" s="10">
        <v>44400</v>
      </c>
      <c r="H74" s="15">
        <f t="shared" si="12"/>
        <v>2.0356164383561643</v>
      </c>
      <c r="I74" s="8">
        <v>3</v>
      </c>
      <c r="J74" s="20">
        <v>0.05</v>
      </c>
      <c r="K74" s="22">
        <f t="shared" si="13"/>
        <v>0.31666666666666665</v>
      </c>
      <c r="L74" s="70">
        <v>117486</v>
      </c>
      <c r="M74" s="80">
        <v>0</v>
      </c>
      <c r="N74" s="63">
        <f t="shared" si="11"/>
        <v>117486</v>
      </c>
      <c r="O74" s="64">
        <f t="shared" si="14"/>
        <v>75732.870410958902</v>
      </c>
      <c r="P74" s="64">
        <f t="shared" si="15"/>
        <v>41753.129589041098</v>
      </c>
      <c r="Q74" s="65">
        <v>0.1</v>
      </c>
      <c r="R74" s="64">
        <f t="shared" si="16"/>
        <v>37577.816630136993</v>
      </c>
    </row>
    <row r="75" spans="2:18" x14ac:dyDescent="0.2">
      <c r="B75" s="8">
        <v>73</v>
      </c>
      <c r="C75" s="77" t="s">
        <v>144</v>
      </c>
      <c r="D75" s="8" t="s">
        <v>44</v>
      </c>
      <c r="E75" s="69" t="s">
        <v>143</v>
      </c>
      <c r="F75" s="10">
        <v>43657</v>
      </c>
      <c r="G75" s="10">
        <v>44400</v>
      </c>
      <c r="H75" s="15">
        <f t="shared" si="12"/>
        <v>2.0356164383561643</v>
      </c>
      <c r="I75" s="8">
        <v>3</v>
      </c>
      <c r="J75" s="20">
        <v>0.05</v>
      </c>
      <c r="K75" s="22">
        <f t="shared" si="13"/>
        <v>0.31666666666666665</v>
      </c>
      <c r="L75" s="70">
        <v>3168</v>
      </c>
      <c r="M75" s="80">
        <v>0</v>
      </c>
      <c r="N75" s="63">
        <f t="shared" si="11"/>
        <v>3168</v>
      </c>
      <c r="O75" s="64">
        <f t="shared" si="14"/>
        <v>2042.1304109589039</v>
      </c>
      <c r="P75" s="64">
        <f t="shared" si="15"/>
        <v>1125.8695890410961</v>
      </c>
      <c r="Q75" s="65">
        <v>0.1</v>
      </c>
      <c r="R75" s="64">
        <f t="shared" si="16"/>
        <v>1013.2826301369865</v>
      </c>
    </row>
    <row r="76" spans="2:18" x14ac:dyDescent="0.2">
      <c r="B76" s="8">
        <v>74</v>
      </c>
      <c r="C76" s="77" t="s">
        <v>149</v>
      </c>
      <c r="D76" s="8" t="s">
        <v>44</v>
      </c>
      <c r="E76" s="69" t="s">
        <v>61</v>
      </c>
      <c r="F76" s="10">
        <v>43606</v>
      </c>
      <c r="G76" s="10">
        <v>44400</v>
      </c>
      <c r="H76" s="15">
        <f t="shared" si="12"/>
        <v>2.1753424657534248</v>
      </c>
      <c r="I76" s="8">
        <v>10</v>
      </c>
      <c r="J76" s="20">
        <v>0.05</v>
      </c>
      <c r="K76" s="22">
        <f t="shared" si="13"/>
        <v>9.5000000000000001E-2</v>
      </c>
      <c r="L76" s="70">
        <v>200000</v>
      </c>
      <c r="M76" s="80">
        <v>0</v>
      </c>
      <c r="N76" s="63">
        <f t="shared" si="11"/>
        <v>200000</v>
      </c>
      <c r="O76" s="64">
        <f t="shared" si="14"/>
        <v>41331.506849315068</v>
      </c>
      <c r="P76" s="64">
        <f t="shared" si="15"/>
        <v>158668.49315068492</v>
      </c>
      <c r="Q76" s="65">
        <v>0.1</v>
      </c>
      <c r="R76" s="64">
        <f t="shared" si="16"/>
        <v>142801.64383561644</v>
      </c>
    </row>
    <row r="77" spans="2:18" x14ac:dyDescent="0.2">
      <c r="B77" s="8">
        <v>75</v>
      </c>
      <c r="C77" s="77" t="s">
        <v>153</v>
      </c>
      <c r="D77" s="8" t="s">
        <v>44</v>
      </c>
      <c r="E77" s="69" t="s">
        <v>152</v>
      </c>
      <c r="F77" s="10">
        <v>43566</v>
      </c>
      <c r="G77" s="10">
        <v>44400</v>
      </c>
      <c r="H77" s="15">
        <f t="shared" si="12"/>
        <v>2.2849315068493152</v>
      </c>
      <c r="I77" s="8">
        <v>15</v>
      </c>
      <c r="J77" s="20">
        <v>0.05</v>
      </c>
      <c r="K77" s="22">
        <f t="shared" si="13"/>
        <v>6.3333333333333325E-2</v>
      </c>
      <c r="L77" s="70">
        <v>144068</v>
      </c>
      <c r="M77" s="80">
        <v>0.06</v>
      </c>
      <c r="N77" s="63">
        <f t="shared" si="11"/>
        <v>152712.08000000002</v>
      </c>
      <c r="O77" s="64">
        <f t="shared" si="14"/>
        <v>22099.320727671235</v>
      </c>
      <c r="P77" s="64">
        <f t="shared" si="15"/>
        <v>130612.75927232878</v>
      </c>
      <c r="Q77" s="65">
        <v>0.1</v>
      </c>
      <c r="R77" s="64">
        <f t="shared" si="16"/>
        <v>117551.48334509591</v>
      </c>
    </row>
    <row r="78" spans="2:18" x14ac:dyDescent="0.2">
      <c r="B78" s="8">
        <v>76</v>
      </c>
      <c r="C78" s="77" t="s">
        <v>155</v>
      </c>
      <c r="D78" s="8" t="s">
        <v>44</v>
      </c>
      <c r="E78" s="69" t="s">
        <v>51</v>
      </c>
      <c r="F78" s="10">
        <v>43728</v>
      </c>
      <c r="G78" s="10">
        <v>44400</v>
      </c>
      <c r="H78" s="15">
        <f t="shared" si="12"/>
        <v>1.8410958904109589</v>
      </c>
      <c r="I78" s="8">
        <v>10</v>
      </c>
      <c r="J78" s="20">
        <v>0.05</v>
      </c>
      <c r="K78" s="22">
        <f t="shared" si="13"/>
        <v>9.5000000000000001E-2</v>
      </c>
      <c r="L78" s="70">
        <v>127000</v>
      </c>
      <c r="M78" s="80">
        <v>0.04</v>
      </c>
      <c r="N78" s="63">
        <f t="shared" ref="N78:N109" si="17">L78*(1+M78)</f>
        <v>132080</v>
      </c>
      <c r="O78" s="64">
        <f t="shared" si="14"/>
        <v>23101.33479452055</v>
      </c>
      <c r="P78" s="64">
        <f t="shared" si="15"/>
        <v>108978.66520547945</v>
      </c>
      <c r="Q78" s="65">
        <v>0.1</v>
      </c>
      <c r="R78" s="64">
        <f t="shared" si="16"/>
        <v>98080.798684931506</v>
      </c>
    </row>
    <row r="79" spans="2:18" x14ac:dyDescent="0.2">
      <c r="B79" s="8">
        <v>77</v>
      </c>
      <c r="C79" s="77" t="s">
        <v>158</v>
      </c>
      <c r="D79" s="8" t="s">
        <v>44</v>
      </c>
      <c r="E79" s="69" t="s">
        <v>157</v>
      </c>
      <c r="F79" s="10">
        <v>43623</v>
      </c>
      <c r="G79" s="10">
        <v>44400</v>
      </c>
      <c r="H79" s="15">
        <f t="shared" si="12"/>
        <v>2.128767123287671</v>
      </c>
      <c r="I79" s="8">
        <v>5</v>
      </c>
      <c r="J79" s="20">
        <v>0.05</v>
      </c>
      <c r="K79" s="22">
        <f t="shared" si="13"/>
        <v>0.19</v>
      </c>
      <c r="L79" s="70">
        <v>62968.74</v>
      </c>
      <c r="M79" s="80">
        <v>0</v>
      </c>
      <c r="N79" s="63">
        <f t="shared" si="17"/>
        <v>62968.74</v>
      </c>
      <c r="O79" s="64">
        <f t="shared" si="14"/>
        <v>25468.698866301365</v>
      </c>
      <c r="P79" s="64">
        <f t="shared" si="15"/>
        <v>37500.041133698629</v>
      </c>
      <c r="Q79" s="65">
        <v>0.1</v>
      </c>
      <c r="R79" s="64">
        <f t="shared" si="16"/>
        <v>33750.037020328768</v>
      </c>
    </row>
    <row r="80" spans="2:18" x14ac:dyDescent="0.2">
      <c r="B80" s="8">
        <v>78</v>
      </c>
      <c r="C80" s="77" t="s">
        <v>161</v>
      </c>
      <c r="D80" s="8" t="s">
        <v>44</v>
      </c>
      <c r="E80" s="69" t="s">
        <v>160</v>
      </c>
      <c r="F80" s="10">
        <v>43640</v>
      </c>
      <c r="G80" s="10">
        <v>44400</v>
      </c>
      <c r="H80" s="15">
        <f t="shared" si="12"/>
        <v>2.0821917808219177</v>
      </c>
      <c r="I80" s="8">
        <v>8</v>
      </c>
      <c r="J80" s="20">
        <v>0.05</v>
      </c>
      <c r="K80" s="22">
        <f t="shared" si="13"/>
        <v>0.11874999999999999</v>
      </c>
      <c r="L80" s="70">
        <v>27233</v>
      </c>
      <c r="M80" s="80">
        <v>0</v>
      </c>
      <c r="N80" s="63">
        <f t="shared" si="17"/>
        <v>27233</v>
      </c>
      <c r="O80" s="64">
        <f t="shared" si="14"/>
        <v>6733.6390410958893</v>
      </c>
      <c r="P80" s="64">
        <f t="shared" si="15"/>
        <v>20499.360958904112</v>
      </c>
      <c r="Q80" s="65">
        <v>0.1</v>
      </c>
      <c r="R80" s="64">
        <f t="shared" si="16"/>
        <v>18449.424863013701</v>
      </c>
    </row>
    <row r="81" spans="2:18" x14ac:dyDescent="0.2">
      <c r="B81" s="8">
        <v>79</v>
      </c>
      <c r="C81" s="77" t="s">
        <v>164</v>
      </c>
      <c r="D81" s="8" t="s">
        <v>44</v>
      </c>
      <c r="E81" s="69" t="s">
        <v>163</v>
      </c>
      <c r="F81" s="10">
        <v>43739</v>
      </c>
      <c r="G81" s="10">
        <v>44400</v>
      </c>
      <c r="H81" s="15">
        <f t="shared" si="12"/>
        <v>1.810958904109589</v>
      </c>
      <c r="I81" s="8">
        <v>1</v>
      </c>
      <c r="J81" s="20">
        <v>0.05</v>
      </c>
      <c r="K81" s="22">
        <f t="shared" si="13"/>
        <v>0.95</v>
      </c>
      <c r="L81" s="70">
        <v>138000</v>
      </c>
      <c r="M81" s="80">
        <v>0</v>
      </c>
      <c r="N81" s="63">
        <f t="shared" si="17"/>
        <v>138000</v>
      </c>
      <c r="O81" s="64">
        <f t="shared" si="14"/>
        <v>237416.71232876711</v>
      </c>
      <c r="P81" s="64">
        <f t="shared" si="15"/>
        <v>0</v>
      </c>
      <c r="Q81" s="65">
        <v>0.1</v>
      </c>
      <c r="R81" s="64">
        <f t="shared" si="16"/>
        <v>6900</v>
      </c>
    </row>
    <row r="82" spans="2:18" x14ac:dyDescent="0.2">
      <c r="B82" s="8">
        <v>80</v>
      </c>
      <c r="C82" s="77" t="s">
        <v>167</v>
      </c>
      <c r="D82" s="8" t="s">
        <v>44</v>
      </c>
      <c r="E82" s="69" t="s">
        <v>166</v>
      </c>
      <c r="F82" s="10">
        <v>43667</v>
      </c>
      <c r="G82" s="10">
        <v>44400</v>
      </c>
      <c r="H82" s="15">
        <f t="shared" si="12"/>
        <v>2.0082191780821916</v>
      </c>
      <c r="I82" s="8">
        <v>5</v>
      </c>
      <c r="J82" s="20">
        <v>0.05</v>
      </c>
      <c r="K82" s="22">
        <f t="shared" si="13"/>
        <v>0.19</v>
      </c>
      <c r="L82" s="70">
        <v>153000</v>
      </c>
      <c r="M82" s="80">
        <v>0</v>
      </c>
      <c r="N82" s="63">
        <f t="shared" si="17"/>
        <v>153000</v>
      </c>
      <c r="O82" s="64">
        <f t="shared" si="14"/>
        <v>58378.931506849309</v>
      </c>
      <c r="P82" s="64">
        <f t="shared" si="15"/>
        <v>94621.068493150698</v>
      </c>
      <c r="Q82" s="65">
        <v>0.1</v>
      </c>
      <c r="R82" s="64">
        <f t="shared" si="16"/>
        <v>85158.961643835632</v>
      </c>
    </row>
    <row r="83" spans="2:18" ht="15" x14ac:dyDescent="0.2">
      <c r="B83" s="8">
        <v>81</v>
      </c>
      <c r="C83" s="78" t="s">
        <v>172</v>
      </c>
      <c r="D83" s="8" t="s">
        <v>44</v>
      </c>
      <c r="E83" s="71" t="s">
        <v>171</v>
      </c>
      <c r="F83" s="10">
        <v>43991</v>
      </c>
      <c r="G83" s="10">
        <v>44400</v>
      </c>
      <c r="H83" s="15">
        <f t="shared" si="12"/>
        <v>1.1205479452054794</v>
      </c>
      <c r="I83" s="8">
        <v>5</v>
      </c>
      <c r="J83" s="20">
        <v>0.05</v>
      </c>
      <c r="K83" s="22">
        <f t="shared" si="13"/>
        <v>0.19</v>
      </c>
      <c r="L83" s="72">
        <v>110408</v>
      </c>
      <c r="M83" s="79">
        <v>0</v>
      </c>
      <c r="N83" s="63">
        <f t="shared" si="17"/>
        <v>110408</v>
      </c>
      <c r="O83" s="64">
        <f t="shared" si="14"/>
        <v>23506.316931506848</v>
      </c>
      <c r="P83" s="64">
        <f t="shared" si="15"/>
        <v>86901.683068493148</v>
      </c>
      <c r="Q83" s="65">
        <v>0.1</v>
      </c>
      <c r="R83" s="64">
        <f t="shared" si="16"/>
        <v>78211.514761643833</v>
      </c>
    </row>
    <row r="84" spans="2:18" ht="15" x14ac:dyDescent="0.2">
      <c r="B84" s="8">
        <v>82</v>
      </c>
      <c r="C84" s="78" t="s">
        <v>172</v>
      </c>
      <c r="D84" s="8" t="s">
        <v>44</v>
      </c>
      <c r="E84" s="71" t="s">
        <v>171</v>
      </c>
      <c r="F84" s="10">
        <v>43995</v>
      </c>
      <c r="G84" s="10">
        <v>44400</v>
      </c>
      <c r="H84" s="15">
        <f t="shared" si="12"/>
        <v>1.1095890410958904</v>
      </c>
      <c r="I84" s="8">
        <v>5</v>
      </c>
      <c r="J84" s="20">
        <v>0.05</v>
      </c>
      <c r="K84" s="22">
        <f t="shared" si="13"/>
        <v>0.19</v>
      </c>
      <c r="L84" s="72">
        <v>56940</v>
      </c>
      <c r="M84" s="79">
        <v>0</v>
      </c>
      <c r="N84" s="63">
        <f t="shared" si="17"/>
        <v>56940</v>
      </c>
      <c r="O84" s="64">
        <f t="shared" si="14"/>
        <v>12004.2</v>
      </c>
      <c r="P84" s="64">
        <f t="shared" si="15"/>
        <v>44935.8</v>
      </c>
      <c r="Q84" s="65">
        <v>0.1</v>
      </c>
      <c r="R84" s="64">
        <f t="shared" si="16"/>
        <v>40442.22</v>
      </c>
    </row>
    <row r="85" spans="2:18" ht="15" x14ac:dyDescent="0.2">
      <c r="B85" s="8">
        <v>83</v>
      </c>
      <c r="C85" s="78" t="s">
        <v>176</v>
      </c>
      <c r="D85" s="8" t="s">
        <v>44</v>
      </c>
      <c r="E85" s="71" t="s">
        <v>171</v>
      </c>
      <c r="F85" s="10">
        <v>44148</v>
      </c>
      <c r="G85" s="10">
        <v>44400</v>
      </c>
      <c r="H85" s="15">
        <f t="shared" si="12"/>
        <v>0.69041095890410964</v>
      </c>
      <c r="I85" s="8">
        <v>5</v>
      </c>
      <c r="J85" s="20">
        <v>0.05</v>
      </c>
      <c r="K85" s="22">
        <f t="shared" si="13"/>
        <v>0.19</v>
      </c>
      <c r="L85" s="72">
        <v>20378</v>
      </c>
      <c r="M85" s="79">
        <v>0</v>
      </c>
      <c r="N85" s="63">
        <f t="shared" si="17"/>
        <v>20378</v>
      </c>
      <c r="O85" s="64">
        <f t="shared" si="14"/>
        <v>2673.1469589041099</v>
      </c>
      <c r="P85" s="64">
        <f t="shared" si="15"/>
        <v>17704.853041095892</v>
      </c>
      <c r="Q85" s="65">
        <v>0.1</v>
      </c>
      <c r="R85" s="64">
        <f t="shared" si="16"/>
        <v>15934.367736986303</v>
      </c>
    </row>
    <row r="86" spans="2:18" ht="15" x14ac:dyDescent="0.2">
      <c r="B86" s="8">
        <v>84</v>
      </c>
      <c r="C86" s="78" t="s">
        <v>176</v>
      </c>
      <c r="D86" s="8" t="s">
        <v>44</v>
      </c>
      <c r="E86" s="71" t="s">
        <v>171</v>
      </c>
      <c r="F86" s="10">
        <v>44144</v>
      </c>
      <c r="G86" s="10">
        <v>44400</v>
      </c>
      <c r="H86" s="15">
        <f t="shared" si="12"/>
        <v>0.70136986301369864</v>
      </c>
      <c r="I86" s="8">
        <v>5</v>
      </c>
      <c r="J86" s="20">
        <v>0.05</v>
      </c>
      <c r="K86" s="22">
        <f t="shared" si="13"/>
        <v>0.19</v>
      </c>
      <c r="L86" s="72">
        <v>63000</v>
      </c>
      <c r="M86" s="79">
        <v>0</v>
      </c>
      <c r="N86" s="63">
        <f t="shared" si="17"/>
        <v>63000</v>
      </c>
      <c r="O86" s="64">
        <f t="shared" si="14"/>
        <v>8395.3972602739723</v>
      </c>
      <c r="P86" s="64">
        <f t="shared" si="15"/>
        <v>54604.602739726026</v>
      </c>
      <c r="Q86" s="65">
        <v>0.1</v>
      </c>
      <c r="R86" s="64">
        <f t="shared" si="16"/>
        <v>49144.142465753423</v>
      </c>
    </row>
    <row r="87" spans="2:18" ht="15" x14ac:dyDescent="0.2">
      <c r="B87" s="8">
        <v>85</v>
      </c>
      <c r="C87" s="78" t="s">
        <v>179</v>
      </c>
      <c r="D87" s="8" t="s">
        <v>44</v>
      </c>
      <c r="E87" s="71" t="s">
        <v>171</v>
      </c>
      <c r="F87" s="10">
        <v>44056</v>
      </c>
      <c r="G87" s="10">
        <v>44400</v>
      </c>
      <c r="H87" s="15">
        <f t="shared" si="12"/>
        <v>0.94246575342465755</v>
      </c>
      <c r="I87" s="8">
        <v>15</v>
      </c>
      <c r="J87" s="20">
        <v>0.05</v>
      </c>
      <c r="K87" s="22">
        <f t="shared" si="13"/>
        <v>6.3333333333333325E-2</v>
      </c>
      <c r="L87" s="72">
        <v>548903</v>
      </c>
      <c r="M87" s="79">
        <v>0</v>
      </c>
      <c r="N87" s="63">
        <f t="shared" si="17"/>
        <v>548903</v>
      </c>
      <c r="O87" s="64">
        <f t="shared" si="14"/>
        <v>32763.744365296796</v>
      </c>
      <c r="P87" s="64">
        <f t="shared" si="15"/>
        <v>516139.25563470321</v>
      </c>
      <c r="Q87" s="65">
        <v>0.1</v>
      </c>
      <c r="R87" s="64">
        <f t="shared" si="16"/>
        <v>464525.33007123292</v>
      </c>
    </row>
    <row r="88" spans="2:18" s="90" customFormat="1" ht="15" x14ac:dyDescent="0.2">
      <c r="B88" s="8">
        <v>86</v>
      </c>
      <c r="C88" s="78" t="s">
        <v>182</v>
      </c>
      <c r="D88" s="8" t="s">
        <v>44</v>
      </c>
      <c r="E88" s="71" t="s">
        <v>181</v>
      </c>
      <c r="F88" s="10">
        <v>44043</v>
      </c>
      <c r="G88" s="10">
        <v>44400</v>
      </c>
      <c r="H88" s="11">
        <f t="shared" si="12"/>
        <v>0.9780821917808219</v>
      </c>
      <c r="I88" s="8">
        <v>10</v>
      </c>
      <c r="J88" s="20">
        <v>0.05</v>
      </c>
      <c r="K88" s="11">
        <f t="shared" si="13"/>
        <v>9.5000000000000001E-2</v>
      </c>
      <c r="L88" s="72">
        <v>2225000</v>
      </c>
      <c r="M88" s="79">
        <v>0</v>
      </c>
      <c r="N88" s="63">
        <f t="shared" si="17"/>
        <v>2225000</v>
      </c>
      <c r="O88" s="62">
        <f t="shared" si="14"/>
        <v>206742.12328767122</v>
      </c>
      <c r="P88" s="62">
        <f t="shared" si="15"/>
        <v>2018257.8767123288</v>
      </c>
      <c r="Q88" s="89">
        <v>0.1</v>
      </c>
      <c r="R88" s="62">
        <f t="shared" si="16"/>
        <v>1816432.0890410959</v>
      </c>
    </row>
    <row r="89" spans="2:18" ht="15" x14ac:dyDescent="0.2">
      <c r="B89" s="8">
        <v>87</v>
      </c>
      <c r="C89" s="78" t="s">
        <v>149</v>
      </c>
      <c r="D89" s="8" t="s">
        <v>44</v>
      </c>
      <c r="E89" s="71" t="s">
        <v>127</v>
      </c>
      <c r="F89" s="10">
        <v>44144</v>
      </c>
      <c r="G89" s="10">
        <v>44400</v>
      </c>
      <c r="H89" s="15">
        <f t="shared" si="12"/>
        <v>0.70136986301369864</v>
      </c>
      <c r="I89" s="8">
        <v>10</v>
      </c>
      <c r="J89" s="20">
        <v>0.05</v>
      </c>
      <c r="K89" s="22">
        <f t="shared" si="13"/>
        <v>9.5000000000000001E-2</v>
      </c>
      <c r="L89" s="72">
        <v>141500</v>
      </c>
      <c r="M89" s="79">
        <v>0</v>
      </c>
      <c r="N89" s="63">
        <f t="shared" si="17"/>
        <v>141500</v>
      </c>
      <c r="O89" s="64">
        <f t="shared" si="14"/>
        <v>9428.1643835616433</v>
      </c>
      <c r="P89" s="64">
        <f t="shared" si="15"/>
        <v>132071.83561643836</v>
      </c>
      <c r="Q89" s="65">
        <v>0.1</v>
      </c>
      <c r="R89" s="64">
        <f t="shared" si="16"/>
        <v>118864.65205479453</v>
      </c>
    </row>
    <row r="90" spans="2:18" ht="15" x14ac:dyDescent="0.2">
      <c r="B90" s="8">
        <v>88</v>
      </c>
      <c r="C90" s="78" t="s">
        <v>149</v>
      </c>
      <c r="D90" s="8" t="s">
        <v>44</v>
      </c>
      <c r="E90" s="71" t="s">
        <v>127</v>
      </c>
      <c r="F90" s="10">
        <v>44197</v>
      </c>
      <c r="G90" s="10">
        <v>44400</v>
      </c>
      <c r="H90" s="15">
        <f t="shared" si="12"/>
        <v>0.55616438356164388</v>
      </c>
      <c r="I90" s="8">
        <v>10</v>
      </c>
      <c r="J90" s="20">
        <v>0.05</v>
      </c>
      <c r="K90" s="22">
        <f t="shared" si="13"/>
        <v>9.5000000000000001E-2</v>
      </c>
      <c r="L90" s="72">
        <v>141500</v>
      </c>
      <c r="M90" s="79">
        <v>0</v>
      </c>
      <c r="N90" s="63">
        <f t="shared" si="17"/>
        <v>141500</v>
      </c>
      <c r="O90" s="64">
        <f t="shared" si="14"/>
        <v>7476.2397260273983</v>
      </c>
      <c r="P90" s="64">
        <f t="shared" si="15"/>
        <v>134023.76027397261</v>
      </c>
      <c r="Q90" s="65">
        <v>0.1</v>
      </c>
      <c r="R90" s="64">
        <f t="shared" si="16"/>
        <v>120621.38424657536</v>
      </c>
    </row>
    <row r="91" spans="2:18" ht="15" x14ac:dyDescent="0.2">
      <c r="B91" s="8">
        <v>89</v>
      </c>
      <c r="C91" s="78" t="s">
        <v>188</v>
      </c>
      <c r="D91" s="8" t="s">
        <v>44</v>
      </c>
      <c r="E91" s="71" t="s">
        <v>187</v>
      </c>
      <c r="F91" s="10">
        <v>44169</v>
      </c>
      <c r="G91" s="10">
        <v>44400</v>
      </c>
      <c r="H91" s="15">
        <f t="shared" si="12"/>
        <v>0.63287671232876708</v>
      </c>
      <c r="I91" s="8">
        <v>15</v>
      </c>
      <c r="J91" s="20">
        <v>0.05</v>
      </c>
      <c r="K91" s="22">
        <f t="shared" si="13"/>
        <v>6.3333333333333325E-2</v>
      </c>
      <c r="L91" s="72">
        <v>21765</v>
      </c>
      <c r="M91" s="79">
        <v>0</v>
      </c>
      <c r="N91" s="63">
        <f t="shared" si="17"/>
        <v>21765</v>
      </c>
      <c r="O91" s="64">
        <f t="shared" si="14"/>
        <v>872.38890410958891</v>
      </c>
      <c r="P91" s="64">
        <f t="shared" si="15"/>
        <v>20892.61109589041</v>
      </c>
      <c r="Q91" s="65">
        <v>0.1</v>
      </c>
      <c r="R91" s="64">
        <f t="shared" si="16"/>
        <v>18803.349986301371</v>
      </c>
    </row>
    <row r="92" spans="2:18" ht="15" x14ac:dyDescent="0.2">
      <c r="B92" s="8">
        <v>90</v>
      </c>
      <c r="C92" s="78" t="s">
        <v>192</v>
      </c>
      <c r="D92" s="8" t="s">
        <v>44</v>
      </c>
      <c r="E92" s="71" t="s">
        <v>191</v>
      </c>
      <c r="F92" s="10">
        <v>44182</v>
      </c>
      <c r="G92" s="10">
        <v>44400</v>
      </c>
      <c r="H92" s="15">
        <f t="shared" si="12"/>
        <v>0.59726027397260273</v>
      </c>
      <c r="I92" s="8">
        <v>6</v>
      </c>
      <c r="J92" s="20">
        <v>0.05</v>
      </c>
      <c r="K92" s="22">
        <f t="shared" si="13"/>
        <v>0.15833333333333333</v>
      </c>
      <c r="L92" s="72">
        <v>15000</v>
      </c>
      <c r="M92" s="79">
        <v>0</v>
      </c>
      <c r="N92" s="63">
        <f t="shared" si="17"/>
        <v>15000</v>
      </c>
      <c r="O92" s="64">
        <f t="shared" si="14"/>
        <v>1418.4931506849314</v>
      </c>
      <c r="P92" s="64">
        <f t="shared" si="15"/>
        <v>13581.506849315068</v>
      </c>
      <c r="Q92" s="65">
        <v>0.1</v>
      </c>
      <c r="R92" s="64">
        <f t="shared" si="16"/>
        <v>12223.356164383562</v>
      </c>
    </row>
    <row r="93" spans="2:18" ht="15" x14ac:dyDescent="0.2">
      <c r="B93" s="8">
        <v>91</v>
      </c>
      <c r="C93" s="78" t="s">
        <v>192</v>
      </c>
      <c r="D93" s="8" t="s">
        <v>44</v>
      </c>
      <c r="E93" s="71" t="s">
        <v>191</v>
      </c>
      <c r="F93" s="10">
        <v>44212</v>
      </c>
      <c r="G93" s="10">
        <v>44400</v>
      </c>
      <c r="H93" s="15">
        <f t="shared" si="12"/>
        <v>0.51506849315068493</v>
      </c>
      <c r="I93" s="8">
        <v>6</v>
      </c>
      <c r="J93" s="20">
        <v>0.05</v>
      </c>
      <c r="K93" s="22">
        <f t="shared" si="13"/>
        <v>0.15833333333333333</v>
      </c>
      <c r="L93" s="72">
        <v>9750</v>
      </c>
      <c r="M93" s="79">
        <v>0</v>
      </c>
      <c r="N93" s="63">
        <f t="shared" si="17"/>
        <v>9750</v>
      </c>
      <c r="O93" s="64">
        <f t="shared" si="14"/>
        <v>795.1369863013698</v>
      </c>
      <c r="P93" s="64">
        <f t="shared" si="15"/>
        <v>8954.8630136986303</v>
      </c>
      <c r="Q93" s="65">
        <v>0.1</v>
      </c>
      <c r="R93" s="64">
        <f t="shared" si="16"/>
        <v>8059.3767123287671</v>
      </c>
    </row>
    <row r="94" spans="2:18" ht="15" x14ac:dyDescent="0.2">
      <c r="B94" s="8">
        <v>92</v>
      </c>
      <c r="C94" s="78" t="s">
        <v>196</v>
      </c>
      <c r="D94" s="8" t="s">
        <v>44</v>
      </c>
      <c r="E94" s="71" t="s">
        <v>195</v>
      </c>
      <c r="F94" s="10">
        <v>44016</v>
      </c>
      <c r="G94" s="10">
        <v>44400</v>
      </c>
      <c r="H94" s="15">
        <f t="shared" si="12"/>
        <v>1.0520547945205478</v>
      </c>
      <c r="I94" s="8">
        <v>10</v>
      </c>
      <c r="J94" s="20">
        <v>0.05</v>
      </c>
      <c r="K94" s="22">
        <f t="shared" si="13"/>
        <v>9.5000000000000001E-2</v>
      </c>
      <c r="L94" s="72">
        <v>1500000</v>
      </c>
      <c r="M94" s="79">
        <v>0</v>
      </c>
      <c r="N94" s="63">
        <f t="shared" si="17"/>
        <v>1500000</v>
      </c>
      <c r="O94" s="64">
        <f t="shared" si="14"/>
        <v>149917.80821917806</v>
      </c>
      <c r="P94" s="64">
        <f t="shared" si="15"/>
        <v>1350082.1917808219</v>
      </c>
      <c r="Q94" s="65">
        <v>0.1</v>
      </c>
      <c r="R94" s="64">
        <f t="shared" si="16"/>
        <v>1215073.9726027397</v>
      </c>
    </row>
    <row r="95" spans="2:18" ht="15" x14ac:dyDescent="0.2">
      <c r="B95" s="8">
        <v>93</v>
      </c>
      <c r="C95" s="78" t="s">
        <v>196</v>
      </c>
      <c r="D95" s="8" t="s">
        <v>44</v>
      </c>
      <c r="E95" s="71" t="s">
        <v>195</v>
      </c>
      <c r="F95" s="10">
        <v>44034</v>
      </c>
      <c r="G95" s="10">
        <v>44400</v>
      </c>
      <c r="H95" s="15">
        <f t="shared" si="12"/>
        <v>1.0027397260273974</v>
      </c>
      <c r="I95" s="8">
        <v>10</v>
      </c>
      <c r="J95" s="20">
        <v>0.05</v>
      </c>
      <c r="K95" s="22">
        <f t="shared" si="13"/>
        <v>9.5000000000000001E-2</v>
      </c>
      <c r="L95" s="72">
        <v>1000000</v>
      </c>
      <c r="M95" s="79">
        <v>0</v>
      </c>
      <c r="N95" s="63">
        <f t="shared" si="17"/>
        <v>1000000</v>
      </c>
      <c r="O95" s="64">
        <f t="shared" si="14"/>
        <v>95260.27397260275</v>
      </c>
      <c r="P95" s="64">
        <f t="shared" si="15"/>
        <v>904739.72602739721</v>
      </c>
      <c r="Q95" s="65">
        <v>0.1</v>
      </c>
      <c r="R95" s="64">
        <f t="shared" si="16"/>
        <v>814265.75342465751</v>
      </c>
    </row>
    <row r="96" spans="2:18" ht="15" x14ac:dyDescent="0.2">
      <c r="B96" s="8">
        <v>94</v>
      </c>
      <c r="C96" s="78" t="s">
        <v>196</v>
      </c>
      <c r="D96" s="8" t="s">
        <v>44</v>
      </c>
      <c r="E96" s="71" t="s">
        <v>195</v>
      </c>
      <c r="F96" s="10">
        <v>44047</v>
      </c>
      <c r="G96" s="10">
        <v>44400</v>
      </c>
      <c r="H96" s="15">
        <f t="shared" si="12"/>
        <v>0.9671232876712329</v>
      </c>
      <c r="I96" s="8">
        <v>10</v>
      </c>
      <c r="J96" s="20">
        <v>0.05</v>
      </c>
      <c r="K96" s="22">
        <f t="shared" si="13"/>
        <v>9.5000000000000001E-2</v>
      </c>
      <c r="L96" s="72">
        <v>600000</v>
      </c>
      <c r="M96" s="79">
        <v>0</v>
      </c>
      <c r="N96" s="63">
        <f t="shared" si="17"/>
        <v>600000</v>
      </c>
      <c r="O96" s="64">
        <f t="shared" si="14"/>
        <v>55126.027397260274</v>
      </c>
      <c r="P96" s="64">
        <f t="shared" si="15"/>
        <v>544873.9726027397</v>
      </c>
      <c r="Q96" s="65">
        <v>0.1</v>
      </c>
      <c r="R96" s="64">
        <f t="shared" si="16"/>
        <v>490386.57534246572</v>
      </c>
    </row>
    <row r="97" spans="2:18" ht="15" x14ac:dyDescent="0.2">
      <c r="B97" s="8">
        <v>95</v>
      </c>
      <c r="C97" s="78" t="s">
        <v>196</v>
      </c>
      <c r="D97" s="8" t="s">
        <v>44</v>
      </c>
      <c r="E97" s="71" t="s">
        <v>195</v>
      </c>
      <c r="F97" s="10">
        <v>44061</v>
      </c>
      <c r="G97" s="10">
        <v>44400</v>
      </c>
      <c r="H97" s="15">
        <f t="shared" si="12"/>
        <v>0.92876712328767119</v>
      </c>
      <c r="I97" s="8">
        <v>10</v>
      </c>
      <c r="J97" s="20">
        <v>0.05</v>
      </c>
      <c r="K97" s="22">
        <f t="shared" si="13"/>
        <v>9.5000000000000001E-2</v>
      </c>
      <c r="L97" s="72">
        <v>600000</v>
      </c>
      <c r="M97" s="79">
        <v>0</v>
      </c>
      <c r="N97" s="63">
        <f t="shared" si="17"/>
        <v>600000</v>
      </c>
      <c r="O97" s="64">
        <f t="shared" si="14"/>
        <v>52939.726027397257</v>
      </c>
      <c r="P97" s="64">
        <f t="shared" si="15"/>
        <v>547060.27397260279</v>
      </c>
      <c r="Q97" s="65">
        <v>0.1</v>
      </c>
      <c r="R97" s="64">
        <f t="shared" si="16"/>
        <v>492354.24657534255</v>
      </c>
    </row>
    <row r="98" spans="2:18" ht="15" x14ac:dyDescent="0.2">
      <c r="B98" s="8">
        <v>96</v>
      </c>
      <c r="C98" s="78" t="s">
        <v>196</v>
      </c>
      <c r="D98" s="8" t="s">
        <v>44</v>
      </c>
      <c r="E98" s="71" t="s">
        <v>195</v>
      </c>
      <c r="F98" s="10">
        <v>44078</v>
      </c>
      <c r="G98" s="10">
        <v>44400</v>
      </c>
      <c r="H98" s="15">
        <f t="shared" si="12"/>
        <v>0.88219178082191785</v>
      </c>
      <c r="I98" s="8">
        <v>10</v>
      </c>
      <c r="J98" s="20">
        <v>0.05</v>
      </c>
      <c r="K98" s="22">
        <f t="shared" si="13"/>
        <v>9.5000000000000001E-2</v>
      </c>
      <c r="L98" s="72">
        <v>800000</v>
      </c>
      <c r="M98" s="79">
        <v>0</v>
      </c>
      <c r="N98" s="63">
        <f t="shared" si="17"/>
        <v>800000</v>
      </c>
      <c r="O98" s="64">
        <f t="shared" si="14"/>
        <v>67046.57534246576</v>
      </c>
      <c r="P98" s="64">
        <f t="shared" si="15"/>
        <v>732953.42465753423</v>
      </c>
      <c r="Q98" s="65">
        <v>0.1</v>
      </c>
      <c r="R98" s="64">
        <f t="shared" si="16"/>
        <v>659658.08219178079</v>
      </c>
    </row>
    <row r="99" spans="2:18" ht="15" x14ac:dyDescent="0.2">
      <c r="B99" s="8">
        <v>97</v>
      </c>
      <c r="C99" s="78" t="s">
        <v>196</v>
      </c>
      <c r="D99" s="8" t="s">
        <v>44</v>
      </c>
      <c r="E99" s="71" t="s">
        <v>195</v>
      </c>
      <c r="F99" s="10">
        <v>44082</v>
      </c>
      <c r="G99" s="10">
        <v>44400</v>
      </c>
      <c r="H99" s="15">
        <f t="shared" si="12"/>
        <v>0.87123287671232874</v>
      </c>
      <c r="I99" s="8">
        <v>10</v>
      </c>
      <c r="J99" s="20">
        <v>0.05</v>
      </c>
      <c r="K99" s="22">
        <f t="shared" si="13"/>
        <v>9.5000000000000001E-2</v>
      </c>
      <c r="L99" s="72">
        <v>600000</v>
      </c>
      <c r="M99" s="79">
        <v>0</v>
      </c>
      <c r="N99" s="63">
        <f t="shared" si="17"/>
        <v>600000</v>
      </c>
      <c r="O99" s="64">
        <f t="shared" si="14"/>
        <v>49660.273972602736</v>
      </c>
      <c r="P99" s="64">
        <f t="shared" si="15"/>
        <v>550339.72602739721</v>
      </c>
      <c r="Q99" s="65">
        <v>0.1</v>
      </c>
      <c r="R99" s="64">
        <f t="shared" si="16"/>
        <v>495305.75342465751</v>
      </c>
    </row>
    <row r="100" spans="2:18" ht="15" x14ac:dyDescent="0.2">
      <c r="B100" s="8">
        <v>98</v>
      </c>
      <c r="C100" s="78" t="s">
        <v>196</v>
      </c>
      <c r="D100" s="8" t="s">
        <v>44</v>
      </c>
      <c r="E100" s="71" t="s">
        <v>195</v>
      </c>
      <c r="F100" s="10">
        <v>44090</v>
      </c>
      <c r="G100" s="10">
        <v>44400</v>
      </c>
      <c r="H100" s="15">
        <f t="shared" si="12"/>
        <v>0.84931506849315064</v>
      </c>
      <c r="I100" s="8">
        <v>10</v>
      </c>
      <c r="J100" s="20">
        <v>0.05</v>
      </c>
      <c r="K100" s="22">
        <f t="shared" ref="K100:K131" si="18">(1-J100)/I100</f>
        <v>9.5000000000000001E-2</v>
      </c>
      <c r="L100" s="72">
        <v>400000</v>
      </c>
      <c r="M100" s="79">
        <v>0</v>
      </c>
      <c r="N100" s="63">
        <f t="shared" si="17"/>
        <v>400000</v>
      </c>
      <c r="O100" s="64">
        <f t="shared" ref="O100:O131" si="19">K100*N100*H100</f>
        <v>32273.972602739723</v>
      </c>
      <c r="P100" s="64">
        <f t="shared" ref="P100:P131" si="20">MAX(0,N100-O100)</f>
        <v>367726.0273972603</v>
      </c>
      <c r="Q100" s="65">
        <v>0.1</v>
      </c>
      <c r="R100" s="64">
        <f t="shared" ref="R100:R131" si="21">IF(P100&lt;=N100*J100,N100*J100,P100*(1-Q100))</f>
        <v>330953.42465753428</v>
      </c>
    </row>
    <row r="101" spans="2:18" ht="15" x14ac:dyDescent="0.2">
      <c r="B101" s="8">
        <v>99</v>
      </c>
      <c r="C101" s="78" t="s">
        <v>196</v>
      </c>
      <c r="D101" s="8" t="s">
        <v>44</v>
      </c>
      <c r="E101" s="71" t="s">
        <v>195</v>
      </c>
      <c r="F101" s="10">
        <v>44109</v>
      </c>
      <c r="G101" s="10">
        <v>44400</v>
      </c>
      <c r="H101" s="15">
        <f t="shared" si="12"/>
        <v>0.79726027397260268</v>
      </c>
      <c r="I101" s="8">
        <v>10</v>
      </c>
      <c r="J101" s="20">
        <v>0.05</v>
      </c>
      <c r="K101" s="22">
        <f t="shared" si="18"/>
        <v>9.5000000000000001E-2</v>
      </c>
      <c r="L101" s="72">
        <v>380000</v>
      </c>
      <c r="M101" s="79">
        <v>0</v>
      </c>
      <c r="N101" s="63">
        <f t="shared" si="17"/>
        <v>380000</v>
      </c>
      <c r="O101" s="64">
        <f t="shared" si="19"/>
        <v>28781.095890410958</v>
      </c>
      <c r="P101" s="64">
        <f t="shared" si="20"/>
        <v>351218.90410958906</v>
      </c>
      <c r="Q101" s="65">
        <v>0.1</v>
      </c>
      <c r="R101" s="64">
        <f t="shared" si="21"/>
        <v>316097.01369863015</v>
      </c>
    </row>
    <row r="102" spans="2:18" ht="15" x14ac:dyDescent="0.2">
      <c r="B102" s="8">
        <v>100</v>
      </c>
      <c r="C102" s="78" t="s">
        <v>196</v>
      </c>
      <c r="D102" s="8" t="s">
        <v>44</v>
      </c>
      <c r="E102" s="71" t="s">
        <v>195</v>
      </c>
      <c r="F102" s="10">
        <v>44118</v>
      </c>
      <c r="G102" s="10">
        <v>44400</v>
      </c>
      <c r="H102" s="15">
        <f t="shared" si="12"/>
        <v>0.77260273972602744</v>
      </c>
      <c r="I102" s="8">
        <v>10</v>
      </c>
      <c r="J102" s="20">
        <v>0.05</v>
      </c>
      <c r="K102" s="22">
        <f t="shared" si="18"/>
        <v>9.5000000000000001E-2</v>
      </c>
      <c r="L102" s="72">
        <v>20000</v>
      </c>
      <c r="M102" s="79">
        <v>0</v>
      </c>
      <c r="N102" s="63">
        <f t="shared" si="17"/>
        <v>20000</v>
      </c>
      <c r="O102" s="64">
        <f t="shared" si="19"/>
        <v>1467.9452054794522</v>
      </c>
      <c r="P102" s="64">
        <f t="shared" si="20"/>
        <v>18532.054794520547</v>
      </c>
      <c r="Q102" s="65">
        <v>0.1</v>
      </c>
      <c r="R102" s="64">
        <f t="shared" si="21"/>
        <v>16678.849315068492</v>
      </c>
    </row>
    <row r="103" spans="2:18" ht="15" x14ac:dyDescent="0.2">
      <c r="B103" s="8">
        <v>101</v>
      </c>
      <c r="C103" s="78" t="s">
        <v>208</v>
      </c>
      <c r="D103" s="8" t="s">
        <v>44</v>
      </c>
      <c r="E103" s="71" t="s">
        <v>207</v>
      </c>
      <c r="F103" s="10">
        <v>44072</v>
      </c>
      <c r="G103" s="10">
        <v>44400</v>
      </c>
      <c r="H103" s="15">
        <f t="shared" si="12"/>
        <v>0.89863013698630134</v>
      </c>
      <c r="I103" s="8">
        <v>10</v>
      </c>
      <c r="J103" s="20">
        <v>0.05</v>
      </c>
      <c r="K103" s="22">
        <f t="shared" si="18"/>
        <v>9.5000000000000001E-2</v>
      </c>
      <c r="L103" s="72">
        <v>1482317</v>
      </c>
      <c r="M103" s="79">
        <v>0</v>
      </c>
      <c r="N103" s="63">
        <f t="shared" si="17"/>
        <v>1482317</v>
      </c>
      <c r="O103" s="64">
        <f t="shared" si="19"/>
        <v>126545.19923287669</v>
      </c>
      <c r="P103" s="64">
        <f t="shared" si="20"/>
        <v>1355771.8007671232</v>
      </c>
      <c r="Q103" s="65">
        <v>0.1</v>
      </c>
      <c r="R103" s="64">
        <f t="shared" si="21"/>
        <v>1220194.620690411</v>
      </c>
    </row>
    <row r="104" spans="2:18" ht="15" x14ac:dyDescent="0.2">
      <c r="B104" s="8">
        <v>102</v>
      </c>
      <c r="C104" s="78" t="s">
        <v>208</v>
      </c>
      <c r="D104" s="8" t="s">
        <v>44</v>
      </c>
      <c r="E104" s="71" t="s">
        <v>207</v>
      </c>
      <c r="F104" s="10">
        <v>44055</v>
      </c>
      <c r="G104" s="10">
        <v>44400</v>
      </c>
      <c r="H104" s="15">
        <f t="shared" si="12"/>
        <v>0.9452054794520548</v>
      </c>
      <c r="I104" s="8">
        <v>10</v>
      </c>
      <c r="J104" s="20">
        <v>0.05</v>
      </c>
      <c r="K104" s="22">
        <f t="shared" si="18"/>
        <v>9.5000000000000001E-2</v>
      </c>
      <c r="L104" s="72">
        <v>1480576</v>
      </c>
      <c r="M104" s="79">
        <v>0</v>
      </c>
      <c r="N104" s="63">
        <f t="shared" si="17"/>
        <v>1480576</v>
      </c>
      <c r="O104" s="64">
        <f t="shared" si="19"/>
        <v>132947.61205479453</v>
      </c>
      <c r="P104" s="64">
        <f t="shared" si="20"/>
        <v>1347628.3879452054</v>
      </c>
      <c r="Q104" s="65">
        <v>0.1</v>
      </c>
      <c r="R104" s="64">
        <f t="shared" si="21"/>
        <v>1212865.5491506848</v>
      </c>
    </row>
    <row r="105" spans="2:18" ht="15" x14ac:dyDescent="0.2">
      <c r="B105" s="8">
        <v>103</v>
      </c>
      <c r="C105" s="78" t="s">
        <v>208</v>
      </c>
      <c r="D105" s="8" t="s">
        <v>44</v>
      </c>
      <c r="E105" s="71" t="s">
        <v>207</v>
      </c>
      <c r="F105" s="10">
        <v>44147</v>
      </c>
      <c r="G105" s="10">
        <v>44400</v>
      </c>
      <c r="H105" s="15">
        <f t="shared" si="12"/>
        <v>0.69315068493150689</v>
      </c>
      <c r="I105" s="8">
        <v>10</v>
      </c>
      <c r="J105" s="20">
        <v>0.05</v>
      </c>
      <c r="K105" s="22">
        <f t="shared" si="18"/>
        <v>9.5000000000000001E-2</v>
      </c>
      <c r="L105" s="72">
        <v>1045002</v>
      </c>
      <c r="M105" s="79">
        <v>0</v>
      </c>
      <c r="N105" s="63">
        <f t="shared" si="17"/>
        <v>1045002</v>
      </c>
      <c r="O105" s="64">
        <f t="shared" si="19"/>
        <v>68812.665945205488</v>
      </c>
      <c r="P105" s="64">
        <f t="shared" si="20"/>
        <v>976189.33405479451</v>
      </c>
      <c r="Q105" s="65">
        <v>0.1</v>
      </c>
      <c r="R105" s="64">
        <f t="shared" si="21"/>
        <v>878570.4006493151</v>
      </c>
    </row>
    <row r="106" spans="2:18" ht="15" x14ac:dyDescent="0.2">
      <c r="B106" s="8">
        <v>104</v>
      </c>
      <c r="C106" s="78" t="s">
        <v>208</v>
      </c>
      <c r="D106" s="8" t="s">
        <v>44</v>
      </c>
      <c r="E106" s="71" t="s">
        <v>207</v>
      </c>
      <c r="F106" s="10">
        <v>44147</v>
      </c>
      <c r="G106" s="10">
        <v>44400</v>
      </c>
      <c r="H106" s="15">
        <f t="shared" si="12"/>
        <v>0.69315068493150689</v>
      </c>
      <c r="I106" s="8">
        <v>10</v>
      </c>
      <c r="J106" s="20">
        <v>0.05</v>
      </c>
      <c r="K106" s="22">
        <f t="shared" si="18"/>
        <v>9.5000000000000001E-2</v>
      </c>
      <c r="L106" s="72">
        <v>1045002</v>
      </c>
      <c r="M106" s="79">
        <v>0</v>
      </c>
      <c r="N106" s="63">
        <f t="shared" si="17"/>
        <v>1045002</v>
      </c>
      <c r="O106" s="64">
        <f t="shared" si="19"/>
        <v>68812.665945205488</v>
      </c>
      <c r="P106" s="64">
        <f t="shared" si="20"/>
        <v>976189.33405479451</v>
      </c>
      <c r="Q106" s="65">
        <v>0.1</v>
      </c>
      <c r="R106" s="64">
        <f t="shared" si="21"/>
        <v>878570.4006493151</v>
      </c>
    </row>
    <row r="107" spans="2:18" ht="15" x14ac:dyDescent="0.2">
      <c r="B107" s="8">
        <v>105</v>
      </c>
      <c r="C107" s="78" t="s">
        <v>208</v>
      </c>
      <c r="D107" s="8" t="s">
        <v>44</v>
      </c>
      <c r="E107" s="71" t="s">
        <v>207</v>
      </c>
      <c r="F107" s="10">
        <v>44161</v>
      </c>
      <c r="G107" s="10">
        <v>44400</v>
      </c>
      <c r="H107" s="15">
        <f t="shared" si="12"/>
        <v>0.65479452054794518</v>
      </c>
      <c r="I107" s="8">
        <v>10</v>
      </c>
      <c r="J107" s="20">
        <v>0.05</v>
      </c>
      <c r="K107" s="22">
        <f t="shared" si="18"/>
        <v>9.5000000000000001E-2</v>
      </c>
      <c r="L107" s="72">
        <v>2477036</v>
      </c>
      <c r="M107" s="79">
        <v>0</v>
      </c>
      <c r="N107" s="63">
        <f t="shared" si="17"/>
        <v>2477036</v>
      </c>
      <c r="O107" s="64">
        <f t="shared" si="19"/>
        <v>154085.212</v>
      </c>
      <c r="P107" s="64">
        <f t="shared" si="20"/>
        <v>2322950.7880000002</v>
      </c>
      <c r="Q107" s="65">
        <v>0.1</v>
      </c>
      <c r="R107" s="64">
        <f t="shared" si="21"/>
        <v>2090655.7092000002</v>
      </c>
    </row>
    <row r="108" spans="2:18" ht="15" x14ac:dyDescent="0.2">
      <c r="B108" s="8">
        <v>106</v>
      </c>
      <c r="C108" s="78" t="s">
        <v>208</v>
      </c>
      <c r="D108" s="8" t="s">
        <v>44</v>
      </c>
      <c r="E108" s="71" t="s">
        <v>207</v>
      </c>
      <c r="F108" s="10">
        <v>44166</v>
      </c>
      <c r="G108" s="10">
        <v>44400</v>
      </c>
      <c r="H108" s="15">
        <f t="shared" si="12"/>
        <v>0.64109589041095894</v>
      </c>
      <c r="I108" s="8">
        <v>10</v>
      </c>
      <c r="J108" s="20">
        <v>0.05</v>
      </c>
      <c r="K108" s="22">
        <f t="shared" si="18"/>
        <v>9.5000000000000001E-2</v>
      </c>
      <c r="L108" s="72">
        <f>519117+13185</f>
        <v>532302</v>
      </c>
      <c r="M108" s="79">
        <v>0</v>
      </c>
      <c r="N108" s="63">
        <f t="shared" si="17"/>
        <v>532302</v>
      </c>
      <c r="O108" s="64">
        <f t="shared" si="19"/>
        <v>32419.379342465756</v>
      </c>
      <c r="P108" s="64">
        <f t="shared" si="20"/>
        <v>499882.62065753422</v>
      </c>
      <c r="Q108" s="65">
        <v>0.1</v>
      </c>
      <c r="R108" s="64">
        <f t="shared" si="21"/>
        <v>449894.35859178082</v>
      </c>
    </row>
    <row r="109" spans="2:18" ht="15" x14ac:dyDescent="0.2">
      <c r="B109" s="8">
        <v>107</v>
      </c>
      <c r="C109" s="78" t="s">
        <v>208</v>
      </c>
      <c r="D109" s="8" t="s">
        <v>44</v>
      </c>
      <c r="E109" s="71" t="s">
        <v>207</v>
      </c>
      <c r="F109" s="10">
        <v>44182</v>
      </c>
      <c r="G109" s="10">
        <v>44400</v>
      </c>
      <c r="H109" s="15">
        <f t="shared" si="12"/>
        <v>0.59726027397260273</v>
      </c>
      <c r="I109" s="8">
        <v>10</v>
      </c>
      <c r="J109" s="20">
        <v>0.05</v>
      </c>
      <c r="K109" s="22">
        <f t="shared" si="18"/>
        <v>9.5000000000000001E-2</v>
      </c>
      <c r="L109" s="72">
        <f>1226957+31164</f>
        <v>1258121</v>
      </c>
      <c r="M109" s="79">
        <v>0</v>
      </c>
      <c r="N109" s="63">
        <f t="shared" si="17"/>
        <v>1258121</v>
      </c>
      <c r="O109" s="64">
        <f t="shared" si="19"/>
        <v>71385.440849315069</v>
      </c>
      <c r="P109" s="64">
        <f t="shared" si="20"/>
        <v>1186735.5591506849</v>
      </c>
      <c r="Q109" s="65">
        <v>0.1</v>
      </c>
      <c r="R109" s="64">
        <f t="shared" si="21"/>
        <v>1068062.0032356165</v>
      </c>
    </row>
    <row r="110" spans="2:18" ht="15" x14ac:dyDescent="0.2">
      <c r="B110" s="8">
        <v>108</v>
      </c>
      <c r="C110" s="78" t="s">
        <v>214</v>
      </c>
      <c r="D110" s="8" t="s">
        <v>44</v>
      </c>
      <c r="E110" s="71" t="s">
        <v>207</v>
      </c>
      <c r="F110" s="10">
        <v>44005</v>
      </c>
      <c r="G110" s="10">
        <v>44400</v>
      </c>
      <c r="H110" s="15">
        <f t="shared" si="12"/>
        <v>1.0821917808219179</v>
      </c>
      <c r="I110" s="8">
        <v>8</v>
      </c>
      <c r="J110" s="20">
        <v>0.05</v>
      </c>
      <c r="K110" s="22">
        <f t="shared" si="18"/>
        <v>0.11874999999999999</v>
      </c>
      <c r="L110" s="72">
        <f>65825+2633</f>
        <v>68458</v>
      </c>
      <c r="M110" s="79">
        <v>0</v>
      </c>
      <c r="N110" s="63">
        <f t="shared" ref="N110:N141" si="22">L110*(1+M110)</f>
        <v>68458</v>
      </c>
      <c r="O110" s="64">
        <f t="shared" si="19"/>
        <v>8797.5563356164384</v>
      </c>
      <c r="P110" s="64">
        <f t="shared" si="20"/>
        <v>59660.443664383565</v>
      </c>
      <c r="Q110" s="65">
        <v>0.1</v>
      </c>
      <c r="R110" s="64">
        <f t="shared" si="21"/>
        <v>53694.399297945209</v>
      </c>
    </row>
    <row r="111" spans="2:18" ht="15" x14ac:dyDescent="0.2">
      <c r="B111" s="8">
        <v>109</v>
      </c>
      <c r="C111" s="78" t="s">
        <v>217</v>
      </c>
      <c r="D111" s="8" t="s">
        <v>44</v>
      </c>
      <c r="E111" s="71" t="s">
        <v>216</v>
      </c>
      <c r="F111" s="10">
        <v>44102</v>
      </c>
      <c r="G111" s="10">
        <v>44400</v>
      </c>
      <c r="H111" s="15">
        <f t="shared" si="12"/>
        <v>0.81643835616438354</v>
      </c>
      <c r="I111" s="8">
        <v>10</v>
      </c>
      <c r="J111" s="20">
        <v>0.05</v>
      </c>
      <c r="K111" s="22">
        <f t="shared" si="18"/>
        <v>9.5000000000000001E-2</v>
      </c>
      <c r="L111" s="72">
        <v>154000</v>
      </c>
      <c r="M111" s="79">
        <v>0</v>
      </c>
      <c r="N111" s="63">
        <f t="shared" si="22"/>
        <v>154000</v>
      </c>
      <c r="O111" s="64">
        <f t="shared" si="19"/>
        <v>11944.493150684932</v>
      </c>
      <c r="P111" s="64">
        <f t="shared" si="20"/>
        <v>142055.50684931508</v>
      </c>
      <c r="Q111" s="65">
        <v>0.1</v>
      </c>
      <c r="R111" s="64">
        <f t="shared" si="21"/>
        <v>127849.95616438358</v>
      </c>
    </row>
    <row r="112" spans="2:18" ht="15" x14ac:dyDescent="0.2">
      <c r="B112" s="8">
        <v>110</v>
      </c>
      <c r="C112" s="78" t="s">
        <v>220</v>
      </c>
      <c r="D112" s="8" t="s">
        <v>44</v>
      </c>
      <c r="E112" s="71" t="s">
        <v>219</v>
      </c>
      <c r="F112" s="10">
        <v>44001</v>
      </c>
      <c r="G112" s="10">
        <v>44400</v>
      </c>
      <c r="H112" s="15">
        <f t="shared" si="12"/>
        <v>1.0931506849315069</v>
      </c>
      <c r="I112" s="8">
        <v>10</v>
      </c>
      <c r="J112" s="20">
        <v>0.05</v>
      </c>
      <c r="K112" s="22">
        <f t="shared" si="18"/>
        <v>9.5000000000000001E-2</v>
      </c>
      <c r="L112" s="72">
        <v>594000</v>
      </c>
      <c r="M112" s="79">
        <v>0</v>
      </c>
      <c r="N112" s="63">
        <f t="shared" si="22"/>
        <v>594000</v>
      </c>
      <c r="O112" s="64">
        <f t="shared" si="19"/>
        <v>61686.493150684932</v>
      </c>
      <c r="P112" s="64">
        <f t="shared" si="20"/>
        <v>532313.50684931502</v>
      </c>
      <c r="Q112" s="65">
        <v>0.1</v>
      </c>
      <c r="R112" s="64">
        <f t="shared" si="21"/>
        <v>479082.15616438352</v>
      </c>
    </row>
    <row r="113" spans="2:18" ht="15" x14ac:dyDescent="0.2">
      <c r="B113" s="8">
        <v>111</v>
      </c>
      <c r="C113" s="78" t="s">
        <v>224</v>
      </c>
      <c r="D113" s="8" t="s">
        <v>44</v>
      </c>
      <c r="E113" s="71" t="s">
        <v>223</v>
      </c>
      <c r="F113" s="10">
        <v>44265</v>
      </c>
      <c r="G113" s="10">
        <v>44400</v>
      </c>
      <c r="H113" s="15">
        <f t="shared" si="12"/>
        <v>0.36986301369863012</v>
      </c>
      <c r="I113" s="8">
        <v>8</v>
      </c>
      <c r="J113" s="20">
        <v>0.05</v>
      </c>
      <c r="K113" s="22">
        <f t="shared" si="18"/>
        <v>0.11874999999999999</v>
      </c>
      <c r="L113" s="72">
        <v>175000</v>
      </c>
      <c r="M113" s="79">
        <v>0</v>
      </c>
      <c r="N113" s="63">
        <f t="shared" si="22"/>
        <v>175000</v>
      </c>
      <c r="O113" s="64">
        <f t="shared" si="19"/>
        <v>7686.2157534246571</v>
      </c>
      <c r="P113" s="64">
        <f t="shared" si="20"/>
        <v>167313.78424657535</v>
      </c>
      <c r="Q113" s="65">
        <v>0.1</v>
      </c>
      <c r="R113" s="64">
        <f t="shared" si="21"/>
        <v>150582.40582191781</v>
      </c>
    </row>
    <row r="114" spans="2:18" ht="30" x14ac:dyDescent="0.2">
      <c r="B114" s="8">
        <v>112</v>
      </c>
      <c r="C114" s="78" t="s">
        <v>275</v>
      </c>
      <c r="D114" s="8" t="s">
        <v>44</v>
      </c>
      <c r="E114" s="71" t="s">
        <v>53</v>
      </c>
      <c r="F114" s="10">
        <v>44055</v>
      </c>
      <c r="G114" s="10">
        <v>44400</v>
      </c>
      <c r="H114" s="15">
        <f t="shared" si="12"/>
        <v>0.9452054794520548</v>
      </c>
      <c r="I114" s="8">
        <v>15</v>
      </c>
      <c r="J114" s="20">
        <v>0.05</v>
      </c>
      <c r="K114" s="22">
        <f t="shared" si="18"/>
        <v>6.3333333333333325E-2</v>
      </c>
      <c r="L114" s="72">
        <v>700000</v>
      </c>
      <c r="M114" s="79">
        <v>0</v>
      </c>
      <c r="N114" s="63">
        <f t="shared" si="22"/>
        <v>700000</v>
      </c>
      <c r="O114" s="64">
        <f t="shared" si="19"/>
        <v>41904.109589041094</v>
      </c>
      <c r="P114" s="64">
        <f t="shared" si="20"/>
        <v>658095.89041095891</v>
      </c>
      <c r="Q114" s="65">
        <v>0.1</v>
      </c>
      <c r="R114" s="64">
        <f t="shared" si="21"/>
        <v>592286.30136986298</v>
      </c>
    </row>
    <row r="115" spans="2:18" ht="30" x14ac:dyDescent="0.2">
      <c r="B115" s="8">
        <v>113</v>
      </c>
      <c r="C115" s="78" t="s">
        <v>275</v>
      </c>
      <c r="D115" s="8" t="s">
        <v>44</v>
      </c>
      <c r="E115" s="71" t="s">
        <v>53</v>
      </c>
      <c r="F115" s="10">
        <v>44055</v>
      </c>
      <c r="G115" s="10">
        <v>44400</v>
      </c>
      <c r="H115" s="15">
        <f t="shared" si="12"/>
        <v>0.9452054794520548</v>
      </c>
      <c r="I115" s="8">
        <v>15</v>
      </c>
      <c r="J115" s="20">
        <v>0.05</v>
      </c>
      <c r="K115" s="22">
        <f t="shared" si="18"/>
        <v>6.3333333333333325E-2</v>
      </c>
      <c r="L115" s="72">
        <v>1000000</v>
      </c>
      <c r="M115" s="79">
        <v>0</v>
      </c>
      <c r="N115" s="63">
        <f t="shared" si="22"/>
        <v>1000000</v>
      </c>
      <c r="O115" s="64">
        <f t="shared" si="19"/>
        <v>59863.013698630122</v>
      </c>
      <c r="P115" s="64">
        <f t="shared" si="20"/>
        <v>940136.98630136985</v>
      </c>
      <c r="Q115" s="65">
        <v>0.1</v>
      </c>
      <c r="R115" s="64">
        <f t="shared" si="21"/>
        <v>846123.28767123283</v>
      </c>
    </row>
    <row r="116" spans="2:18" ht="30" x14ac:dyDescent="0.2">
      <c r="B116" s="8">
        <v>114</v>
      </c>
      <c r="C116" s="78" t="s">
        <v>275</v>
      </c>
      <c r="D116" s="8" t="s">
        <v>44</v>
      </c>
      <c r="E116" s="71" t="s">
        <v>53</v>
      </c>
      <c r="F116" s="10">
        <v>44055</v>
      </c>
      <c r="G116" s="10">
        <v>44400</v>
      </c>
      <c r="H116" s="15">
        <f t="shared" si="12"/>
        <v>0.9452054794520548</v>
      </c>
      <c r="I116" s="8">
        <v>15</v>
      </c>
      <c r="J116" s="20">
        <v>0.05</v>
      </c>
      <c r="K116" s="22">
        <f t="shared" si="18"/>
        <v>6.3333333333333325E-2</v>
      </c>
      <c r="L116" s="72">
        <v>700000</v>
      </c>
      <c r="M116" s="79">
        <v>0</v>
      </c>
      <c r="N116" s="63">
        <f t="shared" si="22"/>
        <v>700000</v>
      </c>
      <c r="O116" s="64">
        <f t="shared" si="19"/>
        <v>41904.109589041094</v>
      </c>
      <c r="P116" s="64">
        <f t="shared" si="20"/>
        <v>658095.89041095891</v>
      </c>
      <c r="Q116" s="65">
        <v>0.1</v>
      </c>
      <c r="R116" s="64">
        <f t="shared" si="21"/>
        <v>592286.30136986298</v>
      </c>
    </row>
    <row r="117" spans="2:18" ht="30" x14ac:dyDescent="0.2">
      <c r="B117" s="8">
        <v>115</v>
      </c>
      <c r="C117" s="78" t="s">
        <v>275</v>
      </c>
      <c r="D117" s="8" t="s">
        <v>44</v>
      </c>
      <c r="E117" s="71" t="s">
        <v>53</v>
      </c>
      <c r="F117" s="10">
        <v>44082</v>
      </c>
      <c r="G117" s="10">
        <v>44400</v>
      </c>
      <c r="H117" s="15">
        <f t="shared" si="12"/>
        <v>0.87123287671232874</v>
      </c>
      <c r="I117" s="8">
        <v>15</v>
      </c>
      <c r="J117" s="20">
        <v>0.05</v>
      </c>
      <c r="K117" s="22">
        <f t="shared" si="18"/>
        <v>6.3333333333333325E-2</v>
      </c>
      <c r="L117" s="72">
        <v>975000</v>
      </c>
      <c r="M117" s="79">
        <v>0</v>
      </c>
      <c r="N117" s="63">
        <f t="shared" si="22"/>
        <v>975000</v>
      </c>
      <c r="O117" s="64">
        <f t="shared" si="19"/>
        <v>53798.630136986292</v>
      </c>
      <c r="P117" s="64">
        <f t="shared" si="20"/>
        <v>921201.36986301374</v>
      </c>
      <c r="Q117" s="65">
        <v>0.1</v>
      </c>
      <c r="R117" s="64">
        <f t="shared" si="21"/>
        <v>829081.23287671234</v>
      </c>
    </row>
    <row r="118" spans="2:18" ht="30" x14ac:dyDescent="0.2">
      <c r="B118" s="8">
        <v>116</v>
      </c>
      <c r="C118" s="78" t="s">
        <v>275</v>
      </c>
      <c r="D118" s="8" t="s">
        <v>44</v>
      </c>
      <c r="E118" s="71" t="s">
        <v>53</v>
      </c>
      <c r="F118" s="10">
        <v>44082</v>
      </c>
      <c r="G118" s="10">
        <v>44400</v>
      </c>
      <c r="H118" s="15">
        <f t="shared" si="12"/>
        <v>0.87123287671232874</v>
      </c>
      <c r="I118" s="8">
        <v>15</v>
      </c>
      <c r="J118" s="20">
        <v>0.05</v>
      </c>
      <c r="K118" s="22">
        <f t="shared" si="18"/>
        <v>6.3333333333333325E-2</v>
      </c>
      <c r="L118" s="72">
        <v>525000</v>
      </c>
      <c r="M118" s="79">
        <v>0</v>
      </c>
      <c r="N118" s="63">
        <f t="shared" si="22"/>
        <v>525000</v>
      </c>
      <c r="O118" s="64">
        <f t="shared" si="19"/>
        <v>28968.493150684924</v>
      </c>
      <c r="P118" s="64">
        <f t="shared" si="20"/>
        <v>496031.50684931508</v>
      </c>
      <c r="Q118" s="65">
        <v>0.1</v>
      </c>
      <c r="R118" s="64">
        <f t="shared" si="21"/>
        <v>446428.35616438359</v>
      </c>
    </row>
    <row r="119" spans="2:18" ht="30" x14ac:dyDescent="0.2">
      <c r="B119" s="8">
        <v>117</v>
      </c>
      <c r="C119" s="78" t="s">
        <v>275</v>
      </c>
      <c r="D119" s="8" t="s">
        <v>44</v>
      </c>
      <c r="E119" s="71" t="s">
        <v>53</v>
      </c>
      <c r="F119" s="10">
        <v>44089</v>
      </c>
      <c r="G119" s="10">
        <v>44400</v>
      </c>
      <c r="H119" s="15">
        <f t="shared" si="12"/>
        <v>0.852054794520548</v>
      </c>
      <c r="I119" s="8">
        <v>15</v>
      </c>
      <c r="J119" s="20">
        <v>0.05</v>
      </c>
      <c r="K119" s="22">
        <f t="shared" si="18"/>
        <v>6.3333333333333325E-2</v>
      </c>
      <c r="L119" s="72">
        <v>600000</v>
      </c>
      <c r="M119" s="79">
        <v>0</v>
      </c>
      <c r="N119" s="63">
        <f t="shared" si="22"/>
        <v>600000</v>
      </c>
      <c r="O119" s="64">
        <f t="shared" si="19"/>
        <v>32378.082191780817</v>
      </c>
      <c r="P119" s="64">
        <f t="shared" si="20"/>
        <v>567621.91780821921</v>
      </c>
      <c r="Q119" s="65">
        <v>0.1</v>
      </c>
      <c r="R119" s="64">
        <f t="shared" si="21"/>
        <v>510859.72602739732</v>
      </c>
    </row>
    <row r="120" spans="2:18" ht="30" x14ac:dyDescent="0.2">
      <c r="B120" s="8">
        <v>118</v>
      </c>
      <c r="C120" s="78" t="s">
        <v>275</v>
      </c>
      <c r="D120" s="8" t="s">
        <v>44</v>
      </c>
      <c r="E120" s="71" t="s">
        <v>53</v>
      </c>
      <c r="F120" s="10">
        <v>44089</v>
      </c>
      <c r="G120" s="10">
        <v>44400</v>
      </c>
      <c r="H120" s="15">
        <f t="shared" si="12"/>
        <v>0.852054794520548</v>
      </c>
      <c r="I120" s="8">
        <v>15</v>
      </c>
      <c r="J120" s="20">
        <v>0.05</v>
      </c>
      <c r="K120" s="22">
        <f t="shared" si="18"/>
        <v>6.3333333333333325E-2</v>
      </c>
      <c r="L120" s="72">
        <v>525000</v>
      </c>
      <c r="M120" s="79">
        <v>0</v>
      </c>
      <c r="N120" s="63">
        <f t="shared" si="22"/>
        <v>525000</v>
      </c>
      <c r="O120" s="64">
        <f t="shared" si="19"/>
        <v>28330.821917808214</v>
      </c>
      <c r="P120" s="64">
        <f t="shared" si="20"/>
        <v>496669.17808219179</v>
      </c>
      <c r="Q120" s="65">
        <v>0.1</v>
      </c>
      <c r="R120" s="64">
        <f t="shared" si="21"/>
        <v>447002.26027397264</v>
      </c>
    </row>
    <row r="121" spans="2:18" ht="30" x14ac:dyDescent="0.2">
      <c r="B121" s="8">
        <v>119</v>
      </c>
      <c r="C121" s="78" t="s">
        <v>275</v>
      </c>
      <c r="D121" s="8" t="s">
        <v>44</v>
      </c>
      <c r="E121" s="71" t="s">
        <v>53</v>
      </c>
      <c r="F121" s="10">
        <v>44105</v>
      </c>
      <c r="G121" s="10">
        <v>44400</v>
      </c>
      <c r="H121" s="15">
        <f t="shared" si="12"/>
        <v>0.80821917808219179</v>
      </c>
      <c r="I121" s="8">
        <v>15</v>
      </c>
      <c r="J121" s="20">
        <v>0.05</v>
      </c>
      <c r="K121" s="22">
        <f t="shared" si="18"/>
        <v>6.3333333333333325E-2</v>
      </c>
      <c r="L121" s="72">
        <v>175000</v>
      </c>
      <c r="M121" s="79">
        <v>0</v>
      </c>
      <c r="N121" s="63">
        <f t="shared" si="22"/>
        <v>175000</v>
      </c>
      <c r="O121" s="64">
        <f t="shared" si="19"/>
        <v>8957.7625570776254</v>
      </c>
      <c r="P121" s="64">
        <f t="shared" si="20"/>
        <v>166042.23744292237</v>
      </c>
      <c r="Q121" s="65">
        <v>0.1</v>
      </c>
      <c r="R121" s="64">
        <f t="shared" si="21"/>
        <v>149438.01369863015</v>
      </c>
    </row>
    <row r="122" spans="2:18" ht="30" x14ac:dyDescent="0.2">
      <c r="B122" s="8">
        <v>120</v>
      </c>
      <c r="C122" s="78" t="s">
        <v>275</v>
      </c>
      <c r="D122" s="8" t="s">
        <v>44</v>
      </c>
      <c r="E122" s="71" t="s">
        <v>53</v>
      </c>
      <c r="F122" s="10">
        <v>44105</v>
      </c>
      <c r="G122" s="10">
        <v>44400</v>
      </c>
      <c r="H122" s="15">
        <f t="shared" si="12"/>
        <v>0.80821917808219179</v>
      </c>
      <c r="I122" s="8">
        <v>15</v>
      </c>
      <c r="J122" s="20">
        <v>0.05</v>
      </c>
      <c r="K122" s="22">
        <f t="shared" si="18"/>
        <v>6.3333333333333325E-2</v>
      </c>
      <c r="L122" s="72">
        <v>1875000</v>
      </c>
      <c r="M122" s="79">
        <v>0</v>
      </c>
      <c r="N122" s="63">
        <f t="shared" si="22"/>
        <v>1875000</v>
      </c>
      <c r="O122" s="64">
        <f t="shared" si="19"/>
        <v>95976.027397260259</v>
      </c>
      <c r="P122" s="64">
        <f t="shared" si="20"/>
        <v>1779023.9726027397</v>
      </c>
      <c r="Q122" s="65">
        <v>0.1</v>
      </c>
      <c r="R122" s="64">
        <f t="shared" si="21"/>
        <v>1601121.5753424657</v>
      </c>
    </row>
    <row r="123" spans="2:18" ht="30" x14ac:dyDescent="0.2">
      <c r="B123" s="8">
        <v>121</v>
      </c>
      <c r="C123" s="78" t="s">
        <v>275</v>
      </c>
      <c r="D123" s="8" t="s">
        <v>44</v>
      </c>
      <c r="E123" s="71" t="s">
        <v>53</v>
      </c>
      <c r="F123" s="10">
        <v>44113</v>
      </c>
      <c r="G123" s="10">
        <v>44400</v>
      </c>
      <c r="H123" s="15">
        <f t="shared" si="12"/>
        <v>0.78630136986301369</v>
      </c>
      <c r="I123" s="8">
        <v>15</v>
      </c>
      <c r="J123" s="20">
        <v>0.05</v>
      </c>
      <c r="K123" s="22">
        <f t="shared" si="18"/>
        <v>6.3333333333333325E-2</v>
      </c>
      <c r="L123" s="72">
        <v>131000</v>
      </c>
      <c r="M123" s="79">
        <v>0</v>
      </c>
      <c r="N123" s="63">
        <f t="shared" si="22"/>
        <v>131000</v>
      </c>
      <c r="O123" s="64">
        <f t="shared" si="19"/>
        <v>6523.6803652968028</v>
      </c>
      <c r="P123" s="64">
        <f t="shared" si="20"/>
        <v>124476.31963470319</v>
      </c>
      <c r="Q123" s="65">
        <v>0.1</v>
      </c>
      <c r="R123" s="64">
        <f t="shared" si="21"/>
        <v>112028.68767123288</v>
      </c>
    </row>
    <row r="124" spans="2:18" ht="30" x14ac:dyDescent="0.2">
      <c r="B124" s="8">
        <v>122</v>
      </c>
      <c r="C124" s="78" t="s">
        <v>275</v>
      </c>
      <c r="D124" s="8" t="s">
        <v>44</v>
      </c>
      <c r="E124" s="71" t="s">
        <v>53</v>
      </c>
      <c r="F124" s="10">
        <v>44113</v>
      </c>
      <c r="G124" s="10">
        <v>44400</v>
      </c>
      <c r="H124" s="15">
        <f t="shared" si="12"/>
        <v>0.78630136986301369</v>
      </c>
      <c r="I124" s="8">
        <v>15</v>
      </c>
      <c r="J124" s="20">
        <v>0.05</v>
      </c>
      <c r="K124" s="22">
        <f t="shared" si="18"/>
        <v>6.3333333333333325E-2</v>
      </c>
      <c r="L124" s="72">
        <v>150000</v>
      </c>
      <c r="M124" s="79">
        <v>0</v>
      </c>
      <c r="N124" s="63">
        <f t="shared" si="22"/>
        <v>150000</v>
      </c>
      <c r="O124" s="64">
        <f t="shared" si="19"/>
        <v>7469.8630136986285</v>
      </c>
      <c r="P124" s="64">
        <f t="shared" si="20"/>
        <v>142530.13698630137</v>
      </c>
      <c r="Q124" s="65">
        <v>0.1</v>
      </c>
      <c r="R124" s="64">
        <f t="shared" si="21"/>
        <v>128277.12328767123</v>
      </c>
    </row>
    <row r="125" spans="2:18" ht="30" x14ac:dyDescent="0.2">
      <c r="B125" s="8">
        <v>123</v>
      </c>
      <c r="C125" s="78" t="s">
        <v>275</v>
      </c>
      <c r="D125" s="8" t="s">
        <v>44</v>
      </c>
      <c r="E125" s="71" t="s">
        <v>53</v>
      </c>
      <c r="F125" s="10">
        <v>44114</v>
      </c>
      <c r="G125" s="10">
        <v>44400</v>
      </c>
      <c r="H125" s="15">
        <f t="shared" si="12"/>
        <v>0.78356164383561644</v>
      </c>
      <c r="I125" s="8">
        <v>15</v>
      </c>
      <c r="J125" s="20">
        <v>0.05</v>
      </c>
      <c r="K125" s="22">
        <f t="shared" si="18"/>
        <v>6.3333333333333325E-2</v>
      </c>
      <c r="L125" s="72">
        <f>160000</f>
        <v>160000</v>
      </c>
      <c r="M125" s="79">
        <v>0</v>
      </c>
      <c r="N125" s="63">
        <f t="shared" si="22"/>
        <v>160000</v>
      </c>
      <c r="O125" s="64">
        <f t="shared" si="19"/>
        <v>7940.0913242009119</v>
      </c>
      <c r="P125" s="64">
        <f t="shared" si="20"/>
        <v>152059.90867579909</v>
      </c>
      <c r="Q125" s="65">
        <v>0.1</v>
      </c>
      <c r="R125" s="64">
        <f t="shared" si="21"/>
        <v>136853.91780821918</v>
      </c>
    </row>
    <row r="126" spans="2:18" ht="30" x14ac:dyDescent="0.2">
      <c r="B126" s="8">
        <v>124</v>
      </c>
      <c r="C126" s="78" t="s">
        <v>275</v>
      </c>
      <c r="D126" s="8" t="s">
        <v>44</v>
      </c>
      <c r="E126" s="71" t="s">
        <v>53</v>
      </c>
      <c r="F126" s="10">
        <v>44117</v>
      </c>
      <c r="G126" s="10">
        <v>44400</v>
      </c>
      <c r="H126" s="15">
        <f t="shared" si="12"/>
        <v>0.77534246575342469</v>
      </c>
      <c r="I126" s="8">
        <v>15</v>
      </c>
      <c r="J126" s="20">
        <v>0.05</v>
      </c>
      <c r="K126" s="22">
        <f t="shared" si="18"/>
        <v>6.3333333333333325E-2</v>
      </c>
      <c r="L126" s="72">
        <v>620000</v>
      </c>
      <c r="M126" s="79">
        <v>0</v>
      </c>
      <c r="N126" s="63">
        <f t="shared" si="22"/>
        <v>620000</v>
      </c>
      <c r="O126" s="64">
        <f t="shared" si="19"/>
        <v>30445.11415525114</v>
      </c>
      <c r="P126" s="64">
        <f t="shared" si="20"/>
        <v>589554.88584474882</v>
      </c>
      <c r="Q126" s="65">
        <v>0.1</v>
      </c>
      <c r="R126" s="64">
        <f t="shared" si="21"/>
        <v>530599.39726027392</v>
      </c>
    </row>
    <row r="127" spans="2:18" ht="15" x14ac:dyDescent="0.2">
      <c r="B127" s="8">
        <v>125</v>
      </c>
      <c r="C127" s="78" t="s">
        <v>232</v>
      </c>
      <c r="D127" s="8" t="s">
        <v>44</v>
      </c>
      <c r="E127" s="71" t="s">
        <v>231</v>
      </c>
      <c r="F127" s="10">
        <v>44124</v>
      </c>
      <c r="G127" s="10">
        <v>44400</v>
      </c>
      <c r="H127" s="15">
        <f t="shared" si="12"/>
        <v>0.75616438356164384</v>
      </c>
      <c r="I127" s="8">
        <v>8</v>
      </c>
      <c r="J127" s="20">
        <v>0.05</v>
      </c>
      <c r="K127" s="22">
        <f t="shared" si="18"/>
        <v>0.11874999999999999</v>
      </c>
      <c r="L127" s="72">
        <v>1477720.4</v>
      </c>
      <c r="M127" s="79">
        <v>0</v>
      </c>
      <c r="N127" s="63">
        <f t="shared" si="22"/>
        <v>1477720.4</v>
      </c>
      <c r="O127" s="64">
        <f t="shared" si="19"/>
        <v>132691.1948219178</v>
      </c>
      <c r="P127" s="64">
        <f t="shared" si="20"/>
        <v>1345029.205178082</v>
      </c>
      <c r="Q127" s="65">
        <v>0.1</v>
      </c>
      <c r="R127" s="64">
        <f t="shared" si="21"/>
        <v>1210526.2846602739</v>
      </c>
    </row>
    <row r="128" spans="2:18" ht="15" x14ac:dyDescent="0.2">
      <c r="B128" s="8">
        <v>126</v>
      </c>
      <c r="C128" s="78" t="s">
        <v>235</v>
      </c>
      <c r="D128" s="8" t="s">
        <v>44</v>
      </c>
      <c r="E128" s="71" t="s">
        <v>234</v>
      </c>
      <c r="F128" s="10">
        <v>44010</v>
      </c>
      <c r="G128" s="10">
        <v>44400</v>
      </c>
      <c r="H128" s="15">
        <f>(G128-F128)/365</f>
        <v>1.0684931506849316</v>
      </c>
      <c r="I128" s="8">
        <v>6</v>
      </c>
      <c r="J128" s="20">
        <v>0.05</v>
      </c>
      <c r="K128" s="22">
        <f t="shared" si="18"/>
        <v>0.15833333333333333</v>
      </c>
      <c r="L128" s="72">
        <v>24238.62</v>
      </c>
      <c r="M128" s="79">
        <v>0</v>
      </c>
      <c r="N128" s="63">
        <f t="shared" si="22"/>
        <v>24238.62</v>
      </c>
      <c r="O128" s="64">
        <f t="shared" si="19"/>
        <v>4100.6432465753423</v>
      </c>
      <c r="P128" s="64">
        <f t="shared" si="20"/>
        <v>20137.976753424657</v>
      </c>
      <c r="Q128" s="65">
        <v>0.1</v>
      </c>
      <c r="R128" s="64">
        <f t="shared" si="21"/>
        <v>18124.17907808219</v>
      </c>
    </row>
    <row r="129" spans="2:18" ht="15" x14ac:dyDescent="0.2">
      <c r="B129" s="8">
        <v>127</v>
      </c>
      <c r="C129" s="78" t="s">
        <v>235</v>
      </c>
      <c r="D129" s="8" t="s">
        <v>44</v>
      </c>
      <c r="E129" s="71" t="s">
        <v>234</v>
      </c>
      <c r="F129" s="10">
        <v>44010</v>
      </c>
      <c r="G129" s="10">
        <v>44400</v>
      </c>
      <c r="H129" s="15">
        <f t="shared" si="12"/>
        <v>1.0684931506849316</v>
      </c>
      <c r="I129" s="8">
        <v>6</v>
      </c>
      <c r="J129" s="20">
        <v>0.05</v>
      </c>
      <c r="K129" s="22">
        <f t="shared" si="18"/>
        <v>0.15833333333333333</v>
      </c>
      <c r="L129" s="72">
        <v>26113.62</v>
      </c>
      <c r="M129" s="79">
        <v>0</v>
      </c>
      <c r="N129" s="63">
        <f t="shared" si="22"/>
        <v>26113.62</v>
      </c>
      <c r="O129" s="64">
        <f t="shared" si="19"/>
        <v>4417.852150684932</v>
      </c>
      <c r="P129" s="64">
        <f t="shared" si="20"/>
        <v>21695.767849315067</v>
      </c>
      <c r="Q129" s="65">
        <v>0.1</v>
      </c>
      <c r="R129" s="64">
        <f t="shared" si="21"/>
        <v>19526.191064383562</v>
      </c>
    </row>
    <row r="130" spans="2:18" ht="15" x14ac:dyDescent="0.2">
      <c r="B130" s="8">
        <v>128</v>
      </c>
      <c r="C130" s="78" t="s">
        <v>235</v>
      </c>
      <c r="D130" s="8" t="s">
        <v>44</v>
      </c>
      <c r="E130" s="71" t="s">
        <v>234</v>
      </c>
      <c r="F130" s="10">
        <v>44082</v>
      </c>
      <c r="G130" s="10">
        <v>44400</v>
      </c>
      <c r="H130" s="15">
        <f t="shared" si="12"/>
        <v>0.87123287671232874</v>
      </c>
      <c r="I130" s="8">
        <v>6</v>
      </c>
      <c r="J130" s="20">
        <v>0.05</v>
      </c>
      <c r="K130" s="22">
        <f t="shared" si="18"/>
        <v>0.15833333333333333</v>
      </c>
      <c r="L130" s="72">
        <v>24218.74</v>
      </c>
      <c r="M130" s="79">
        <v>0</v>
      </c>
      <c r="N130" s="63">
        <f t="shared" si="22"/>
        <v>24218.74</v>
      </c>
      <c r="O130" s="64">
        <f t="shared" si="19"/>
        <v>3340.8590657534246</v>
      </c>
      <c r="P130" s="64">
        <f t="shared" si="20"/>
        <v>20877.880934246576</v>
      </c>
      <c r="Q130" s="65">
        <v>0.1</v>
      </c>
      <c r="R130" s="64">
        <f t="shared" si="21"/>
        <v>18790.092840821919</v>
      </c>
    </row>
    <row r="131" spans="2:18" ht="15" x14ac:dyDescent="0.2">
      <c r="B131" s="8">
        <v>129</v>
      </c>
      <c r="C131" s="78" t="s">
        <v>238</v>
      </c>
      <c r="D131" s="8" t="s">
        <v>44</v>
      </c>
      <c r="E131" s="71" t="s">
        <v>234</v>
      </c>
      <c r="F131" s="10">
        <v>43998</v>
      </c>
      <c r="G131" s="10">
        <v>44400</v>
      </c>
      <c r="H131" s="15">
        <f t="shared" ref="H131:H147" si="23">(G131-F131)/365</f>
        <v>1.1013698630136985</v>
      </c>
      <c r="I131" s="8">
        <v>5</v>
      </c>
      <c r="J131" s="20">
        <v>0.05</v>
      </c>
      <c r="K131" s="22">
        <f t="shared" si="18"/>
        <v>0.19</v>
      </c>
      <c r="L131" s="72">
        <v>107031.24</v>
      </c>
      <c r="M131" s="79">
        <v>0</v>
      </c>
      <c r="N131" s="63">
        <f t="shared" si="22"/>
        <v>107031.24</v>
      </c>
      <c r="O131" s="64">
        <f t="shared" si="19"/>
        <v>22397.386606027398</v>
      </c>
      <c r="P131" s="64">
        <f t="shared" si="20"/>
        <v>84633.853393972604</v>
      </c>
      <c r="Q131" s="65">
        <v>0.1</v>
      </c>
      <c r="R131" s="64">
        <f t="shared" si="21"/>
        <v>76170.468054575351</v>
      </c>
    </row>
    <row r="132" spans="2:18" ht="15" x14ac:dyDescent="0.2">
      <c r="B132" s="8">
        <v>130</v>
      </c>
      <c r="C132" s="78" t="s">
        <v>238</v>
      </c>
      <c r="D132" s="8" t="s">
        <v>44</v>
      </c>
      <c r="E132" s="71" t="s">
        <v>234</v>
      </c>
      <c r="F132" s="10">
        <v>44005</v>
      </c>
      <c r="G132" s="10">
        <v>44400</v>
      </c>
      <c r="H132" s="15">
        <f t="shared" si="23"/>
        <v>1.0821917808219179</v>
      </c>
      <c r="I132" s="8">
        <v>5</v>
      </c>
      <c r="J132" s="20">
        <v>0.05</v>
      </c>
      <c r="K132" s="22">
        <f t="shared" ref="K132:K147" si="24">(1-J132)/I132</f>
        <v>0.19</v>
      </c>
      <c r="L132" s="72">
        <v>33203.120000000003</v>
      </c>
      <c r="M132" s="79">
        <v>0</v>
      </c>
      <c r="N132" s="63">
        <f t="shared" si="22"/>
        <v>33203.120000000003</v>
      </c>
      <c r="O132" s="64">
        <f t="shared" ref="O132:O163" si="25">K132*N132*H132</f>
        <v>6827.1072767123296</v>
      </c>
      <c r="P132" s="64">
        <f t="shared" ref="P132:P147" si="26">MAX(0,N132-O132)</f>
        <v>26376.012723287673</v>
      </c>
      <c r="Q132" s="65">
        <v>0.1</v>
      </c>
      <c r="R132" s="64">
        <f t="shared" ref="R132:R163" si="27">IF(P132&lt;=N132*J132,N132*J132,P132*(1-Q132))</f>
        <v>23738.411450958905</v>
      </c>
    </row>
    <row r="133" spans="2:18" ht="15" x14ac:dyDescent="0.2">
      <c r="B133" s="8">
        <v>131</v>
      </c>
      <c r="C133" s="78" t="s">
        <v>240</v>
      </c>
      <c r="D133" s="8" t="s">
        <v>44</v>
      </c>
      <c r="E133" s="71" t="s">
        <v>160</v>
      </c>
      <c r="F133" s="10">
        <v>44071</v>
      </c>
      <c r="G133" s="10">
        <v>44400</v>
      </c>
      <c r="H133" s="15">
        <f t="shared" si="23"/>
        <v>0.90136986301369859</v>
      </c>
      <c r="I133" s="8">
        <v>8</v>
      </c>
      <c r="J133" s="20">
        <v>0.05</v>
      </c>
      <c r="K133" s="22">
        <f t="shared" si="24"/>
        <v>0.11874999999999999</v>
      </c>
      <c r="L133" s="72">
        <v>35170</v>
      </c>
      <c r="M133" s="79">
        <v>0</v>
      </c>
      <c r="N133" s="63">
        <f t="shared" si="22"/>
        <v>35170</v>
      </c>
      <c r="O133" s="64">
        <f t="shared" si="25"/>
        <v>3764.5148972602738</v>
      </c>
      <c r="P133" s="64">
        <f t="shared" si="26"/>
        <v>31405.485102739727</v>
      </c>
      <c r="Q133" s="65">
        <v>0.1</v>
      </c>
      <c r="R133" s="64">
        <f t="shared" si="27"/>
        <v>28264.936592465754</v>
      </c>
    </row>
    <row r="134" spans="2:18" ht="15" x14ac:dyDescent="0.2">
      <c r="B134" s="8">
        <v>132</v>
      </c>
      <c r="C134" s="78" t="s">
        <v>243</v>
      </c>
      <c r="D134" s="8" t="s">
        <v>44</v>
      </c>
      <c r="E134" s="71" t="s">
        <v>242</v>
      </c>
      <c r="F134" s="10">
        <v>44013</v>
      </c>
      <c r="G134" s="10">
        <v>44400</v>
      </c>
      <c r="H134" s="15">
        <f t="shared" si="23"/>
        <v>1.0602739726027397</v>
      </c>
      <c r="I134" s="8">
        <v>15</v>
      </c>
      <c r="J134" s="20">
        <v>0.05</v>
      </c>
      <c r="K134" s="22">
        <f t="shared" si="24"/>
        <v>6.3333333333333325E-2</v>
      </c>
      <c r="L134" s="72">
        <f>232271+2200</f>
        <v>234471</v>
      </c>
      <c r="M134" s="79">
        <v>0</v>
      </c>
      <c r="N134" s="63">
        <f t="shared" si="22"/>
        <v>234471</v>
      </c>
      <c r="O134" s="64">
        <f t="shared" si="25"/>
        <v>15744.88824657534</v>
      </c>
      <c r="P134" s="64">
        <f t="shared" si="26"/>
        <v>218726.11175342466</v>
      </c>
      <c r="Q134" s="65">
        <v>0.1</v>
      </c>
      <c r="R134" s="64">
        <f t="shared" si="27"/>
        <v>196853.5005780822</v>
      </c>
    </row>
    <row r="135" spans="2:18" ht="15" x14ac:dyDescent="0.2">
      <c r="B135" s="8">
        <v>133</v>
      </c>
      <c r="C135" s="78" t="s">
        <v>243</v>
      </c>
      <c r="D135" s="8" t="s">
        <v>44</v>
      </c>
      <c r="E135" s="71" t="s">
        <v>242</v>
      </c>
      <c r="F135" s="10">
        <v>44021</v>
      </c>
      <c r="G135" s="10">
        <v>44400</v>
      </c>
      <c r="H135" s="15">
        <f t="shared" si="23"/>
        <v>1.0383561643835617</v>
      </c>
      <c r="I135" s="8">
        <v>15</v>
      </c>
      <c r="J135" s="20">
        <v>0.05</v>
      </c>
      <c r="K135" s="22">
        <f t="shared" si="24"/>
        <v>6.3333333333333325E-2</v>
      </c>
      <c r="L135" s="72">
        <v>2175.4</v>
      </c>
      <c r="M135" s="79">
        <v>0</v>
      </c>
      <c r="N135" s="63">
        <f t="shared" si="22"/>
        <v>2175.4</v>
      </c>
      <c r="O135" s="64">
        <f t="shared" si="25"/>
        <v>143.05986666666666</v>
      </c>
      <c r="P135" s="64">
        <f t="shared" si="26"/>
        <v>2032.3401333333334</v>
      </c>
      <c r="Q135" s="65">
        <v>0.1</v>
      </c>
      <c r="R135" s="64">
        <f t="shared" si="27"/>
        <v>1829.1061200000001</v>
      </c>
    </row>
    <row r="136" spans="2:18" ht="15" x14ac:dyDescent="0.2">
      <c r="B136" s="8">
        <v>134</v>
      </c>
      <c r="C136" s="78" t="s">
        <v>243</v>
      </c>
      <c r="D136" s="8" t="s">
        <v>44</v>
      </c>
      <c r="E136" s="71" t="s">
        <v>242</v>
      </c>
      <c r="F136" s="10">
        <v>44023</v>
      </c>
      <c r="G136" s="10">
        <v>44400</v>
      </c>
      <c r="H136" s="15">
        <f t="shared" si="23"/>
        <v>1.0328767123287672</v>
      </c>
      <c r="I136" s="8">
        <v>15</v>
      </c>
      <c r="J136" s="20">
        <v>0.05</v>
      </c>
      <c r="K136" s="22">
        <f t="shared" si="24"/>
        <v>6.3333333333333325E-2</v>
      </c>
      <c r="L136" s="72">
        <v>6170.03</v>
      </c>
      <c r="M136" s="79">
        <v>0</v>
      </c>
      <c r="N136" s="63">
        <f t="shared" si="22"/>
        <v>6170.03</v>
      </c>
      <c r="O136" s="64">
        <f t="shared" si="25"/>
        <v>403.61575242009127</v>
      </c>
      <c r="P136" s="64">
        <f t="shared" si="26"/>
        <v>5766.4142475799081</v>
      </c>
      <c r="Q136" s="65">
        <v>0.1</v>
      </c>
      <c r="R136" s="64">
        <f t="shared" si="27"/>
        <v>5189.7728228219175</v>
      </c>
    </row>
    <row r="137" spans="2:18" ht="15" x14ac:dyDescent="0.2">
      <c r="B137" s="8">
        <v>135</v>
      </c>
      <c r="C137" s="78" t="s">
        <v>243</v>
      </c>
      <c r="D137" s="8" t="s">
        <v>44</v>
      </c>
      <c r="E137" s="71" t="s">
        <v>242</v>
      </c>
      <c r="F137" s="10">
        <v>44023</v>
      </c>
      <c r="G137" s="10">
        <v>44400</v>
      </c>
      <c r="H137" s="15">
        <f t="shared" si="23"/>
        <v>1.0328767123287672</v>
      </c>
      <c r="I137" s="8">
        <v>15</v>
      </c>
      <c r="J137" s="20">
        <v>0.05</v>
      </c>
      <c r="K137" s="22">
        <f t="shared" si="24"/>
        <v>6.3333333333333325E-2</v>
      </c>
      <c r="L137" s="72">
        <v>994.61</v>
      </c>
      <c r="M137" s="79">
        <v>0</v>
      </c>
      <c r="N137" s="63">
        <f t="shared" si="22"/>
        <v>994.61</v>
      </c>
      <c r="O137" s="64">
        <f t="shared" si="25"/>
        <v>65.062935433789946</v>
      </c>
      <c r="P137" s="64">
        <f t="shared" si="26"/>
        <v>929.54706456621011</v>
      </c>
      <c r="Q137" s="65">
        <v>0.1</v>
      </c>
      <c r="R137" s="64">
        <f t="shared" si="27"/>
        <v>836.5923581095891</v>
      </c>
    </row>
    <row r="138" spans="2:18" ht="15" x14ac:dyDescent="0.2">
      <c r="B138" s="8">
        <v>136</v>
      </c>
      <c r="C138" s="78" t="s">
        <v>243</v>
      </c>
      <c r="D138" s="8" t="s">
        <v>44</v>
      </c>
      <c r="E138" s="71" t="s">
        <v>242</v>
      </c>
      <c r="F138" s="10">
        <v>44056</v>
      </c>
      <c r="G138" s="10">
        <v>44400</v>
      </c>
      <c r="H138" s="15">
        <f t="shared" si="23"/>
        <v>0.94246575342465755</v>
      </c>
      <c r="I138" s="8">
        <v>15</v>
      </c>
      <c r="J138" s="20">
        <v>0.05</v>
      </c>
      <c r="K138" s="22">
        <f t="shared" si="24"/>
        <v>6.3333333333333325E-2</v>
      </c>
      <c r="L138" s="72">
        <v>42426.720000000001</v>
      </c>
      <c r="M138" s="79">
        <v>0</v>
      </c>
      <c r="N138" s="63">
        <f t="shared" si="22"/>
        <v>42426.720000000001</v>
      </c>
      <c r="O138" s="64">
        <f t="shared" si="25"/>
        <v>2532.4296065753419</v>
      </c>
      <c r="P138" s="64">
        <f t="shared" si="26"/>
        <v>39894.290393424657</v>
      </c>
      <c r="Q138" s="65">
        <v>0.1</v>
      </c>
      <c r="R138" s="64">
        <f t="shared" si="27"/>
        <v>35904.86135408219</v>
      </c>
    </row>
    <row r="139" spans="2:18" ht="15" x14ac:dyDescent="0.2">
      <c r="B139" s="8">
        <v>137</v>
      </c>
      <c r="C139" s="78" t="s">
        <v>243</v>
      </c>
      <c r="D139" s="8" t="s">
        <v>44</v>
      </c>
      <c r="E139" s="71" t="s">
        <v>242</v>
      </c>
      <c r="F139" s="10">
        <v>44082</v>
      </c>
      <c r="G139" s="10">
        <v>44400</v>
      </c>
      <c r="H139" s="15">
        <f t="shared" si="23"/>
        <v>0.87123287671232874</v>
      </c>
      <c r="I139" s="8">
        <v>15</v>
      </c>
      <c r="J139" s="20">
        <v>0.05</v>
      </c>
      <c r="K139" s="22">
        <f t="shared" si="24"/>
        <v>6.3333333333333325E-2</v>
      </c>
      <c r="L139" s="72">
        <v>2960</v>
      </c>
      <c r="M139" s="79">
        <v>0</v>
      </c>
      <c r="N139" s="63">
        <f t="shared" si="22"/>
        <v>2960</v>
      </c>
      <c r="O139" s="64">
        <f t="shared" si="25"/>
        <v>163.32712328767121</v>
      </c>
      <c r="P139" s="64">
        <f t="shared" si="26"/>
        <v>2796.6728767123286</v>
      </c>
      <c r="Q139" s="65">
        <v>0.1</v>
      </c>
      <c r="R139" s="64">
        <f t="shared" si="27"/>
        <v>2517.0055890410958</v>
      </c>
    </row>
    <row r="140" spans="2:18" ht="15" x14ac:dyDescent="0.2">
      <c r="B140" s="8">
        <v>138</v>
      </c>
      <c r="C140" s="78" t="s">
        <v>243</v>
      </c>
      <c r="D140" s="8" t="s">
        <v>44</v>
      </c>
      <c r="E140" s="71" t="s">
        <v>242</v>
      </c>
      <c r="F140" s="10">
        <v>44082</v>
      </c>
      <c r="G140" s="10">
        <v>44400</v>
      </c>
      <c r="H140" s="15">
        <f t="shared" si="23"/>
        <v>0.87123287671232874</v>
      </c>
      <c r="I140" s="8">
        <v>15</v>
      </c>
      <c r="J140" s="20">
        <v>0.05</v>
      </c>
      <c r="K140" s="22">
        <f t="shared" si="24"/>
        <v>6.3333333333333325E-2</v>
      </c>
      <c r="L140" s="72">
        <v>1480</v>
      </c>
      <c r="M140" s="79">
        <v>0</v>
      </c>
      <c r="N140" s="63">
        <f t="shared" si="22"/>
        <v>1480</v>
      </c>
      <c r="O140" s="64">
        <f t="shared" si="25"/>
        <v>81.663561643835607</v>
      </c>
      <c r="P140" s="64">
        <f t="shared" si="26"/>
        <v>1398.3364383561643</v>
      </c>
      <c r="Q140" s="65">
        <v>0.1</v>
      </c>
      <c r="R140" s="64">
        <f t="shared" si="27"/>
        <v>1258.5027945205479</v>
      </c>
    </row>
    <row r="141" spans="2:18" ht="15" x14ac:dyDescent="0.2">
      <c r="B141" s="8">
        <v>139</v>
      </c>
      <c r="C141" s="78" t="s">
        <v>243</v>
      </c>
      <c r="D141" s="8" t="s">
        <v>44</v>
      </c>
      <c r="E141" s="71" t="s">
        <v>242</v>
      </c>
      <c r="F141" s="10">
        <v>44140</v>
      </c>
      <c r="G141" s="10">
        <v>44400</v>
      </c>
      <c r="H141" s="15">
        <f t="shared" si="23"/>
        <v>0.71232876712328763</v>
      </c>
      <c r="I141" s="8">
        <v>15</v>
      </c>
      <c r="J141" s="20">
        <v>0.05</v>
      </c>
      <c r="K141" s="22">
        <f t="shared" si="24"/>
        <v>6.3333333333333325E-2</v>
      </c>
      <c r="L141" s="72">
        <f>215680.02+2500</f>
        <v>218180.02</v>
      </c>
      <c r="M141" s="79">
        <v>0</v>
      </c>
      <c r="N141" s="63">
        <f t="shared" si="22"/>
        <v>218180.02</v>
      </c>
      <c r="O141" s="64">
        <f t="shared" si="25"/>
        <v>9843.0072949771657</v>
      </c>
      <c r="P141" s="64">
        <f t="shared" si="26"/>
        <v>208337.01270502282</v>
      </c>
      <c r="Q141" s="65">
        <v>0.1</v>
      </c>
      <c r="R141" s="64">
        <f t="shared" si="27"/>
        <v>187503.31143452055</v>
      </c>
    </row>
    <row r="142" spans="2:18" ht="15" x14ac:dyDescent="0.2">
      <c r="B142" s="8">
        <v>140</v>
      </c>
      <c r="C142" s="78" t="s">
        <v>243</v>
      </c>
      <c r="D142" s="8" t="s">
        <v>44</v>
      </c>
      <c r="E142" s="71" t="s">
        <v>242</v>
      </c>
      <c r="F142" s="10">
        <v>44146</v>
      </c>
      <c r="G142" s="10">
        <v>44400</v>
      </c>
      <c r="H142" s="15">
        <f t="shared" si="23"/>
        <v>0.69589041095890414</v>
      </c>
      <c r="I142" s="8">
        <v>15</v>
      </c>
      <c r="J142" s="20">
        <v>0.05</v>
      </c>
      <c r="K142" s="22">
        <f t="shared" si="24"/>
        <v>6.3333333333333325E-2</v>
      </c>
      <c r="L142" s="72">
        <f>75971.8+300</f>
        <v>76271.8</v>
      </c>
      <c r="M142" s="79">
        <v>0</v>
      </c>
      <c r="N142" s="63">
        <f t="shared" ref="N142:N173" si="28">L142*(1+M142)</f>
        <v>76271.8</v>
      </c>
      <c r="O142" s="64">
        <f t="shared" si="25"/>
        <v>3361.5315689497716</v>
      </c>
      <c r="P142" s="64">
        <f t="shared" si="26"/>
        <v>72910.268431050237</v>
      </c>
      <c r="Q142" s="65">
        <v>0.1</v>
      </c>
      <c r="R142" s="64">
        <f t="shared" si="27"/>
        <v>65619.241587945216</v>
      </c>
    </row>
    <row r="143" spans="2:18" ht="15" x14ac:dyDescent="0.2">
      <c r="B143" s="8">
        <v>141</v>
      </c>
      <c r="C143" s="78" t="s">
        <v>243</v>
      </c>
      <c r="D143" s="8" t="s">
        <v>44</v>
      </c>
      <c r="E143" s="71" t="s">
        <v>242</v>
      </c>
      <c r="F143" s="10">
        <v>44160</v>
      </c>
      <c r="G143" s="10">
        <v>44400</v>
      </c>
      <c r="H143" s="15">
        <f t="shared" si="23"/>
        <v>0.65753424657534243</v>
      </c>
      <c r="I143" s="8">
        <v>15</v>
      </c>
      <c r="J143" s="20">
        <v>0.05</v>
      </c>
      <c r="K143" s="22">
        <f t="shared" si="24"/>
        <v>6.3333333333333325E-2</v>
      </c>
      <c r="L143" s="72">
        <v>9021.02</v>
      </c>
      <c r="M143" s="79">
        <v>0</v>
      </c>
      <c r="N143" s="63">
        <f t="shared" si="28"/>
        <v>9021.02</v>
      </c>
      <c r="O143" s="64">
        <f t="shared" si="25"/>
        <v>375.66987397260266</v>
      </c>
      <c r="P143" s="64">
        <f t="shared" si="26"/>
        <v>8645.350126027397</v>
      </c>
      <c r="Q143" s="65">
        <v>0.1</v>
      </c>
      <c r="R143" s="64">
        <f t="shared" si="27"/>
        <v>7780.8151134246573</v>
      </c>
    </row>
    <row r="144" spans="2:18" ht="15" x14ac:dyDescent="0.2">
      <c r="B144" s="8">
        <v>142</v>
      </c>
      <c r="C144" s="78" t="s">
        <v>217</v>
      </c>
      <c r="D144" s="8" t="s">
        <v>44</v>
      </c>
      <c r="E144" s="71" t="s">
        <v>262</v>
      </c>
      <c r="F144" s="10">
        <v>44380</v>
      </c>
      <c r="G144" s="10">
        <v>44400</v>
      </c>
      <c r="H144" s="15">
        <f t="shared" si="23"/>
        <v>5.4794520547945202E-2</v>
      </c>
      <c r="I144" s="8">
        <v>10</v>
      </c>
      <c r="J144" s="20">
        <v>0.05</v>
      </c>
      <c r="K144" s="22">
        <f t="shared" si="24"/>
        <v>9.5000000000000001E-2</v>
      </c>
      <c r="L144" s="72">
        <v>91000</v>
      </c>
      <c r="M144" s="79">
        <v>0</v>
      </c>
      <c r="N144" s="63">
        <f t="shared" si="28"/>
        <v>91000</v>
      </c>
      <c r="O144" s="64">
        <f t="shared" si="25"/>
        <v>473.69863013698625</v>
      </c>
      <c r="P144" s="64">
        <f t="shared" si="26"/>
        <v>90526.301369863009</v>
      </c>
      <c r="Q144" s="65">
        <v>0.1</v>
      </c>
      <c r="R144" s="64">
        <f t="shared" si="27"/>
        <v>81473.671232876717</v>
      </c>
    </row>
    <row r="145" spans="2:18" ht="15" x14ac:dyDescent="0.2">
      <c r="B145" s="8">
        <v>143</v>
      </c>
      <c r="C145" s="78" t="s">
        <v>217</v>
      </c>
      <c r="D145" s="8" t="s">
        <v>44</v>
      </c>
      <c r="E145" s="71" t="s">
        <v>264</v>
      </c>
      <c r="F145" s="10">
        <v>44377</v>
      </c>
      <c r="G145" s="10">
        <v>44400</v>
      </c>
      <c r="H145" s="15">
        <f t="shared" si="23"/>
        <v>6.3013698630136991E-2</v>
      </c>
      <c r="I145" s="8">
        <v>10</v>
      </c>
      <c r="J145" s="20">
        <v>0.05</v>
      </c>
      <c r="K145" s="22">
        <f t="shared" si="24"/>
        <v>9.5000000000000001E-2</v>
      </c>
      <c r="L145" s="72">
        <v>120000</v>
      </c>
      <c r="M145" s="79">
        <v>0</v>
      </c>
      <c r="N145" s="63">
        <f t="shared" si="28"/>
        <v>120000</v>
      </c>
      <c r="O145" s="64">
        <f t="shared" si="25"/>
        <v>718.35616438356169</v>
      </c>
      <c r="P145" s="64">
        <f t="shared" si="26"/>
        <v>119281.64383561644</v>
      </c>
      <c r="Q145" s="65">
        <v>0.1</v>
      </c>
      <c r="R145" s="64">
        <f t="shared" si="27"/>
        <v>107353.4794520548</v>
      </c>
    </row>
    <row r="146" spans="2:18" ht="15" x14ac:dyDescent="0.2">
      <c r="B146" s="8">
        <v>144</v>
      </c>
      <c r="C146" s="78" t="s">
        <v>217</v>
      </c>
      <c r="D146" s="8" t="s">
        <v>44</v>
      </c>
      <c r="E146" s="71" t="s">
        <v>264</v>
      </c>
      <c r="F146" s="10">
        <v>44382</v>
      </c>
      <c r="G146" s="10">
        <v>44400</v>
      </c>
      <c r="H146" s="15">
        <f t="shared" si="23"/>
        <v>4.9315068493150684E-2</v>
      </c>
      <c r="I146" s="8">
        <v>10</v>
      </c>
      <c r="J146" s="20">
        <v>0.05</v>
      </c>
      <c r="K146" s="22">
        <f t="shared" si="24"/>
        <v>9.5000000000000001E-2</v>
      </c>
      <c r="L146" s="72">
        <v>120000</v>
      </c>
      <c r="M146" s="79">
        <v>0</v>
      </c>
      <c r="N146" s="63">
        <f t="shared" si="28"/>
        <v>120000</v>
      </c>
      <c r="O146" s="64">
        <f t="shared" si="25"/>
        <v>562.19178082191775</v>
      </c>
      <c r="P146" s="64">
        <f t="shared" si="26"/>
        <v>119437.80821917808</v>
      </c>
      <c r="Q146" s="65">
        <v>0.1</v>
      </c>
      <c r="R146" s="64">
        <f t="shared" si="27"/>
        <v>107494.02739726027</v>
      </c>
    </row>
    <row r="147" spans="2:18" ht="15" x14ac:dyDescent="0.2">
      <c r="B147" s="8">
        <v>145</v>
      </c>
      <c r="C147" s="78" t="s">
        <v>267</v>
      </c>
      <c r="D147" s="8" t="s">
        <v>44</v>
      </c>
      <c r="E147" s="71" t="s">
        <v>266</v>
      </c>
      <c r="F147" s="10">
        <v>44382</v>
      </c>
      <c r="G147" s="10">
        <v>44400</v>
      </c>
      <c r="H147" s="15">
        <f t="shared" si="23"/>
        <v>4.9315068493150684E-2</v>
      </c>
      <c r="I147" s="8">
        <v>8</v>
      </c>
      <c r="J147" s="20">
        <v>0.05</v>
      </c>
      <c r="K147" s="22">
        <f t="shared" si="24"/>
        <v>0.11874999999999999</v>
      </c>
      <c r="L147" s="72">
        <v>164000</v>
      </c>
      <c r="M147" s="79">
        <v>0</v>
      </c>
      <c r="N147" s="63">
        <f t="shared" si="28"/>
        <v>164000</v>
      </c>
      <c r="O147" s="64">
        <f t="shared" si="25"/>
        <v>960.41095890410952</v>
      </c>
      <c r="P147" s="64">
        <f t="shared" si="26"/>
        <v>163039.5890410959</v>
      </c>
      <c r="Q147" s="65">
        <v>0.1</v>
      </c>
      <c r="R147" s="64">
        <f t="shared" si="27"/>
        <v>146735.63013698632</v>
      </c>
    </row>
    <row r="148" spans="2:18" ht="15.75" x14ac:dyDescent="0.2">
      <c r="B148" s="109" t="s">
        <v>108</v>
      </c>
      <c r="C148" s="110"/>
      <c r="D148" s="110"/>
      <c r="E148" s="110"/>
      <c r="F148" s="110"/>
      <c r="G148" s="110"/>
      <c r="H148" s="110"/>
      <c r="I148" s="110"/>
      <c r="J148" s="110"/>
      <c r="K148" s="111"/>
      <c r="L148" s="74">
        <f>SUM(L4:L147)</f>
        <v>84651726.480000004</v>
      </c>
      <c r="M148" s="84"/>
      <c r="N148" s="75">
        <f>SUM(N4:N147)</f>
        <v>86942755.211183995</v>
      </c>
      <c r="O148" s="76"/>
      <c r="P148" s="76"/>
      <c r="Q148" s="73"/>
      <c r="R148" s="74">
        <f>SUM(R4:R147)</f>
        <v>59254046.834721282</v>
      </c>
    </row>
    <row r="149" spans="2:18" x14ac:dyDescent="0.2">
      <c r="B149" s="106" t="s">
        <v>7</v>
      </c>
      <c r="C149" s="107"/>
      <c r="D149" s="107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07"/>
      <c r="P149" s="107"/>
      <c r="Q149" s="107"/>
      <c r="R149" s="108"/>
    </row>
    <row r="150" spans="2:18" x14ac:dyDescent="0.2">
      <c r="B150" s="103" t="s">
        <v>284</v>
      </c>
      <c r="C150" s="104"/>
      <c r="D150" s="104"/>
      <c r="E150" s="104"/>
      <c r="F150" s="104"/>
      <c r="G150" s="104"/>
      <c r="H150" s="104"/>
      <c r="I150" s="104"/>
      <c r="J150" s="104"/>
      <c r="K150" s="104"/>
      <c r="L150" s="104"/>
      <c r="M150" s="104"/>
      <c r="N150" s="104"/>
      <c r="O150" s="104"/>
      <c r="P150" s="104"/>
      <c r="Q150" s="104"/>
      <c r="R150" s="105"/>
    </row>
    <row r="151" spans="2:18" x14ac:dyDescent="0.2">
      <c r="B151" s="100" t="s">
        <v>282</v>
      </c>
      <c r="C151" s="101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2"/>
    </row>
    <row r="152" spans="2:18" x14ac:dyDescent="0.2">
      <c r="B152" s="103" t="s">
        <v>283</v>
      </c>
      <c r="C152" s="104"/>
      <c r="D152" s="104"/>
      <c r="E152" s="104"/>
      <c r="F152" s="104"/>
      <c r="G152" s="104"/>
      <c r="H152" s="104"/>
      <c r="I152" s="104"/>
      <c r="J152" s="104"/>
      <c r="K152" s="104"/>
      <c r="L152" s="104"/>
      <c r="M152" s="104"/>
      <c r="N152" s="104"/>
      <c r="O152" s="104"/>
      <c r="P152" s="104"/>
      <c r="Q152" s="104"/>
      <c r="R152" s="105"/>
    </row>
    <row r="153" spans="2:18" x14ac:dyDescent="0.2">
      <c r="B153" s="100" t="s">
        <v>280</v>
      </c>
      <c r="C153" s="101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2"/>
    </row>
    <row r="154" spans="2:18" x14ac:dyDescent="0.2">
      <c r="B154" s="100" t="s">
        <v>281</v>
      </c>
      <c r="C154" s="101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2"/>
    </row>
    <row r="155" spans="2:18" x14ac:dyDescent="0.2">
      <c r="B155" s="16"/>
      <c r="D155" s="16"/>
      <c r="E155" s="16"/>
      <c r="F155" s="16"/>
      <c r="G155" s="16"/>
      <c r="H155" s="16"/>
      <c r="I155" s="16"/>
      <c r="J155" s="16"/>
      <c r="K155" s="16"/>
      <c r="L155" s="16"/>
      <c r="M155" s="85"/>
      <c r="N155" s="16"/>
      <c r="O155" s="16"/>
      <c r="P155" s="16"/>
      <c r="Q155" s="16"/>
      <c r="R155" s="16"/>
    </row>
    <row r="156" spans="2:18" ht="15.75" x14ac:dyDescent="0.25">
      <c r="P156" s="29">
        <v>37000000</v>
      </c>
      <c r="Q156" s="29"/>
      <c r="R156" s="28">
        <f>P156*0.85</f>
        <v>31450000</v>
      </c>
    </row>
    <row r="157" spans="2:18" x14ac:dyDescent="0.2">
      <c r="J157" s="26"/>
      <c r="K157" s="27"/>
      <c r="L157" s="24"/>
      <c r="M157" s="86"/>
      <c r="N157" s="25"/>
      <c r="O157" s="28"/>
      <c r="P157" s="28"/>
      <c r="Q157" s="28"/>
      <c r="R157" s="28">
        <f>P156*0.75</f>
        <v>27750000</v>
      </c>
    </row>
    <row r="158" spans="2:18" x14ac:dyDescent="0.2">
      <c r="J158" s="30"/>
      <c r="K158" s="30"/>
      <c r="L158" s="30"/>
      <c r="M158" s="87"/>
      <c r="N158" s="30"/>
      <c r="O158" s="30"/>
      <c r="P158" s="30"/>
      <c r="Q158" s="30"/>
      <c r="R158" s="30"/>
    </row>
    <row r="159" spans="2:18" x14ac:dyDescent="0.2">
      <c r="J159" s="26"/>
      <c r="K159" s="27"/>
      <c r="L159" s="24"/>
      <c r="M159" s="86"/>
      <c r="N159" s="25"/>
      <c r="O159" s="28"/>
      <c r="P159" s="28"/>
      <c r="Q159" s="28"/>
      <c r="R159" s="28"/>
    </row>
    <row r="162" spans="8:13" x14ac:dyDescent="0.2">
      <c r="H162">
        <v>116.9</v>
      </c>
      <c r="I162" s="17"/>
    </row>
    <row r="163" spans="8:13" x14ac:dyDescent="0.2">
      <c r="I163" s="19">
        <v>124.7</v>
      </c>
    </row>
    <row r="166" spans="8:13" x14ac:dyDescent="0.2">
      <c r="M166" s="88"/>
    </row>
  </sheetData>
  <dataConsolidate/>
  <mergeCells count="8">
    <mergeCell ref="B153:R153"/>
    <mergeCell ref="B154:R154"/>
    <mergeCell ref="B2:R2"/>
    <mergeCell ref="B150:R150"/>
    <mergeCell ref="B151:R151"/>
    <mergeCell ref="B152:R152"/>
    <mergeCell ref="B149:R149"/>
    <mergeCell ref="B148:K148"/>
  </mergeCells>
  <conditionalFormatting sqref="F41:F49">
    <cfRule type="timePeriod" dxfId="0" priority="1" timePeriod="lastMonth">
      <formula>AND(MONTH(F41)=MONTH(EDATE(TODAY(),0-1)),YEAR(F41)=YEAR(EDATE(TODAY(),0-1)))</formula>
    </cfRule>
  </conditionalFormatting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topLeftCell="A84" zoomScale="115" zoomScaleNormal="115" workbookViewId="0">
      <selection activeCell="E101" sqref="E101"/>
    </sheetView>
  </sheetViews>
  <sheetFormatPr defaultRowHeight="12.75" x14ac:dyDescent="0.2"/>
  <cols>
    <col min="2" max="2" width="16.7109375" customWidth="1"/>
    <col min="3" max="3" width="27.28515625" customWidth="1"/>
    <col min="5" max="5" width="15.5703125" bestFit="1" customWidth="1"/>
    <col min="6" max="6" width="15.5703125" customWidth="1"/>
    <col min="7" max="9" width="14" bestFit="1" customWidth="1"/>
    <col min="10" max="10" width="12" customWidth="1"/>
    <col min="11" max="11" width="15.5703125" bestFit="1" customWidth="1"/>
  </cols>
  <sheetData>
    <row r="1" spans="1:14" ht="18.75" x14ac:dyDescent="0.3">
      <c r="A1" s="112" t="s">
        <v>113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</row>
    <row r="2" spans="1:14" ht="15" x14ac:dyDescent="0.25">
      <c r="A2" s="31" t="s">
        <v>114</v>
      </c>
      <c r="B2" s="31" t="s">
        <v>115</v>
      </c>
      <c r="C2" s="31" t="s">
        <v>116</v>
      </c>
      <c r="D2" s="32" t="s">
        <v>117</v>
      </c>
      <c r="E2" s="33" t="s">
        <v>118</v>
      </c>
      <c r="F2" s="33"/>
      <c r="G2" s="33" t="s">
        <v>119</v>
      </c>
      <c r="H2" s="33" t="s">
        <v>120</v>
      </c>
      <c r="I2" s="33" t="s">
        <v>121</v>
      </c>
      <c r="J2" s="33" t="s">
        <v>122</v>
      </c>
      <c r="K2" s="33" t="s">
        <v>123</v>
      </c>
      <c r="L2" s="34" t="s">
        <v>124</v>
      </c>
    </row>
    <row r="3" spans="1:14" ht="15" x14ac:dyDescent="0.25">
      <c r="A3" s="35" t="s">
        <v>125</v>
      </c>
      <c r="B3" s="36"/>
      <c r="C3" s="36"/>
      <c r="D3" s="37"/>
      <c r="E3" s="38"/>
      <c r="F3" s="38"/>
      <c r="G3" s="38"/>
      <c r="H3" s="38"/>
      <c r="I3" s="38"/>
      <c r="J3" s="38"/>
      <c r="K3" s="38"/>
      <c r="L3" s="39"/>
    </row>
    <row r="4" spans="1:14" x14ac:dyDescent="0.2">
      <c r="A4" s="39" t="s">
        <v>126</v>
      </c>
      <c r="B4" s="39" t="s">
        <v>127</v>
      </c>
      <c r="C4" s="39" t="s">
        <v>128</v>
      </c>
      <c r="D4" s="40">
        <v>63</v>
      </c>
      <c r="E4" s="41">
        <v>295000</v>
      </c>
      <c r="F4" s="41">
        <f>VLOOKUP(C4,'P &amp; M'!C4:L146,10,0)</f>
        <v>295000</v>
      </c>
      <c r="G4" s="41">
        <v>53820</v>
      </c>
      <c r="H4" s="41"/>
      <c r="I4" s="41"/>
      <c r="J4" s="41">
        <v>4000</v>
      </c>
      <c r="K4" s="41">
        <f>E4+G4+H4+I4+J4</f>
        <v>352820</v>
      </c>
      <c r="L4" s="39"/>
      <c r="N4">
        <v>8</v>
      </c>
    </row>
    <row r="5" spans="1:14" x14ac:dyDescent="0.2">
      <c r="A5" s="39" t="s">
        <v>129</v>
      </c>
      <c r="B5" s="39" t="s">
        <v>130</v>
      </c>
      <c r="C5" s="39" t="s">
        <v>131</v>
      </c>
      <c r="D5" s="40">
        <v>217</v>
      </c>
      <c r="E5" s="41">
        <v>100893</v>
      </c>
      <c r="F5" s="41">
        <f>VLOOKUP(C5,'P &amp; M'!C5:L147,10,0)</f>
        <v>100893</v>
      </c>
      <c r="G5" s="41"/>
      <c r="H5" s="41">
        <v>9080.3700000000008</v>
      </c>
      <c r="I5" s="41">
        <v>9080.3700000000008</v>
      </c>
      <c r="J5" s="41">
        <v>0.26</v>
      </c>
      <c r="K5" s="41">
        <f>E5+G5+H5+I5+J5</f>
        <v>119053.99999999999</v>
      </c>
      <c r="L5" s="39"/>
      <c r="N5">
        <v>5</v>
      </c>
    </row>
    <row r="6" spans="1:14" x14ac:dyDescent="0.2">
      <c r="A6" s="39" t="s">
        <v>132</v>
      </c>
      <c r="B6" s="39" t="s">
        <v>133</v>
      </c>
      <c r="C6" s="39" t="s">
        <v>134</v>
      </c>
      <c r="D6" s="40">
        <v>37</v>
      </c>
      <c r="E6" s="41">
        <v>34077.96</v>
      </c>
      <c r="F6" s="41">
        <f>VLOOKUP(C6,'P &amp; M'!C6:L148,10,0)</f>
        <v>34077.96</v>
      </c>
      <c r="G6" s="41"/>
      <c r="H6" s="41">
        <v>3067.02</v>
      </c>
      <c r="I6" s="41">
        <v>3067.02</v>
      </c>
      <c r="J6" s="41"/>
      <c r="K6" s="41">
        <f>E6+G6+H6+I6+J6</f>
        <v>40211.999999999993</v>
      </c>
      <c r="L6" s="39"/>
      <c r="N6">
        <v>5</v>
      </c>
    </row>
    <row r="7" spans="1:14" ht="15.75" thickBot="1" x14ac:dyDescent="0.3">
      <c r="A7" s="39"/>
      <c r="B7" s="39"/>
      <c r="C7" s="39"/>
      <c r="D7" s="42" t="s">
        <v>135</v>
      </c>
      <c r="E7" s="43">
        <f t="shared" ref="E7:K7" si="0">SUM(E4:E6)</f>
        <v>429970.96</v>
      </c>
      <c r="F7" s="41"/>
      <c r="G7" s="43">
        <f t="shared" si="0"/>
        <v>53820</v>
      </c>
      <c r="H7" s="43">
        <f t="shared" si="0"/>
        <v>12147.390000000001</v>
      </c>
      <c r="I7" s="43">
        <f t="shared" si="0"/>
        <v>12147.390000000001</v>
      </c>
      <c r="J7" s="43">
        <f t="shared" si="0"/>
        <v>4000.26</v>
      </c>
      <c r="K7" s="43">
        <f t="shared" si="0"/>
        <v>512086</v>
      </c>
      <c r="L7" s="39"/>
    </row>
    <row r="8" spans="1:14" ht="15" x14ac:dyDescent="0.25">
      <c r="A8" s="44" t="s">
        <v>136</v>
      </c>
      <c r="B8" s="39"/>
      <c r="C8" s="39"/>
      <c r="D8" s="40"/>
      <c r="E8" s="41"/>
      <c r="F8" s="41"/>
      <c r="G8" s="41"/>
      <c r="H8" s="41"/>
      <c r="I8" s="41"/>
      <c r="J8" s="41"/>
      <c r="K8" s="41">
        <f t="shared" ref="K8:K19" si="1">E8+G8+H8+I8+J8</f>
        <v>0</v>
      </c>
      <c r="L8" s="39"/>
    </row>
    <row r="9" spans="1:14" x14ac:dyDescent="0.2">
      <c r="A9" s="39" t="s">
        <v>137</v>
      </c>
      <c r="B9" s="39" t="s">
        <v>138</v>
      </c>
      <c r="C9" s="39" t="s">
        <v>139</v>
      </c>
      <c r="D9" s="40">
        <v>34</v>
      </c>
      <c r="E9" s="41">
        <v>24000</v>
      </c>
      <c r="F9" s="41">
        <f>VLOOKUP(C9,'P &amp; M'!C9:L151,10,0)</f>
        <v>24000</v>
      </c>
      <c r="G9" s="41"/>
      <c r="H9" s="41">
        <v>2160</v>
      </c>
      <c r="I9" s="41">
        <v>2160</v>
      </c>
      <c r="J9" s="41"/>
      <c r="K9" s="41">
        <f t="shared" si="1"/>
        <v>28320</v>
      </c>
      <c r="L9" s="39" t="s">
        <v>140</v>
      </c>
      <c r="N9">
        <v>5</v>
      </c>
    </row>
    <row r="10" spans="1:14" x14ac:dyDescent="0.2">
      <c r="A10" s="39" t="s">
        <v>141</v>
      </c>
      <c r="B10" s="39" t="s">
        <v>138</v>
      </c>
      <c r="C10" s="39" t="s">
        <v>139</v>
      </c>
      <c r="D10" s="40">
        <v>1133</v>
      </c>
      <c r="E10" s="41">
        <v>11186.44</v>
      </c>
      <c r="F10" s="41">
        <f>VLOOKUP(C10,'P &amp; M'!C10:L152,10,0)</f>
        <v>24000</v>
      </c>
      <c r="G10" s="41"/>
      <c r="H10" s="41">
        <v>1006.78</v>
      </c>
      <c r="I10" s="41">
        <v>1006.78</v>
      </c>
      <c r="J10" s="41"/>
      <c r="K10" s="41">
        <f t="shared" si="1"/>
        <v>13200.000000000002</v>
      </c>
      <c r="L10" s="39" t="s">
        <v>140</v>
      </c>
      <c r="N10">
        <v>5</v>
      </c>
    </row>
    <row r="11" spans="1:14" x14ac:dyDescent="0.2">
      <c r="A11" s="39" t="s">
        <v>142</v>
      </c>
      <c r="B11" s="39" t="s">
        <v>143</v>
      </c>
      <c r="C11" s="39" t="s">
        <v>144</v>
      </c>
      <c r="D11" s="40" t="s">
        <v>145</v>
      </c>
      <c r="E11" s="41">
        <v>117486</v>
      </c>
      <c r="F11" s="41">
        <f>VLOOKUP(C11,'P &amp; M'!C11:L153,10,0)</f>
        <v>117486</v>
      </c>
      <c r="G11" s="41"/>
      <c r="H11" s="41">
        <v>10573.74</v>
      </c>
      <c r="I11" s="41">
        <v>10573.74</v>
      </c>
      <c r="J11" s="41">
        <v>0.52</v>
      </c>
      <c r="K11" s="41">
        <f t="shared" si="1"/>
        <v>138634</v>
      </c>
      <c r="L11" s="39" t="s">
        <v>146</v>
      </c>
      <c r="N11">
        <v>8</v>
      </c>
    </row>
    <row r="12" spans="1:14" x14ac:dyDescent="0.2">
      <c r="A12" s="39" t="s">
        <v>142</v>
      </c>
      <c r="B12" s="39" t="s">
        <v>143</v>
      </c>
      <c r="C12" s="39" t="s">
        <v>144</v>
      </c>
      <c r="D12" s="40" t="s">
        <v>147</v>
      </c>
      <c r="E12" s="41">
        <v>3168</v>
      </c>
      <c r="F12" s="41">
        <f>VLOOKUP(C12,'P &amp; M'!C12:L154,10,0)</f>
        <v>117486</v>
      </c>
      <c r="G12" s="41"/>
      <c r="H12" s="41">
        <v>303.12</v>
      </c>
      <c r="I12" s="41">
        <v>303.12</v>
      </c>
      <c r="J12" s="41">
        <v>199.76</v>
      </c>
      <c r="K12" s="41">
        <f t="shared" si="1"/>
        <v>3974</v>
      </c>
      <c r="L12" s="39" t="s">
        <v>146</v>
      </c>
      <c r="N12">
        <v>8</v>
      </c>
    </row>
    <row r="13" spans="1:14" x14ac:dyDescent="0.2">
      <c r="A13" s="39" t="s">
        <v>148</v>
      </c>
      <c r="B13" s="39" t="s">
        <v>61</v>
      </c>
      <c r="C13" s="39" t="s">
        <v>149</v>
      </c>
      <c r="D13" s="40">
        <v>148</v>
      </c>
      <c r="E13" s="41">
        <v>200000</v>
      </c>
      <c r="F13" s="41">
        <f>VLOOKUP(C13,'P &amp; M'!C13:L155,10,0)</f>
        <v>200000</v>
      </c>
      <c r="G13" s="41">
        <v>36720</v>
      </c>
      <c r="H13" s="41"/>
      <c r="I13" s="41"/>
      <c r="J13" s="41">
        <v>4000</v>
      </c>
      <c r="K13" s="41">
        <f t="shared" si="1"/>
        <v>240720</v>
      </c>
      <c r="L13" s="39" t="s">
        <v>150</v>
      </c>
      <c r="N13">
        <v>10</v>
      </c>
    </row>
    <row r="14" spans="1:14" x14ac:dyDescent="0.2">
      <c r="A14" s="39" t="s">
        <v>151</v>
      </c>
      <c r="B14" s="39" t="s">
        <v>152</v>
      </c>
      <c r="C14" s="39" t="s">
        <v>153</v>
      </c>
      <c r="D14" s="45">
        <v>1585</v>
      </c>
      <c r="E14" s="41">
        <v>144068</v>
      </c>
      <c r="F14" s="41">
        <f>VLOOKUP(C14,'P &amp; M'!C14:L156,10,0)</f>
        <v>144068</v>
      </c>
      <c r="G14" s="41"/>
      <c r="H14" s="41">
        <v>12966.12</v>
      </c>
      <c r="I14" s="41">
        <v>12966.12</v>
      </c>
      <c r="J14" s="41">
        <v>-0.24</v>
      </c>
      <c r="K14" s="41">
        <f t="shared" si="1"/>
        <v>170000</v>
      </c>
      <c r="L14" s="39" t="s">
        <v>150</v>
      </c>
      <c r="N14">
        <v>15</v>
      </c>
    </row>
    <row r="15" spans="1:14" x14ac:dyDescent="0.2">
      <c r="A15" s="39" t="s">
        <v>154</v>
      </c>
      <c r="B15" s="39" t="s">
        <v>51</v>
      </c>
      <c r="C15" s="39" t="s">
        <v>155</v>
      </c>
      <c r="D15" s="45">
        <v>179</v>
      </c>
      <c r="E15" s="41">
        <v>127000</v>
      </c>
      <c r="F15" s="41">
        <f>VLOOKUP(C15,'P &amp; M'!C15:L157,10,0)</f>
        <v>127000</v>
      </c>
      <c r="G15" s="41">
        <v>22860</v>
      </c>
      <c r="H15" s="41"/>
      <c r="I15" s="41"/>
      <c r="J15" s="41"/>
      <c r="K15" s="41">
        <f t="shared" si="1"/>
        <v>149860</v>
      </c>
      <c r="L15" s="39" t="s">
        <v>150</v>
      </c>
      <c r="N15">
        <v>5</v>
      </c>
    </row>
    <row r="16" spans="1:14" x14ac:dyDescent="0.2">
      <c r="A16" s="39" t="s">
        <v>156</v>
      </c>
      <c r="B16" s="39" t="s">
        <v>157</v>
      </c>
      <c r="C16" s="39" t="s">
        <v>158</v>
      </c>
      <c r="D16" s="45">
        <v>1520</v>
      </c>
      <c r="E16" s="41">
        <v>62968.74</v>
      </c>
      <c r="F16" s="41">
        <f>VLOOKUP(C16,'P &amp; M'!C16:L158,10,0)</f>
        <v>62968.74</v>
      </c>
      <c r="G16" s="41"/>
      <c r="H16" s="41">
        <v>5667.19</v>
      </c>
      <c r="I16" s="41">
        <v>5667.19</v>
      </c>
      <c r="J16" s="41">
        <v>0.02</v>
      </c>
      <c r="K16" s="41">
        <f t="shared" si="1"/>
        <v>74303.14</v>
      </c>
      <c r="L16" s="39" t="s">
        <v>150</v>
      </c>
      <c r="N16">
        <v>5</v>
      </c>
    </row>
    <row r="17" spans="1:14" x14ac:dyDescent="0.2">
      <c r="A17" s="39" t="s">
        <v>159</v>
      </c>
      <c r="B17" s="39" t="s">
        <v>160</v>
      </c>
      <c r="C17" s="39" t="s">
        <v>161</v>
      </c>
      <c r="D17" s="45">
        <v>2138</v>
      </c>
      <c r="E17" s="41">
        <v>27233</v>
      </c>
      <c r="F17" s="41">
        <f>VLOOKUP(C17,'P &amp; M'!C17:L159,10,0)</f>
        <v>27233</v>
      </c>
      <c r="G17" s="41"/>
      <c r="H17" s="41">
        <v>2450.9699999999998</v>
      </c>
      <c r="I17" s="41">
        <v>2450.9699999999998</v>
      </c>
      <c r="J17" s="41">
        <v>0.06</v>
      </c>
      <c r="K17" s="41">
        <f t="shared" si="1"/>
        <v>32135.000000000004</v>
      </c>
      <c r="L17" s="39" t="s">
        <v>150</v>
      </c>
      <c r="N17">
        <v>8</v>
      </c>
    </row>
    <row r="18" spans="1:14" x14ac:dyDescent="0.2">
      <c r="A18" s="39" t="s">
        <v>162</v>
      </c>
      <c r="B18" s="39" t="s">
        <v>163</v>
      </c>
      <c r="C18" s="39" t="s">
        <v>164</v>
      </c>
      <c r="D18" s="40">
        <v>103</v>
      </c>
      <c r="E18" s="41">
        <v>138000</v>
      </c>
      <c r="F18" s="41">
        <f>VLOOKUP(C18,'P &amp; M'!C18:L160,10,0)</f>
        <v>138000</v>
      </c>
      <c r="G18" s="41"/>
      <c r="H18" s="41">
        <v>12420</v>
      </c>
      <c r="I18" s="41">
        <v>12420</v>
      </c>
      <c r="J18" s="41"/>
      <c r="K18" s="41">
        <f t="shared" si="1"/>
        <v>162840</v>
      </c>
      <c r="L18" s="39" t="s">
        <v>150</v>
      </c>
      <c r="N18">
        <v>10</v>
      </c>
    </row>
    <row r="19" spans="1:14" x14ac:dyDescent="0.2">
      <c r="A19" s="39" t="s">
        <v>165</v>
      </c>
      <c r="B19" s="39" t="s">
        <v>166</v>
      </c>
      <c r="C19" s="39" t="s">
        <v>167</v>
      </c>
      <c r="D19" s="40">
        <v>116</v>
      </c>
      <c r="E19" s="41">
        <v>153000</v>
      </c>
      <c r="F19" s="41">
        <f>VLOOKUP(C19,'P &amp; M'!C19:L161,10,0)</f>
        <v>153000</v>
      </c>
      <c r="G19" s="41"/>
      <c r="H19" s="41">
        <v>13770</v>
      </c>
      <c r="I19" s="41">
        <v>13770</v>
      </c>
      <c r="J19" s="41"/>
      <c r="K19" s="41">
        <f t="shared" si="1"/>
        <v>180540</v>
      </c>
      <c r="L19" s="39"/>
      <c r="N19">
        <v>5</v>
      </c>
    </row>
    <row r="20" spans="1:14" ht="15.75" thickBot="1" x14ac:dyDescent="0.3">
      <c r="A20" s="39"/>
      <c r="B20" s="39"/>
      <c r="C20" s="39"/>
      <c r="D20" s="42" t="s">
        <v>168</v>
      </c>
      <c r="E20" s="43">
        <f>SUM(E9:E19)</f>
        <v>1008110.1799999999</v>
      </c>
      <c r="F20" s="41"/>
      <c r="G20" s="43">
        <f>SUM(G9:G19)</f>
        <v>59580</v>
      </c>
      <c r="H20" s="43">
        <f>SUM(H9:H19)</f>
        <v>61317.919999999998</v>
      </c>
      <c r="I20" s="43">
        <f>SUM(I9:I19)</f>
        <v>61317.919999999998</v>
      </c>
      <c r="J20" s="43">
        <f>SUM(J9:J19)</f>
        <v>4200.1200000000008</v>
      </c>
      <c r="K20" s="43">
        <f>SUM(K9:K19)</f>
        <v>1194526.1400000001</v>
      </c>
      <c r="L20" s="39"/>
    </row>
    <row r="21" spans="1:14" ht="15" x14ac:dyDescent="0.25">
      <c r="A21" s="44" t="s">
        <v>169</v>
      </c>
      <c r="B21" s="39"/>
      <c r="C21" s="39"/>
      <c r="D21" s="40"/>
      <c r="E21" s="41"/>
      <c r="F21" s="41"/>
      <c r="G21" s="41"/>
      <c r="H21" s="41"/>
      <c r="I21" s="41"/>
      <c r="J21" s="41"/>
      <c r="K21" s="41"/>
      <c r="L21" s="39"/>
    </row>
    <row r="22" spans="1:14" x14ac:dyDescent="0.2">
      <c r="A22" s="39"/>
      <c r="B22" s="39"/>
      <c r="C22" s="39"/>
      <c r="D22" s="40"/>
      <c r="E22" s="41"/>
      <c r="F22" s="41"/>
      <c r="G22" s="41"/>
      <c r="H22" s="41"/>
      <c r="I22" s="41"/>
      <c r="J22" s="41"/>
      <c r="K22" s="41"/>
      <c r="L22" s="39"/>
    </row>
    <row r="23" spans="1:14" ht="15" x14ac:dyDescent="0.25">
      <c r="A23" s="46" t="s">
        <v>170</v>
      </c>
      <c r="B23" s="46" t="s">
        <v>171</v>
      </c>
      <c r="C23" s="46" t="s">
        <v>172</v>
      </c>
      <c r="D23" s="46">
        <v>12</v>
      </c>
      <c r="E23" s="47">
        <v>110408</v>
      </c>
      <c r="F23" s="41">
        <f>VLOOKUP(C23,'P &amp; M'!C23:L165,10,0)</f>
        <v>110408</v>
      </c>
      <c r="G23" s="47"/>
      <c r="H23" s="47">
        <v>9936.7199999999993</v>
      </c>
      <c r="I23" s="47">
        <v>9936.7199999999993</v>
      </c>
      <c r="J23" s="47">
        <v>-0.44</v>
      </c>
      <c r="K23" s="47">
        <f t="shared" ref="K23:K82" si="2">E23+G23+H23+I23+J23</f>
        <v>130281</v>
      </c>
      <c r="L23" s="47" t="s">
        <v>173</v>
      </c>
      <c r="N23">
        <v>25</v>
      </c>
    </row>
    <row r="24" spans="1:14" ht="15" x14ac:dyDescent="0.25">
      <c r="A24" s="46" t="s">
        <v>174</v>
      </c>
      <c r="B24" s="46" t="s">
        <v>171</v>
      </c>
      <c r="C24" s="46" t="s">
        <v>172</v>
      </c>
      <c r="D24" s="46">
        <v>15</v>
      </c>
      <c r="E24" s="47">
        <v>56940</v>
      </c>
      <c r="F24" s="41">
        <f>VLOOKUP(C24,'P &amp; M'!C24:L166,10,0)</f>
        <v>110408</v>
      </c>
      <c r="G24" s="47"/>
      <c r="H24" s="47">
        <v>5124.6000000000004</v>
      </c>
      <c r="I24" s="47">
        <v>5124.6000000000004</v>
      </c>
      <c r="J24" s="47">
        <v>0</v>
      </c>
      <c r="K24" s="47">
        <f t="shared" si="2"/>
        <v>67189.2</v>
      </c>
      <c r="L24" s="47" t="s">
        <v>173</v>
      </c>
      <c r="N24">
        <v>25</v>
      </c>
    </row>
    <row r="25" spans="1:14" ht="15" x14ac:dyDescent="0.25">
      <c r="A25" s="46" t="s">
        <v>175</v>
      </c>
      <c r="B25" s="46" t="s">
        <v>171</v>
      </c>
      <c r="C25" s="46" t="s">
        <v>176</v>
      </c>
      <c r="D25" s="46"/>
      <c r="E25" s="47">
        <v>20378</v>
      </c>
      <c r="F25" s="41">
        <f>VLOOKUP(C25,'P &amp; M'!C25:L167,10,0)</f>
        <v>20378</v>
      </c>
      <c r="G25" s="47"/>
      <c r="H25" s="47">
        <v>1834.02</v>
      </c>
      <c r="I25" s="47">
        <v>1834.02</v>
      </c>
      <c r="J25" s="47">
        <v>-0.04</v>
      </c>
      <c r="K25" s="47">
        <f t="shared" si="2"/>
        <v>24046</v>
      </c>
      <c r="L25" s="47" t="s">
        <v>173</v>
      </c>
      <c r="N25">
        <v>25</v>
      </c>
    </row>
    <row r="26" spans="1:14" ht="15" x14ac:dyDescent="0.25">
      <c r="A26" s="46" t="s">
        <v>177</v>
      </c>
      <c r="B26" s="46" t="s">
        <v>171</v>
      </c>
      <c r="C26" s="46" t="s">
        <v>176</v>
      </c>
      <c r="D26" s="46">
        <v>103</v>
      </c>
      <c r="E26" s="47">
        <v>63000</v>
      </c>
      <c r="F26" s="41">
        <f>VLOOKUP(C26,'P &amp; M'!C26:L168,10,0)</f>
        <v>20378</v>
      </c>
      <c r="G26" s="47"/>
      <c r="H26" s="47">
        <v>5670</v>
      </c>
      <c r="I26" s="47">
        <v>5670</v>
      </c>
      <c r="J26" s="47"/>
      <c r="K26" s="47">
        <f t="shared" si="2"/>
        <v>74340</v>
      </c>
      <c r="L26" s="47" t="s">
        <v>173</v>
      </c>
      <c r="N26">
        <v>25</v>
      </c>
    </row>
    <row r="27" spans="1:14" ht="15" x14ac:dyDescent="0.25">
      <c r="A27" s="46" t="s">
        <v>178</v>
      </c>
      <c r="B27" s="46" t="s">
        <v>171</v>
      </c>
      <c r="C27" s="46" t="s">
        <v>179</v>
      </c>
      <c r="D27" s="46">
        <v>10043</v>
      </c>
      <c r="E27" s="47">
        <v>548903</v>
      </c>
      <c r="F27" s="41">
        <f>VLOOKUP(C27,'P &amp; M'!C27:L169,10,0)</f>
        <v>548903</v>
      </c>
      <c r="G27" s="47"/>
      <c r="H27" s="47">
        <v>49401.27</v>
      </c>
      <c r="I27" s="47">
        <v>49401.27</v>
      </c>
      <c r="J27" s="47">
        <v>0.46</v>
      </c>
      <c r="K27" s="47">
        <f t="shared" si="2"/>
        <v>647706</v>
      </c>
      <c r="L27" s="47" t="s">
        <v>173</v>
      </c>
      <c r="N27">
        <v>25</v>
      </c>
    </row>
    <row r="28" spans="1:14" ht="15" x14ac:dyDescent="0.25">
      <c r="A28" s="46" t="s">
        <v>180</v>
      </c>
      <c r="B28" s="46" t="s">
        <v>181</v>
      </c>
      <c r="C28" s="46" t="s">
        <v>182</v>
      </c>
      <c r="D28" s="46">
        <v>90</v>
      </c>
      <c r="E28" s="47">
        <v>2225000</v>
      </c>
      <c r="F28" s="41">
        <f>VLOOKUP(C28,'P &amp; M'!C28:L170,10,0)</f>
        <v>2225000</v>
      </c>
      <c r="G28" s="47"/>
      <c r="H28" s="47">
        <v>200250</v>
      </c>
      <c r="I28" s="47">
        <v>200250</v>
      </c>
      <c r="J28" s="46"/>
      <c r="K28" s="47">
        <f t="shared" si="2"/>
        <v>2625500</v>
      </c>
      <c r="L28" s="47" t="s">
        <v>173</v>
      </c>
      <c r="N28">
        <v>25</v>
      </c>
    </row>
    <row r="29" spans="1:14" ht="15" x14ac:dyDescent="0.25">
      <c r="A29" s="46" t="s">
        <v>177</v>
      </c>
      <c r="B29" s="46" t="s">
        <v>127</v>
      </c>
      <c r="C29" s="46" t="s">
        <v>149</v>
      </c>
      <c r="D29" s="46">
        <v>234</v>
      </c>
      <c r="E29" s="47">
        <v>141500</v>
      </c>
      <c r="F29" s="41">
        <f>VLOOKUP(C29,'P &amp; M'!C29:L171,10,0)</f>
        <v>200000</v>
      </c>
      <c r="G29" s="47">
        <v>25470</v>
      </c>
      <c r="H29" s="47"/>
      <c r="I29" s="46"/>
      <c r="J29" s="46"/>
      <c r="K29" s="47">
        <f t="shared" si="2"/>
        <v>166970</v>
      </c>
      <c r="L29" s="47" t="s">
        <v>184</v>
      </c>
      <c r="N29">
        <v>10</v>
      </c>
    </row>
    <row r="30" spans="1:14" ht="15" x14ac:dyDescent="0.25">
      <c r="A30" s="46" t="s">
        <v>185</v>
      </c>
      <c r="B30" s="46" t="s">
        <v>127</v>
      </c>
      <c r="C30" s="46" t="s">
        <v>149</v>
      </c>
      <c r="D30" s="46">
        <v>235</v>
      </c>
      <c r="E30" s="47">
        <v>141500</v>
      </c>
      <c r="F30" s="41">
        <f>VLOOKUP(C30,'P &amp; M'!C30:L172,10,0)</f>
        <v>200000</v>
      </c>
      <c r="G30" s="47">
        <v>25470</v>
      </c>
      <c r="H30" s="47"/>
      <c r="I30" s="46"/>
      <c r="J30" s="46"/>
      <c r="K30" s="47">
        <f t="shared" si="2"/>
        <v>166970</v>
      </c>
      <c r="L30" s="47" t="s">
        <v>184</v>
      </c>
      <c r="N30">
        <v>10</v>
      </c>
    </row>
    <row r="31" spans="1:14" ht="15" x14ac:dyDescent="0.25">
      <c r="A31" s="46" t="s">
        <v>186</v>
      </c>
      <c r="B31" s="46" t="s">
        <v>187</v>
      </c>
      <c r="C31" s="46" t="s">
        <v>188</v>
      </c>
      <c r="D31" s="46">
        <v>1146</v>
      </c>
      <c r="E31" s="47">
        <v>21765</v>
      </c>
      <c r="F31" s="41">
        <f>VLOOKUP(C31,'P &amp; M'!C31:L173,10,0)</f>
        <v>21765</v>
      </c>
      <c r="G31" s="47"/>
      <c r="H31" s="47">
        <v>1958.85</v>
      </c>
      <c r="I31" s="47">
        <v>1958.85</v>
      </c>
      <c r="J31" s="47">
        <v>0.3</v>
      </c>
      <c r="K31" s="47">
        <f t="shared" si="2"/>
        <v>25682.999999999996</v>
      </c>
      <c r="L31" s="47" t="s">
        <v>189</v>
      </c>
      <c r="N31">
        <v>10</v>
      </c>
    </row>
    <row r="32" spans="1:14" ht="15" x14ac:dyDescent="0.25">
      <c r="A32" s="46" t="s">
        <v>190</v>
      </c>
      <c r="B32" s="46" t="s">
        <v>191</v>
      </c>
      <c r="C32" s="46" t="s">
        <v>192</v>
      </c>
      <c r="D32" s="46">
        <v>496</v>
      </c>
      <c r="E32" s="47">
        <v>15000</v>
      </c>
      <c r="F32" s="41">
        <f>VLOOKUP(C32,'P &amp; M'!C32:L174,10,0)</f>
        <v>15000</v>
      </c>
      <c r="G32" s="47"/>
      <c r="H32" s="47">
        <v>1350</v>
      </c>
      <c r="I32" s="47">
        <v>1350</v>
      </c>
      <c r="J32" s="47"/>
      <c r="K32" s="47">
        <f t="shared" si="2"/>
        <v>17700</v>
      </c>
      <c r="L32" s="47" t="s">
        <v>189</v>
      </c>
      <c r="N32">
        <v>10</v>
      </c>
    </row>
    <row r="33" spans="1:14" ht="15" x14ac:dyDescent="0.25">
      <c r="A33" s="46" t="s">
        <v>193</v>
      </c>
      <c r="B33" s="46" t="s">
        <v>191</v>
      </c>
      <c r="C33" s="46" t="s">
        <v>192</v>
      </c>
      <c r="D33" s="46">
        <v>621</v>
      </c>
      <c r="E33" s="47">
        <v>9750</v>
      </c>
      <c r="F33" s="41">
        <f>VLOOKUP(C33,'P &amp; M'!C33:L175,10,0)</f>
        <v>15000</v>
      </c>
      <c r="G33" s="47"/>
      <c r="H33" s="47">
        <v>877.5</v>
      </c>
      <c r="I33" s="47">
        <v>877.5</v>
      </c>
      <c r="J33" s="46"/>
      <c r="K33" s="47">
        <f t="shared" si="2"/>
        <v>11505</v>
      </c>
      <c r="L33" s="47" t="s">
        <v>189</v>
      </c>
      <c r="N33">
        <v>10</v>
      </c>
    </row>
    <row r="34" spans="1:14" ht="15" x14ac:dyDescent="0.25">
      <c r="A34" s="46" t="s">
        <v>194</v>
      </c>
      <c r="B34" s="46" t="s">
        <v>195</v>
      </c>
      <c r="C34" s="46" t="s">
        <v>196</v>
      </c>
      <c r="D34" s="46">
        <v>1</v>
      </c>
      <c r="E34" s="47">
        <v>1500000</v>
      </c>
      <c r="F34" s="41">
        <f>VLOOKUP(C34,'P &amp; M'!C34:L176,10,0)</f>
        <v>1500000</v>
      </c>
      <c r="G34" s="47">
        <v>270000</v>
      </c>
      <c r="H34" s="47"/>
      <c r="I34" s="46"/>
      <c r="J34" s="46"/>
      <c r="K34" s="47">
        <f t="shared" si="2"/>
        <v>1770000</v>
      </c>
      <c r="L34" s="47" t="s">
        <v>197</v>
      </c>
      <c r="N34">
        <v>10</v>
      </c>
    </row>
    <row r="35" spans="1:14" ht="15" x14ac:dyDescent="0.25">
      <c r="A35" s="46" t="s">
        <v>198</v>
      </c>
      <c r="B35" s="46" t="s">
        <v>195</v>
      </c>
      <c r="C35" s="46" t="s">
        <v>196</v>
      </c>
      <c r="D35" s="46">
        <v>2</v>
      </c>
      <c r="E35" s="47">
        <v>1000000</v>
      </c>
      <c r="F35" s="41">
        <f>VLOOKUP(C35,'P &amp; M'!C35:L177,10,0)</f>
        <v>1500000</v>
      </c>
      <c r="G35" s="47">
        <v>180000</v>
      </c>
      <c r="H35" s="47"/>
      <c r="I35" s="46"/>
      <c r="J35" s="46"/>
      <c r="K35" s="47">
        <f t="shared" si="2"/>
        <v>1180000</v>
      </c>
      <c r="L35" s="47" t="s">
        <v>197</v>
      </c>
      <c r="N35">
        <v>10</v>
      </c>
    </row>
    <row r="36" spans="1:14" ht="15" x14ac:dyDescent="0.25">
      <c r="A36" s="46" t="s">
        <v>183</v>
      </c>
      <c r="B36" s="46" t="s">
        <v>195</v>
      </c>
      <c r="C36" s="46" t="s">
        <v>196</v>
      </c>
      <c r="D36" s="46">
        <v>3</v>
      </c>
      <c r="E36" s="47">
        <v>600000</v>
      </c>
      <c r="F36" s="41">
        <f>VLOOKUP(C36,'P &amp; M'!C36:L178,10,0)</f>
        <v>1500000</v>
      </c>
      <c r="G36" s="47">
        <v>108000</v>
      </c>
      <c r="H36" s="47"/>
      <c r="I36" s="46"/>
      <c r="J36" s="46"/>
      <c r="K36" s="47">
        <f t="shared" si="2"/>
        <v>708000</v>
      </c>
      <c r="L36" s="47" t="s">
        <v>197</v>
      </c>
      <c r="N36">
        <v>10</v>
      </c>
    </row>
    <row r="37" spans="1:14" ht="15" x14ac:dyDescent="0.25">
      <c r="A37" s="46" t="s">
        <v>199</v>
      </c>
      <c r="B37" s="46" t="s">
        <v>195</v>
      </c>
      <c r="C37" s="46" t="s">
        <v>196</v>
      </c>
      <c r="D37" s="46">
        <v>4</v>
      </c>
      <c r="E37" s="47">
        <v>600000</v>
      </c>
      <c r="F37" s="41">
        <f>VLOOKUP(C37,'P &amp; M'!C37:L179,10,0)</f>
        <v>1500000</v>
      </c>
      <c r="G37" s="47">
        <v>108000</v>
      </c>
      <c r="H37" s="47"/>
      <c r="I37" s="46"/>
      <c r="J37" s="46"/>
      <c r="K37" s="47">
        <f t="shared" si="2"/>
        <v>708000</v>
      </c>
      <c r="L37" s="47" t="s">
        <v>197</v>
      </c>
      <c r="N37">
        <v>10</v>
      </c>
    </row>
    <row r="38" spans="1:14" ht="15" x14ac:dyDescent="0.25">
      <c r="A38" s="46" t="s">
        <v>200</v>
      </c>
      <c r="B38" s="46" t="s">
        <v>195</v>
      </c>
      <c r="C38" s="46" t="s">
        <v>196</v>
      </c>
      <c r="D38" s="46">
        <v>5</v>
      </c>
      <c r="E38" s="47">
        <v>800000</v>
      </c>
      <c r="F38" s="41">
        <f>VLOOKUP(C38,'P &amp; M'!C38:L180,10,0)</f>
        <v>1500000</v>
      </c>
      <c r="G38" s="47">
        <v>144000</v>
      </c>
      <c r="H38" s="47"/>
      <c r="I38" s="46"/>
      <c r="J38" s="46"/>
      <c r="K38" s="47">
        <f t="shared" si="2"/>
        <v>944000</v>
      </c>
      <c r="L38" s="47" t="s">
        <v>197</v>
      </c>
      <c r="N38">
        <v>10</v>
      </c>
    </row>
    <row r="39" spans="1:14" ht="15" x14ac:dyDescent="0.25">
      <c r="A39" s="46" t="s">
        <v>201</v>
      </c>
      <c r="B39" s="46" t="s">
        <v>195</v>
      </c>
      <c r="C39" s="46" t="s">
        <v>196</v>
      </c>
      <c r="D39" s="46">
        <v>6</v>
      </c>
      <c r="E39" s="47">
        <v>600000</v>
      </c>
      <c r="F39" s="41">
        <f>VLOOKUP(C39,'P &amp; M'!C39:L181,10,0)</f>
        <v>1500000</v>
      </c>
      <c r="G39" s="47">
        <v>108000</v>
      </c>
      <c r="H39" s="47"/>
      <c r="I39" s="46"/>
      <c r="J39" s="46"/>
      <c r="K39" s="47">
        <f t="shared" si="2"/>
        <v>708000</v>
      </c>
      <c r="L39" s="47" t="s">
        <v>197</v>
      </c>
      <c r="N39">
        <v>10</v>
      </c>
    </row>
    <row r="40" spans="1:14" ht="15" x14ac:dyDescent="0.25">
      <c r="A40" s="46" t="s">
        <v>202</v>
      </c>
      <c r="B40" s="46" t="s">
        <v>195</v>
      </c>
      <c r="C40" s="46" t="s">
        <v>196</v>
      </c>
      <c r="D40" s="46">
        <v>7</v>
      </c>
      <c r="E40" s="47">
        <v>400000</v>
      </c>
      <c r="F40" s="41">
        <f>VLOOKUP(C40,'P &amp; M'!C40:L182,10,0)</f>
        <v>1500000</v>
      </c>
      <c r="G40" s="47">
        <v>72000</v>
      </c>
      <c r="H40" s="47"/>
      <c r="I40" s="46"/>
      <c r="J40" s="46"/>
      <c r="K40" s="47">
        <f t="shared" si="2"/>
        <v>472000</v>
      </c>
      <c r="L40" s="47" t="s">
        <v>197</v>
      </c>
      <c r="N40">
        <v>10</v>
      </c>
    </row>
    <row r="41" spans="1:14" ht="15" x14ac:dyDescent="0.25">
      <c r="A41" s="46" t="s">
        <v>203</v>
      </c>
      <c r="B41" s="46" t="s">
        <v>195</v>
      </c>
      <c r="C41" s="46" t="s">
        <v>196</v>
      </c>
      <c r="D41" s="46">
        <v>8</v>
      </c>
      <c r="E41" s="47">
        <v>380000</v>
      </c>
      <c r="F41" s="41">
        <f>VLOOKUP(C41,'P &amp; M'!C41:L183,10,0)</f>
        <v>1500000</v>
      </c>
      <c r="G41" s="47">
        <v>68400</v>
      </c>
      <c r="H41" s="47"/>
      <c r="I41" s="46"/>
      <c r="J41" s="46"/>
      <c r="K41" s="47">
        <f t="shared" si="2"/>
        <v>448400</v>
      </c>
      <c r="L41" s="47" t="s">
        <v>197</v>
      </c>
      <c r="N41">
        <v>10</v>
      </c>
    </row>
    <row r="42" spans="1:14" ht="15" x14ac:dyDescent="0.25">
      <c r="A42" s="46" t="s">
        <v>204</v>
      </c>
      <c r="B42" s="46" t="s">
        <v>195</v>
      </c>
      <c r="C42" s="46" t="s">
        <v>196</v>
      </c>
      <c r="D42" s="46">
        <v>9</v>
      </c>
      <c r="E42" s="47">
        <v>20000</v>
      </c>
      <c r="F42" s="41">
        <f>VLOOKUP(C42,'P &amp; M'!C42:L184,10,0)</f>
        <v>1500000</v>
      </c>
      <c r="G42" s="47">
        <v>3600</v>
      </c>
      <c r="H42" s="47"/>
      <c r="I42" s="46"/>
      <c r="J42" s="46"/>
      <c r="K42" s="47">
        <f t="shared" si="2"/>
        <v>23600</v>
      </c>
      <c r="L42" s="47" t="s">
        <v>197</v>
      </c>
      <c r="N42">
        <v>10</v>
      </c>
    </row>
    <row r="43" spans="1:14" ht="15" x14ac:dyDescent="0.25">
      <c r="A43" s="46" t="s">
        <v>206</v>
      </c>
      <c r="B43" s="46" t="s">
        <v>207</v>
      </c>
      <c r="C43" s="46" t="s">
        <v>208</v>
      </c>
      <c r="D43" s="46">
        <v>426</v>
      </c>
      <c r="E43" s="47">
        <v>1482317</v>
      </c>
      <c r="F43" s="41">
        <f>VLOOKUP(C43,'P &amp; M'!C43:L185,10,0)</f>
        <v>1482317</v>
      </c>
      <c r="G43" s="47">
        <v>266817</v>
      </c>
      <c r="H43" s="47"/>
      <c r="I43" s="46"/>
      <c r="J43" s="46"/>
      <c r="K43" s="47">
        <f t="shared" si="2"/>
        <v>1749134</v>
      </c>
      <c r="L43" s="47" t="s">
        <v>208</v>
      </c>
    </row>
    <row r="44" spans="1:14" ht="15" x14ac:dyDescent="0.25">
      <c r="A44" s="46" t="s">
        <v>209</v>
      </c>
      <c r="B44" s="46" t="s">
        <v>207</v>
      </c>
      <c r="C44" s="46" t="s">
        <v>208</v>
      </c>
      <c r="D44" s="46">
        <v>413</v>
      </c>
      <c r="E44" s="47">
        <v>1480576</v>
      </c>
      <c r="F44" s="41">
        <f>VLOOKUP(C44,'P &amp; M'!C44:L186,10,0)</f>
        <v>1482317</v>
      </c>
      <c r="G44" s="47">
        <v>266504</v>
      </c>
      <c r="H44" s="47"/>
      <c r="I44" s="46"/>
      <c r="J44" s="46"/>
      <c r="K44" s="47">
        <f t="shared" si="2"/>
        <v>1747080</v>
      </c>
      <c r="L44" s="47" t="s">
        <v>208</v>
      </c>
    </row>
    <row r="45" spans="1:14" ht="15" x14ac:dyDescent="0.25">
      <c r="A45" s="46" t="s">
        <v>210</v>
      </c>
      <c r="B45" s="46" t="s">
        <v>207</v>
      </c>
      <c r="C45" s="46" t="s">
        <v>208</v>
      </c>
      <c r="D45" s="46">
        <v>465</v>
      </c>
      <c r="E45" s="47">
        <v>1045002</v>
      </c>
      <c r="F45" s="41">
        <f>VLOOKUP(C45,'P &amp; M'!C45:L187,10,0)</f>
        <v>1482317</v>
      </c>
      <c r="G45" s="47">
        <v>188100</v>
      </c>
      <c r="H45" s="47"/>
      <c r="I45" s="46"/>
      <c r="J45" s="46"/>
      <c r="K45" s="47">
        <f t="shared" si="2"/>
        <v>1233102</v>
      </c>
      <c r="L45" s="47" t="s">
        <v>208</v>
      </c>
    </row>
    <row r="46" spans="1:14" ht="15" x14ac:dyDescent="0.25">
      <c r="A46" s="46" t="s">
        <v>210</v>
      </c>
      <c r="B46" s="46" t="s">
        <v>207</v>
      </c>
      <c r="C46" s="46" t="s">
        <v>208</v>
      </c>
      <c r="D46" s="46">
        <v>464</v>
      </c>
      <c r="E46" s="47">
        <v>1045002</v>
      </c>
      <c r="F46" s="41">
        <f>VLOOKUP(C46,'P &amp; M'!C46:L188,10,0)</f>
        <v>1482317</v>
      </c>
      <c r="G46" s="47">
        <v>188100</v>
      </c>
      <c r="H46" s="47"/>
      <c r="I46" s="46"/>
      <c r="J46" s="46"/>
      <c r="K46" s="47">
        <f t="shared" si="2"/>
        <v>1233102</v>
      </c>
      <c r="L46" s="47" t="s">
        <v>208</v>
      </c>
    </row>
    <row r="47" spans="1:14" ht="15" x14ac:dyDescent="0.25">
      <c r="A47" s="46" t="s">
        <v>211</v>
      </c>
      <c r="B47" s="46" t="s">
        <v>207</v>
      </c>
      <c r="C47" s="46" t="s">
        <v>208</v>
      </c>
      <c r="D47" s="46">
        <v>473</v>
      </c>
      <c r="E47" s="47">
        <v>2477036</v>
      </c>
      <c r="F47" s="41">
        <f>VLOOKUP(C47,'P &amp; M'!C47:L189,10,0)</f>
        <v>1482317</v>
      </c>
      <c r="G47" s="47">
        <v>445866</v>
      </c>
      <c r="H47" s="47"/>
      <c r="I47" s="46"/>
      <c r="J47" s="46"/>
      <c r="K47" s="47">
        <f t="shared" si="2"/>
        <v>2922902</v>
      </c>
      <c r="L47" s="47" t="s">
        <v>208</v>
      </c>
    </row>
    <row r="48" spans="1:14" ht="15" x14ac:dyDescent="0.25">
      <c r="A48" s="46" t="s">
        <v>212</v>
      </c>
      <c r="B48" s="46" t="s">
        <v>207</v>
      </c>
      <c r="C48" s="46" t="s">
        <v>208</v>
      </c>
      <c r="D48" s="46">
        <v>483</v>
      </c>
      <c r="E48" s="47">
        <f>519117+13185</f>
        <v>532302</v>
      </c>
      <c r="F48" s="41">
        <f>VLOOKUP(C48,'P &amp; M'!C48:L190,10,0)</f>
        <v>1482317</v>
      </c>
      <c r="G48" s="47">
        <v>95814</v>
      </c>
      <c r="H48" s="47"/>
      <c r="I48" s="46"/>
      <c r="J48" s="46"/>
      <c r="K48" s="47">
        <f t="shared" si="2"/>
        <v>628116</v>
      </c>
      <c r="L48" s="47" t="s">
        <v>208</v>
      </c>
    </row>
    <row r="49" spans="1:12" ht="15" x14ac:dyDescent="0.25">
      <c r="A49" s="46" t="s">
        <v>190</v>
      </c>
      <c r="B49" s="46" t="s">
        <v>207</v>
      </c>
      <c r="C49" s="46" t="s">
        <v>208</v>
      </c>
      <c r="D49" s="46">
        <v>484</v>
      </c>
      <c r="E49" s="47">
        <f>1226957+31164</f>
        <v>1258121</v>
      </c>
      <c r="F49" s="41">
        <f>VLOOKUP(C49,'P &amp; M'!C49:L191,10,0)</f>
        <v>1482317</v>
      </c>
      <c r="G49" s="47">
        <v>226461</v>
      </c>
      <c r="H49" s="47"/>
      <c r="I49" s="46"/>
      <c r="J49" s="46"/>
      <c r="K49" s="47">
        <f t="shared" si="2"/>
        <v>1484582</v>
      </c>
      <c r="L49" s="47" t="s">
        <v>208</v>
      </c>
    </row>
    <row r="50" spans="1:12" ht="15" x14ac:dyDescent="0.25">
      <c r="A50" s="46" t="s">
        <v>213</v>
      </c>
      <c r="B50" s="46" t="s">
        <v>207</v>
      </c>
      <c r="C50" s="46" t="s">
        <v>214</v>
      </c>
      <c r="D50" s="46">
        <v>567</v>
      </c>
      <c r="E50" s="47">
        <f>65825+2633</f>
        <v>68458</v>
      </c>
      <c r="F50" s="41">
        <f>VLOOKUP(C50,'P &amp; M'!C50:L192,10,0)</f>
        <v>68458</v>
      </c>
      <c r="G50" s="47">
        <v>12322.44</v>
      </c>
      <c r="H50" s="47"/>
      <c r="I50" s="46"/>
      <c r="J50" s="47">
        <v>-0.44</v>
      </c>
      <c r="K50" s="47">
        <f t="shared" si="2"/>
        <v>80780</v>
      </c>
      <c r="L50" s="46" t="s">
        <v>208</v>
      </c>
    </row>
    <row r="51" spans="1:12" ht="15" x14ac:dyDescent="0.25">
      <c r="A51" s="46" t="s">
        <v>215</v>
      </c>
      <c r="B51" s="46" t="s">
        <v>216</v>
      </c>
      <c r="C51" s="46" t="s">
        <v>217</v>
      </c>
      <c r="D51" s="46">
        <v>2810</v>
      </c>
      <c r="E51" s="47">
        <v>154000</v>
      </c>
      <c r="F51" s="41">
        <f>VLOOKUP(C51,'P &amp; M'!C51:L193,10,0)</f>
        <v>154000</v>
      </c>
      <c r="G51" s="47">
        <v>27720</v>
      </c>
      <c r="H51" s="47"/>
      <c r="I51" s="46"/>
      <c r="J51" s="46"/>
      <c r="K51" s="47">
        <f t="shared" si="2"/>
        <v>181720</v>
      </c>
      <c r="L51" s="47" t="s">
        <v>217</v>
      </c>
    </row>
    <row r="52" spans="1:12" ht="15" x14ac:dyDescent="0.25">
      <c r="A52" s="46" t="s">
        <v>218</v>
      </c>
      <c r="B52" s="46" t="s">
        <v>219</v>
      </c>
      <c r="C52" s="46" t="s">
        <v>220</v>
      </c>
      <c r="D52" s="46">
        <v>265</v>
      </c>
      <c r="E52" s="47">
        <v>594000</v>
      </c>
      <c r="F52" s="41">
        <f>VLOOKUP(C52,'P &amp; M'!C52:L194,10,0)</f>
        <v>594000</v>
      </c>
      <c r="G52" s="47">
        <v>0</v>
      </c>
      <c r="H52" s="47">
        <v>53460</v>
      </c>
      <c r="I52" s="47">
        <v>53460</v>
      </c>
      <c r="J52" s="46"/>
      <c r="K52" s="47">
        <f t="shared" si="2"/>
        <v>700920</v>
      </c>
      <c r="L52" s="47" t="s">
        <v>221</v>
      </c>
    </row>
    <row r="53" spans="1:12" ht="15" x14ac:dyDescent="0.25">
      <c r="A53" s="46" t="s">
        <v>222</v>
      </c>
      <c r="B53" s="46" t="s">
        <v>223</v>
      </c>
      <c r="C53" s="46" t="s">
        <v>224</v>
      </c>
      <c r="D53" s="46">
        <v>55</v>
      </c>
      <c r="E53" s="47">
        <v>175000</v>
      </c>
      <c r="F53" s="41">
        <f>VLOOKUP(C53,'P &amp; M'!C53:L195,10,0)</f>
        <v>175000</v>
      </c>
      <c r="G53" s="47">
        <v>0</v>
      </c>
      <c r="H53" s="47">
        <v>10500</v>
      </c>
      <c r="I53" s="47">
        <v>10500</v>
      </c>
      <c r="J53" s="46"/>
      <c r="K53" s="47">
        <f t="shared" si="2"/>
        <v>196000</v>
      </c>
      <c r="L53" s="47" t="s">
        <v>221</v>
      </c>
    </row>
    <row r="54" spans="1:12" ht="15" x14ac:dyDescent="0.25">
      <c r="A54" s="46" t="s">
        <v>209</v>
      </c>
      <c r="B54" s="46" t="s">
        <v>53</v>
      </c>
      <c r="C54" s="46" t="s">
        <v>225</v>
      </c>
      <c r="D54" s="46">
        <v>49</v>
      </c>
      <c r="E54" s="47">
        <v>700000</v>
      </c>
      <c r="F54" s="41" t="e">
        <f>VLOOKUP(C54,'P &amp; M'!C54:L196,10,0)</f>
        <v>#N/A</v>
      </c>
      <c r="G54" s="47"/>
      <c r="H54" s="47">
        <v>63000</v>
      </c>
      <c r="I54" s="47">
        <v>63000</v>
      </c>
      <c r="J54" s="46"/>
      <c r="K54" s="47">
        <f t="shared" si="2"/>
        <v>826000</v>
      </c>
      <c r="L54" s="47" t="s">
        <v>221</v>
      </c>
    </row>
    <row r="55" spans="1:12" ht="15" x14ac:dyDescent="0.25">
      <c r="A55" s="46" t="s">
        <v>209</v>
      </c>
      <c r="B55" s="46" t="s">
        <v>53</v>
      </c>
      <c r="C55" s="46" t="s">
        <v>225</v>
      </c>
      <c r="D55" s="46">
        <v>48</v>
      </c>
      <c r="E55" s="47">
        <v>1000000</v>
      </c>
      <c r="F55" s="41" t="e">
        <f>VLOOKUP(C55,'P &amp; M'!C55:L197,10,0)</f>
        <v>#N/A</v>
      </c>
      <c r="G55" s="47"/>
      <c r="H55" s="47">
        <v>90000</v>
      </c>
      <c r="I55" s="47">
        <v>90000</v>
      </c>
      <c r="J55" s="46"/>
      <c r="K55" s="47">
        <f t="shared" si="2"/>
        <v>1180000</v>
      </c>
      <c r="L55" s="47" t="s">
        <v>221</v>
      </c>
    </row>
    <row r="56" spans="1:12" ht="15" x14ac:dyDescent="0.25">
      <c r="A56" s="46" t="s">
        <v>209</v>
      </c>
      <c r="B56" s="46" t="s">
        <v>53</v>
      </c>
      <c r="C56" s="46" t="s">
        <v>225</v>
      </c>
      <c r="D56" s="46">
        <v>50</v>
      </c>
      <c r="E56" s="47">
        <v>700000</v>
      </c>
      <c r="F56" s="41" t="e">
        <f>VLOOKUP(C56,'P &amp; M'!C56:L198,10,0)</f>
        <v>#N/A</v>
      </c>
      <c r="G56" s="47"/>
      <c r="H56" s="47">
        <v>63000</v>
      </c>
      <c r="I56" s="47">
        <v>63000</v>
      </c>
      <c r="J56" s="46"/>
      <c r="K56" s="47">
        <f t="shared" si="2"/>
        <v>826000</v>
      </c>
      <c r="L56" s="47" t="s">
        <v>221</v>
      </c>
    </row>
    <row r="57" spans="1:12" ht="15" x14ac:dyDescent="0.25">
      <c r="A57" s="46" t="s">
        <v>201</v>
      </c>
      <c r="B57" s="46" t="s">
        <v>53</v>
      </c>
      <c r="C57" s="46" t="s">
        <v>225</v>
      </c>
      <c r="D57" s="46">
        <v>54</v>
      </c>
      <c r="E57" s="47">
        <v>975000</v>
      </c>
      <c r="F57" s="41" t="e">
        <f>VLOOKUP(C57,'P &amp; M'!C57:L199,10,0)</f>
        <v>#N/A</v>
      </c>
      <c r="G57" s="47"/>
      <c r="H57" s="47">
        <v>87500</v>
      </c>
      <c r="I57" s="47">
        <v>87500</v>
      </c>
      <c r="J57" s="46"/>
      <c r="K57" s="47">
        <f t="shared" si="2"/>
        <v>1150000</v>
      </c>
      <c r="L57" s="47" t="s">
        <v>221</v>
      </c>
    </row>
    <row r="58" spans="1:12" ht="15" x14ac:dyDescent="0.25">
      <c r="A58" s="46" t="s">
        <v>201</v>
      </c>
      <c r="B58" s="46" t="s">
        <v>53</v>
      </c>
      <c r="C58" s="46" t="s">
        <v>225</v>
      </c>
      <c r="D58" s="46">
        <v>55</v>
      </c>
      <c r="E58" s="47">
        <v>525000</v>
      </c>
      <c r="F58" s="41" t="e">
        <f>VLOOKUP(C58,'P &amp; M'!C58:L200,10,0)</f>
        <v>#N/A</v>
      </c>
      <c r="G58" s="47"/>
      <c r="H58" s="47">
        <v>47250</v>
      </c>
      <c r="I58" s="47">
        <v>47250</v>
      </c>
      <c r="J58" s="46"/>
      <c r="K58" s="47">
        <f t="shared" si="2"/>
        <v>619500</v>
      </c>
      <c r="L58" s="47" t="s">
        <v>221</v>
      </c>
    </row>
    <row r="59" spans="1:12" ht="15" x14ac:dyDescent="0.25">
      <c r="A59" s="46" t="s">
        <v>226</v>
      </c>
      <c r="B59" s="46" t="s">
        <v>53</v>
      </c>
      <c r="C59" s="46" t="s">
        <v>225</v>
      </c>
      <c r="D59" s="46">
        <v>62</v>
      </c>
      <c r="E59" s="47">
        <v>600000</v>
      </c>
      <c r="F59" s="41" t="e">
        <f>VLOOKUP(C59,'P &amp; M'!C59:L201,10,0)</f>
        <v>#N/A</v>
      </c>
      <c r="G59" s="47"/>
      <c r="H59" s="47">
        <v>54000</v>
      </c>
      <c r="I59" s="47">
        <v>54000</v>
      </c>
      <c r="J59" s="46"/>
      <c r="K59" s="47">
        <f t="shared" si="2"/>
        <v>708000</v>
      </c>
      <c r="L59" s="47" t="s">
        <v>221</v>
      </c>
    </row>
    <row r="60" spans="1:12" ht="15" x14ac:dyDescent="0.25">
      <c r="A60" s="46" t="s">
        <v>226</v>
      </c>
      <c r="B60" s="46" t="s">
        <v>53</v>
      </c>
      <c r="C60" s="46" t="s">
        <v>225</v>
      </c>
      <c r="D60" s="46">
        <v>63</v>
      </c>
      <c r="E60" s="47">
        <v>525000</v>
      </c>
      <c r="F60" s="41" t="e">
        <f>VLOOKUP(C60,'P &amp; M'!C60:L202,10,0)</f>
        <v>#N/A</v>
      </c>
      <c r="G60" s="47"/>
      <c r="H60" s="47">
        <v>47250</v>
      </c>
      <c r="I60" s="47">
        <v>47250</v>
      </c>
      <c r="J60" s="46"/>
      <c r="K60" s="47">
        <f t="shared" si="2"/>
        <v>619500</v>
      </c>
      <c r="L60" s="47" t="s">
        <v>221</v>
      </c>
    </row>
    <row r="61" spans="1:12" ht="15" x14ac:dyDescent="0.25">
      <c r="A61" s="46" t="s">
        <v>227</v>
      </c>
      <c r="B61" s="46" t="s">
        <v>53</v>
      </c>
      <c r="C61" s="46" t="s">
        <v>225</v>
      </c>
      <c r="D61" s="46">
        <v>70</v>
      </c>
      <c r="E61" s="47">
        <v>175000</v>
      </c>
      <c r="F61" s="41" t="e">
        <f>VLOOKUP(C61,'P &amp; M'!C61:L203,10,0)</f>
        <v>#N/A</v>
      </c>
      <c r="G61" s="47"/>
      <c r="H61" s="47">
        <v>15750</v>
      </c>
      <c r="I61" s="47">
        <v>15750</v>
      </c>
      <c r="J61" s="46"/>
      <c r="K61" s="47">
        <f t="shared" si="2"/>
        <v>206500</v>
      </c>
      <c r="L61" s="47" t="s">
        <v>221</v>
      </c>
    </row>
    <row r="62" spans="1:12" ht="15" x14ac:dyDescent="0.25">
      <c r="A62" s="46" t="s">
        <v>227</v>
      </c>
      <c r="B62" s="46" t="s">
        <v>53</v>
      </c>
      <c r="C62" s="46" t="s">
        <v>225</v>
      </c>
      <c r="D62" s="46">
        <v>69</v>
      </c>
      <c r="E62" s="47">
        <v>1875000</v>
      </c>
      <c r="F62" s="41" t="e">
        <f>VLOOKUP(C62,'P &amp; M'!C62:L204,10,0)</f>
        <v>#N/A</v>
      </c>
      <c r="G62" s="47"/>
      <c r="H62" s="47">
        <v>168750</v>
      </c>
      <c r="I62" s="47">
        <v>168750</v>
      </c>
      <c r="J62" s="46"/>
      <c r="K62" s="47">
        <f t="shared" si="2"/>
        <v>2212500</v>
      </c>
      <c r="L62" s="47" t="s">
        <v>221</v>
      </c>
    </row>
    <row r="63" spans="1:12" ht="15" x14ac:dyDescent="0.25">
      <c r="A63" s="46" t="s">
        <v>228</v>
      </c>
      <c r="B63" s="46" t="s">
        <v>53</v>
      </c>
      <c r="C63" s="46" t="s">
        <v>225</v>
      </c>
      <c r="D63" s="46">
        <v>80</v>
      </c>
      <c r="E63" s="47">
        <v>131000</v>
      </c>
      <c r="F63" s="41" t="e">
        <f>VLOOKUP(C63,'P &amp; M'!C63:L205,10,0)</f>
        <v>#N/A</v>
      </c>
      <c r="G63" s="47"/>
      <c r="H63" s="47">
        <v>11790</v>
      </c>
      <c r="I63" s="47">
        <v>11790</v>
      </c>
      <c r="J63" s="46"/>
      <c r="K63" s="47">
        <f t="shared" si="2"/>
        <v>154580</v>
      </c>
      <c r="L63" s="47" t="s">
        <v>221</v>
      </c>
    </row>
    <row r="64" spans="1:12" ht="15" x14ac:dyDescent="0.25">
      <c r="A64" s="46" t="s">
        <v>228</v>
      </c>
      <c r="B64" s="46" t="s">
        <v>53</v>
      </c>
      <c r="C64" s="46" t="s">
        <v>225</v>
      </c>
      <c r="D64" s="46">
        <v>79</v>
      </c>
      <c r="E64" s="47">
        <v>150000</v>
      </c>
      <c r="F64" s="41" t="e">
        <f>VLOOKUP(C64,'P &amp; M'!C64:L206,10,0)</f>
        <v>#N/A</v>
      </c>
      <c r="G64" s="47"/>
      <c r="H64" s="47">
        <v>13500</v>
      </c>
      <c r="I64" s="47">
        <v>13500</v>
      </c>
      <c r="J64" s="46"/>
      <c r="K64" s="47">
        <f t="shared" si="2"/>
        <v>177000</v>
      </c>
      <c r="L64" s="47" t="s">
        <v>221</v>
      </c>
    </row>
    <row r="65" spans="1:12" ht="15" x14ac:dyDescent="0.25">
      <c r="A65" s="46" t="s">
        <v>229</v>
      </c>
      <c r="B65" s="46" t="s">
        <v>53</v>
      </c>
      <c r="C65" s="46" t="s">
        <v>225</v>
      </c>
      <c r="D65" s="46">
        <v>83</v>
      </c>
      <c r="E65" s="47">
        <f>160000</f>
        <v>160000</v>
      </c>
      <c r="F65" s="41" t="e">
        <f>VLOOKUP(C65,'P &amp; M'!C65:L207,10,0)</f>
        <v>#N/A</v>
      </c>
      <c r="G65" s="47"/>
      <c r="H65" s="47">
        <v>14400</v>
      </c>
      <c r="I65" s="47">
        <v>14400</v>
      </c>
      <c r="J65" s="46"/>
      <c r="K65" s="47">
        <f t="shared" si="2"/>
        <v>188800</v>
      </c>
      <c r="L65" s="47" t="s">
        <v>221</v>
      </c>
    </row>
    <row r="66" spans="1:12" ht="15" x14ac:dyDescent="0.25">
      <c r="A66" s="46" t="s">
        <v>230</v>
      </c>
      <c r="B66" s="46" t="s">
        <v>53</v>
      </c>
      <c r="C66" s="46" t="s">
        <v>225</v>
      </c>
      <c r="D66" s="46">
        <v>85</v>
      </c>
      <c r="E66" s="47">
        <v>620000</v>
      </c>
      <c r="F66" s="41" t="e">
        <f>VLOOKUP(C66,'P &amp; M'!C66:L208,10,0)</f>
        <v>#N/A</v>
      </c>
      <c r="G66" s="47"/>
      <c r="H66" s="47">
        <v>55800</v>
      </c>
      <c r="I66" s="47">
        <v>55800</v>
      </c>
      <c r="J66" s="46"/>
      <c r="K66" s="47">
        <f t="shared" si="2"/>
        <v>731600</v>
      </c>
      <c r="L66" s="47" t="s">
        <v>221</v>
      </c>
    </row>
    <row r="67" spans="1:12" ht="15" x14ac:dyDescent="0.25">
      <c r="A67" s="46" t="s">
        <v>205</v>
      </c>
      <c r="B67" s="46" t="s">
        <v>231</v>
      </c>
      <c r="C67" s="46" t="s">
        <v>232</v>
      </c>
      <c r="D67" s="46">
        <v>999</v>
      </c>
      <c r="E67" s="47">
        <v>1477720.4</v>
      </c>
      <c r="F67" s="41">
        <f>VLOOKUP(C67,'P &amp; M'!C67:L209,10,0)</f>
        <v>1477720.4</v>
      </c>
      <c r="G67" s="47"/>
      <c r="H67" s="47">
        <v>132994.84</v>
      </c>
      <c r="I67" s="47">
        <v>132994.84</v>
      </c>
      <c r="J67" s="47">
        <v>-0.08</v>
      </c>
      <c r="K67" s="47">
        <f t="shared" si="2"/>
        <v>1743710</v>
      </c>
      <c r="L67" s="47" t="s">
        <v>221</v>
      </c>
    </row>
    <row r="68" spans="1:12" ht="15" x14ac:dyDescent="0.25">
      <c r="A68" s="46" t="s">
        <v>233</v>
      </c>
      <c r="B68" s="46" t="s">
        <v>234</v>
      </c>
      <c r="C68" s="46" t="s">
        <v>235</v>
      </c>
      <c r="D68" s="46">
        <v>32</v>
      </c>
      <c r="E68" s="47">
        <v>24238.62</v>
      </c>
      <c r="F68" s="41">
        <f>VLOOKUP(C68,'P &amp; M'!C68:L210,10,0)</f>
        <v>24238.62</v>
      </c>
      <c r="G68" s="47"/>
      <c r="H68" s="47">
        <v>3380.69</v>
      </c>
      <c r="I68" s="47">
        <v>3380.69</v>
      </c>
      <c r="J68" s="46"/>
      <c r="K68" s="47">
        <f t="shared" si="2"/>
        <v>30999.999999999996</v>
      </c>
      <c r="L68" s="46" t="s">
        <v>236</v>
      </c>
    </row>
    <row r="69" spans="1:12" ht="15" x14ac:dyDescent="0.25">
      <c r="A69" s="46" t="s">
        <v>233</v>
      </c>
      <c r="B69" s="46" t="s">
        <v>234</v>
      </c>
      <c r="C69" s="46" t="s">
        <v>235</v>
      </c>
      <c r="D69" s="46">
        <v>33</v>
      </c>
      <c r="E69" s="47">
        <v>26113.62</v>
      </c>
      <c r="F69" s="41">
        <f>VLOOKUP(C69,'P &amp; M'!C69:L211,10,0)</f>
        <v>24238.62</v>
      </c>
      <c r="G69" s="47"/>
      <c r="H69" s="47">
        <v>3643.19</v>
      </c>
      <c r="I69" s="47">
        <v>3643.19</v>
      </c>
      <c r="J69" s="46"/>
      <c r="K69" s="47">
        <f t="shared" si="2"/>
        <v>33400</v>
      </c>
      <c r="L69" s="46" t="s">
        <v>236</v>
      </c>
    </row>
    <row r="70" spans="1:12" ht="15" x14ac:dyDescent="0.25">
      <c r="A70" s="46" t="s">
        <v>201</v>
      </c>
      <c r="B70" s="46" t="s">
        <v>234</v>
      </c>
      <c r="C70" s="46" t="s">
        <v>235</v>
      </c>
      <c r="D70" s="46">
        <v>113</v>
      </c>
      <c r="E70" s="47">
        <v>24218.74</v>
      </c>
      <c r="F70" s="41">
        <f>VLOOKUP(C70,'P &amp; M'!C70:L212,10,0)</f>
        <v>24238.62</v>
      </c>
      <c r="G70" s="47"/>
      <c r="H70" s="47">
        <v>3390.63</v>
      </c>
      <c r="I70" s="47">
        <v>3390.63</v>
      </c>
      <c r="J70" s="46"/>
      <c r="K70" s="47">
        <f t="shared" si="2"/>
        <v>31000.000000000004</v>
      </c>
      <c r="L70" s="46" t="s">
        <v>236</v>
      </c>
    </row>
    <row r="71" spans="1:12" ht="15" x14ac:dyDescent="0.25">
      <c r="A71" s="46" t="s">
        <v>237</v>
      </c>
      <c r="B71" s="46" t="s">
        <v>234</v>
      </c>
      <c r="C71" s="46" t="s">
        <v>238</v>
      </c>
      <c r="D71" s="46">
        <v>29</v>
      </c>
      <c r="E71" s="47">
        <v>107031.24</v>
      </c>
      <c r="F71" s="41">
        <f>VLOOKUP(C71,'P &amp; M'!C71:L213,10,0)</f>
        <v>107031.24</v>
      </c>
      <c r="G71" s="47"/>
      <c r="H71" s="47">
        <v>14984.38</v>
      </c>
      <c r="I71" s="47">
        <v>14984.38</v>
      </c>
      <c r="J71" s="46"/>
      <c r="K71" s="47">
        <f t="shared" si="2"/>
        <v>137000</v>
      </c>
      <c r="L71" s="46" t="s">
        <v>221</v>
      </c>
    </row>
    <row r="72" spans="1:12" ht="15" x14ac:dyDescent="0.25">
      <c r="A72" s="46" t="s">
        <v>213</v>
      </c>
      <c r="B72" s="46" t="s">
        <v>234</v>
      </c>
      <c r="C72" s="46" t="s">
        <v>238</v>
      </c>
      <c r="D72" s="46">
        <v>656</v>
      </c>
      <c r="E72" s="47">
        <v>33203.120000000003</v>
      </c>
      <c r="F72" s="41">
        <f>VLOOKUP(C72,'P &amp; M'!C72:L214,10,0)</f>
        <v>107031.24</v>
      </c>
      <c r="G72" s="47"/>
      <c r="H72" s="47">
        <v>4648.4399999999996</v>
      </c>
      <c r="I72" s="47">
        <v>4648.4399999999996</v>
      </c>
      <c r="J72" s="46"/>
      <c r="K72" s="47">
        <f t="shared" si="2"/>
        <v>42500.000000000007</v>
      </c>
      <c r="L72" s="46" t="s">
        <v>221</v>
      </c>
    </row>
    <row r="73" spans="1:12" ht="15" x14ac:dyDescent="0.25">
      <c r="A73" s="46" t="s">
        <v>239</v>
      </c>
      <c r="B73" s="46" t="s">
        <v>160</v>
      </c>
      <c r="C73" s="46" t="s">
        <v>240</v>
      </c>
      <c r="D73" s="46">
        <v>1419</v>
      </c>
      <c r="E73" s="47">
        <v>35170</v>
      </c>
      <c r="F73" s="41">
        <f>VLOOKUP(C73,'P &amp; M'!C73:L215,10,0)</f>
        <v>35170</v>
      </c>
      <c r="G73" s="47"/>
      <c r="H73" s="47">
        <v>3165.3</v>
      </c>
      <c r="I73" s="47">
        <v>3165.3</v>
      </c>
      <c r="J73" s="47">
        <v>-0.6</v>
      </c>
      <c r="K73" s="47">
        <f t="shared" si="2"/>
        <v>41500.000000000007</v>
      </c>
      <c r="L73" s="46" t="s">
        <v>236</v>
      </c>
    </row>
    <row r="74" spans="1:12" ht="15" x14ac:dyDescent="0.25">
      <c r="A74" s="46" t="s">
        <v>241</v>
      </c>
      <c r="B74" s="46" t="s">
        <v>242</v>
      </c>
      <c r="C74" s="46" t="s">
        <v>243</v>
      </c>
      <c r="D74" s="46" t="s">
        <v>244</v>
      </c>
      <c r="E74" s="47">
        <f>232271+2200</f>
        <v>234471</v>
      </c>
      <c r="F74" s="41">
        <f>VLOOKUP(C74,'P &amp; M'!C74:L216,10,0)</f>
        <v>234471</v>
      </c>
      <c r="G74" s="47"/>
      <c r="H74" s="47">
        <v>21102.39</v>
      </c>
      <c r="I74" s="47">
        <v>21102.39</v>
      </c>
      <c r="J74" s="46">
        <v>0.22</v>
      </c>
      <c r="K74" s="47">
        <f t="shared" si="2"/>
        <v>276676</v>
      </c>
      <c r="L74" s="46" t="s">
        <v>173</v>
      </c>
    </row>
    <row r="75" spans="1:12" ht="15" x14ac:dyDescent="0.25">
      <c r="A75" s="46" t="s">
        <v>245</v>
      </c>
      <c r="B75" s="46" t="s">
        <v>242</v>
      </c>
      <c r="C75" s="46" t="s">
        <v>243</v>
      </c>
      <c r="D75" s="46" t="s">
        <v>246</v>
      </c>
      <c r="E75" s="47">
        <v>2175.4</v>
      </c>
      <c r="F75" s="41">
        <f>VLOOKUP(C75,'P &amp; M'!C75:L217,10,0)</f>
        <v>234471</v>
      </c>
      <c r="G75" s="47"/>
      <c r="H75" s="47">
        <v>195.79</v>
      </c>
      <c r="I75" s="47">
        <v>195.79</v>
      </c>
      <c r="J75" s="47">
        <v>0.02</v>
      </c>
      <c r="K75" s="47">
        <f t="shared" si="2"/>
        <v>2567</v>
      </c>
      <c r="L75" s="46" t="s">
        <v>173</v>
      </c>
    </row>
    <row r="76" spans="1:12" ht="15" x14ac:dyDescent="0.25">
      <c r="A76" s="46" t="s">
        <v>247</v>
      </c>
      <c r="B76" s="46" t="s">
        <v>242</v>
      </c>
      <c r="C76" s="46" t="s">
        <v>243</v>
      </c>
      <c r="D76" s="46" t="s">
        <v>248</v>
      </c>
      <c r="E76" s="47">
        <v>6170.03</v>
      </c>
      <c r="F76" s="41">
        <f>VLOOKUP(C76,'P &amp; M'!C76:L218,10,0)</f>
        <v>234471</v>
      </c>
      <c r="G76" s="47"/>
      <c r="H76" s="47">
        <v>555.29999999999995</v>
      </c>
      <c r="I76" s="47">
        <v>555.29999999999995</v>
      </c>
      <c r="J76" s="47">
        <v>0.37</v>
      </c>
      <c r="K76" s="47">
        <f t="shared" si="2"/>
        <v>7281</v>
      </c>
      <c r="L76" s="46" t="s">
        <v>173</v>
      </c>
    </row>
    <row r="77" spans="1:12" ht="15" x14ac:dyDescent="0.25">
      <c r="A77" s="46" t="s">
        <v>247</v>
      </c>
      <c r="B77" s="46" t="s">
        <v>242</v>
      </c>
      <c r="C77" s="46" t="s">
        <v>243</v>
      </c>
      <c r="D77" s="46" t="s">
        <v>249</v>
      </c>
      <c r="E77" s="47">
        <v>994.61</v>
      </c>
      <c r="F77" s="41">
        <f>VLOOKUP(C77,'P &amp; M'!C77:L219,10,0)</f>
        <v>234471</v>
      </c>
      <c r="G77" s="47"/>
      <c r="H77" s="47">
        <v>89.51</v>
      </c>
      <c r="I77" s="47">
        <v>89.51</v>
      </c>
      <c r="J77" s="47">
        <v>0.37</v>
      </c>
      <c r="K77" s="47">
        <f t="shared" si="2"/>
        <v>1174</v>
      </c>
      <c r="L77" s="46" t="s">
        <v>173</v>
      </c>
    </row>
    <row r="78" spans="1:12" ht="15" x14ac:dyDescent="0.25">
      <c r="A78" s="46" t="s">
        <v>178</v>
      </c>
      <c r="B78" s="46" t="s">
        <v>242</v>
      </c>
      <c r="C78" s="46" t="s">
        <v>243</v>
      </c>
      <c r="D78" s="46" t="s">
        <v>250</v>
      </c>
      <c r="E78" s="47">
        <v>42426.720000000001</v>
      </c>
      <c r="F78" s="41">
        <f>VLOOKUP(C78,'P &amp; M'!C78:L220,10,0)</f>
        <v>234471</v>
      </c>
      <c r="G78" s="47"/>
      <c r="H78" s="47">
        <v>3818.4</v>
      </c>
      <c r="I78" s="47">
        <v>3818.4</v>
      </c>
      <c r="J78" s="47">
        <v>0.48</v>
      </c>
      <c r="K78" s="47">
        <f t="shared" si="2"/>
        <v>50064.000000000007</v>
      </c>
      <c r="L78" s="46" t="s">
        <v>173</v>
      </c>
    </row>
    <row r="79" spans="1:12" ht="15" x14ac:dyDescent="0.25">
      <c r="A79" s="46" t="s">
        <v>201</v>
      </c>
      <c r="B79" s="46" t="s">
        <v>242</v>
      </c>
      <c r="C79" s="46" t="s">
        <v>243</v>
      </c>
      <c r="D79" s="46" t="s">
        <v>251</v>
      </c>
      <c r="E79" s="47">
        <v>2960</v>
      </c>
      <c r="F79" s="41">
        <f>VLOOKUP(C79,'P &amp; M'!C79:L221,10,0)</f>
        <v>234471</v>
      </c>
      <c r="G79" s="47"/>
      <c r="H79" s="47">
        <v>266.39999999999998</v>
      </c>
      <c r="I79" s="47">
        <v>266.39999999999998</v>
      </c>
      <c r="J79" s="47">
        <v>0.2</v>
      </c>
      <c r="K79" s="47">
        <f t="shared" si="2"/>
        <v>3493</v>
      </c>
      <c r="L79" s="46" t="s">
        <v>173</v>
      </c>
    </row>
    <row r="80" spans="1:12" ht="15" x14ac:dyDescent="0.25">
      <c r="A80" s="46" t="s">
        <v>201</v>
      </c>
      <c r="B80" s="46" t="s">
        <v>242</v>
      </c>
      <c r="C80" s="46" t="s">
        <v>243</v>
      </c>
      <c r="D80" s="46" t="s">
        <v>252</v>
      </c>
      <c r="E80" s="47">
        <v>1480</v>
      </c>
      <c r="F80" s="41">
        <f>VLOOKUP(C80,'P &amp; M'!C80:L222,10,0)</f>
        <v>234471</v>
      </c>
      <c r="G80" s="47"/>
      <c r="H80" s="47">
        <v>133.19999999999999</v>
      </c>
      <c r="I80" s="47">
        <v>133.19999999999999</v>
      </c>
      <c r="J80" s="47">
        <v>-0.4</v>
      </c>
      <c r="K80" s="47">
        <f t="shared" si="2"/>
        <v>1746</v>
      </c>
      <c r="L80" s="46" t="s">
        <v>173</v>
      </c>
    </row>
    <row r="81" spans="1:12" ht="15" x14ac:dyDescent="0.25">
      <c r="A81" s="46" t="s">
        <v>253</v>
      </c>
      <c r="B81" s="46" t="s">
        <v>242</v>
      </c>
      <c r="C81" s="46" t="s">
        <v>243</v>
      </c>
      <c r="D81" s="46" t="s">
        <v>254</v>
      </c>
      <c r="E81" s="47">
        <f>215680.02+2500</f>
        <v>218180.02</v>
      </c>
      <c r="F81" s="41">
        <f>VLOOKUP(C81,'P &amp; M'!C81:L223,10,0)</f>
        <v>234471</v>
      </c>
      <c r="G81" s="47"/>
      <c r="H81" s="47">
        <v>19636.2</v>
      </c>
      <c r="I81" s="47">
        <v>19636.2</v>
      </c>
      <c r="J81" s="47">
        <v>0.57999999999999996</v>
      </c>
      <c r="K81" s="47">
        <f t="shared" si="2"/>
        <v>257453</v>
      </c>
      <c r="L81" s="46" t="s">
        <v>173</v>
      </c>
    </row>
    <row r="82" spans="1:12" ht="15" x14ac:dyDescent="0.25">
      <c r="A82" s="46" t="s">
        <v>255</v>
      </c>
      <c r="B82" s="46" t="s">
        <v>242</v>
      </c>
      <c r="C82" s="46" t="s">
        <v>243</v>
      </c>
      <c r="D82" s="46" t="s">
        <v>256</v>
      </c>
      <c r="E82" s="47">
        <f>75971.8+300</f>
        <v>76271.8</v>
      </c>
      <c r="F82" s="41">
        <f>VLOOKUP(C82,'P &amp; M'!C82:L224,10,0)</f>
        <v>234471</v>
      </c>
      <c r="G82" s="47"/>
      <c r="H82" s="47">
        <v>6864.46</v>
      </c>
      <c r="I82" s="47">
        <v>6864.46</v>
      </c>
      <c r="J82" s="47">
        <v>0.28000000000000003</v>
      </c>
      <c r="K82" s="47">
        <f t="shared" si="2"/>
        <v>90001.000000000015</v>
      </c>
      <c r="L82" s="46" t="s">
        <v>173</v>
      </c>
    </row>
    <row r="83" spans="1:12" ht="15" x14ac:dyDescent="0.25">
      <c r="A83" s="46" t="s">
        <v>257</v>
      </c>
      <c r="B83" s="46" t="s">
        <v>242</v>
      </c>
      <c r="C83" s="46" t="s">
        <v>243</v>
      </c>
      <c r="D83" s="46" t="s">
        <v>258</v>
      </c>
      <c r="E83" s="47">
        <v>9021.02</v>
      </c>
      <c r="F83" s="41">
        <f>VLOOKUP(C83,'P &amp; M'!C83:L225,10,0)</f>
        <v>234471</v>
      </c>
      <c r="G83" s="47"/>
      <c r="H83" s="47">
        <v>811.89</v>
      </c>
      <c r="I83" s="47">
        <v>811.89</v>
      </c>
      <c r="J83" s="47">
        <v>0.2</v>
      </c>
      <c r="K83" s="47">
        <f t="shared" ref="K83" si="3">E83+G83+H83+I83+J83</f>
        <v>10645</v>
      </c>
      <c r="L83" s="46" t="s">
        <v>173</v>
      </c>
    </row>
    <row r="84" spans="1:12" ht="15" x14ac:dyDescent="0.25">
      <c r="A84" s="46"/>
      <c r="B84" s="46"/>
      <c r="C84" s="46"/>
      <c r="D84" s="46"/>
      <c r="E84" s="47"/>
      <c r="F84" s="41"/>
      <c r="G84" s="47"/>
      <c r="H84" s="47"/>
      <c r="I84" s="47"/>
      <c r="J84" s="47"/>
      <c r="K84" s="47"/>
      <c r="L84" s="46"/>
    </row>
    <row r="85" spans="1:12" ht="15.75" thickBot="1" x14ac:dyDescent="0.3">
      <c r="A85" s="46"/>
      <c r="B85" s="46"/>
      <c r="C85" s="46"/>
      <c r="D85" s="48" t="s">
        <v>259</v>
      </c>
      <c r="E85" s="49">
        <f>SUM(E23:E83)</f>
        <v>30023804.339999996</v>
      </c>
      <c r="F85" s="41"/>
      <c r="G85" s="49">
        <f>SUM(G23:G83)</f>
        <v>2830644.44</v>
      </c>
      <c r="H85" s="49">
        <f>SUM(H23:H83)</f>
        <v>1292033.9699999993</v>
      </c>
      <c r="I85" s="49">
        <f>SUM(I23:I83)</f>
        <v>1292033.9699999993</v>
      </c>
      <c r="J85" s="49">
        <f>SUM(J23:J83)</f>
        <v>1.48</v>
      </c>
      <c r="K85" s="49">
        <f>SUM(K23:K83)</f>
        <v>35438518.200000003</v>
      </c>
      <c r="L85" s="46"/>
    </row>
    <row r="86" spans="1:12" ht="15" x14ac:dyDescent="0.25">
      <c r="A86" s="50" t="s">
        <v>260</v>
      </c>
      <c r="B86" s="46"/>
      <c r="C86" s="46"/>
      <c r="D86" s="46"/>
      <c r="E86" s="47"/>
      <c r="F86" s="41"/>
      <c r="G86" s="47"/>
      <c r="H86" s="47"/>
      <c r="I86" s="47"/>
      <c r="J86" s="47"/>
      <c r="K86" s="47"/>
      <c r="L86" s="46"/>
    </row>
    <row r="87" spans="1:12" ht="15" x14ac:dyDescent="0.25">
      <c r="A87" s="46" t="s">
        <v>261</v>
      </c>
      <c r="B87" s="46" t="s">
        <v>262</v>
      </c>
      <c r="C87" s="46" t="s">
        <v>217</v>
      </c>
      <c r="D87" s="46">
        <v>144</v>
      </c>
      <c r="E87" s="47">
        <v>91000</v>
      </c>
      <c r="F87" s="41">
        <f>VLOOKUP(C87,'P &amp; M'!C87:L229,10,0)</f>
        <v>154000</v>
      </c>
      <c r="G87" s="47">
        <v>16380</v>
      </c>
      <c r="H87" s="47"/>
      <c r="I87" s="47"/>
      <c r="J87" s="47"/>
      <c r="K87" s="47">
        <f t="shared" ref="K87:K93" si="4">E87+G87+H87+I87+J87</f>
        <v>107380</v>
      </c>
      <c r="L87" s="46" t="s">
        <v>221</v>
      </c>
    </row>
    <row r="88" spans="1:12" ht="15" x14ac:dyDescent="0.25">
      <c r="A88" s="46" t="s">
        <v>263</v>
      </c>
      <c r="B88" s="46" t="s">
        <v>264</v>
      </c>
      <c r="C88" s="46" t="s">
        <v>217</v>
      </c>
      <c r="D88" s="46">
        <v>3112001575</v>
      </c>
      <c r="E88" s="47">
        <v>120000</v>
      </c>
      <c r="F88" s="41">
        <f>VLOOKUP(C88,'P &amp; M'!C88:L230,10,0)</f>
        <v>154000</v>
      </c>
      <c r="G88" s="47">
        <v>22608</v>
      </c>
      <c r="H88" s="47"/>
      <c r="I88" s="47"/>
      <c r="J88" s="47">
        <f>4400+1200</f>
        <v>5600</v>
      </c>
      <c r="K88" s="47">
        <f t="shared" si="4"/>
        <v>148208</v>
      </c>
      <c r="L88" s="46" t="s">
        <v>221</v>
      </c>
    </row>
    <row r="89" spans="1:12" ht="15" x14ac:dyDescent="0.25">
      <c r="A89" s="46" t="s">
        <v>265</v>
      </c>
      <c r="B89" s="46" t="s">
        <v>264</v>
      </c>
      <c r="C89" s="46" t="s">
        <v>217</v>
      </c>
      <c r="D89" s="46">
        <v>1624</v>
      </c>
      <c r="E89" s="47">
        <v>120000</v>
      </c>
      <c r="F89" s="41">
        <f>VLOOKUP(C89,'P &amp; M'!C89:L231,10,0)</f>
        <v>154000</v>
      </c>
      <c r="G89" s="47">
        <v>22608</v>
      </c>
      <c r="H89" s="47"/>
      <c r="I89" s="47"/>
      <c r="J89" s="47">
        <v>5600</v>
      </c>
      <c r="K89" s="47">
        <f t="shared" si="4"/>
        <v>148208</v>
      </c>
      <c r="L89" s="46" t="s">
        <v>221</v>
      </c>
    </row>
    <row r="90" spans="1:12" ht="15" x14ac:dyDescent="0.25">
      <c r="A90" s="46" t="s">
        <v>265</v>
      </c>
      <c r="B90" s="46" t="s">
        <v>266</v>
      </c>
      <c r="C90" s="46" t="s">
        <v>267</v>
      </c>
      <c r="D90" s="46">
        <v>448</v>
      </c>
      <c r="E90" s="47">
        <v>164000</v>
      </c>
      <c r="F90" s="41">
        <f>VLOOKUP(C90,'P &amp; M'!C90:L232,10,0)</f>
        <v>164000</v>
      </c>
      <c r="G90" s="47">
        <v>29520</v>
      </c>
      <c r="H90" s="47"/>
      <c r="I90" s="47"/>
      <c r="J90" s="47"/>
      <c r="K90" s="47">
        <f t="shared" si="4"/>
        <v>193520</v>
      </c>
      <c r="L90" s="46" t="s">
        <v>268</v>
      </c>
    </row>
    <row r="91" spans="1:12" ht="15" x14ac:dyDescent="0.25">
      <c r="A91" s="46"/>
      <c r="B91" s="46"/>
      <c r="C91" s="46"/>
      <c r="D91" s="46"/>
      <c r="E91" s="47"/>
      <c r="F91" s="41"/>
      <c r="G91" s="47"/>
      <c r="H91" s="47"/>
      <c r="I91" s="47"/>
      <c r="J91" s="47"/>
      <c r="K91" s="47"/>
      <c r="L91" s="46"/>
    </row>
    <row r="92" spans="1:12" ht="15" x14ac:dyDescent="0.25">
      <c r="A92" s="46" t="s">
        <v>269</v>
      </c>
      <c r="B92" s="46" t="s">
        <v>270</v>
      </c>
      <c r="C92" s="46"/>
      <c r="D92" s="46"/>
      <c r="E92" s="47">
        <v>0</v>
      </c>
      <c r="F92" s="41"/>
      <c r="G92" s="47">
        <v>0</v>
      </c>
      <c r="H92" s="47">
        <v>0</v>
      </c>
      <c r="I92" s="47">
        <v>0</v>
      </c>
      <c r="J92" s="47">
        <v>0</v>
      </c>
      <c r="K92" s="47">
        <f t="shared" si="4"/>
        <v>0</v>
      </c>
      <c r="L92" s="46"/>
    </row>
    <row r="93" spans="1:12" ht="15" x14ac:dyDescent="0.25">
      <c r="A93" s="46"/>
      <c r="B93" s="46" t="s">
        <v>271</v>
      </c>
      <c r="C93" s="46"/>
      <c r="D93" s="46"/>
      <c r="E93" s="47">
        <v>0</v>
      </c>
      <c r="F93" s="41"/>
      <c r="G93" s="47">
        <v>0</v>
      </c>
      <c r="H93" s="47">
        <v>0</v>
      </c>
      <c r="I93" s="47">
        <v>0</v>
      </c>
      <c r="J93" s="47">
        <v>0</v>
      </c>
      <c r="K93" s="47">
        <f t="shared" si="4"/>
        <v>0</v>
      </c>
      <c r="L93" s="46"/>
    </row>
    <row r="94" spans="1:12" ht="15" x14ac:dyDescent="0.25">
      <c r="A94" s="46"/>
      <c r="B94" s="46" t="s">
        <v>272</v>
      </c>
      <c r="C94" s="46"/>
      <c r="D94" s="46"/>
      <c r="E94" s="47"/>
      <c r="F94" s="41"/>
      <c r="G94" s="47"/>
      <c r="H94" s="47"/>
      <c r="I94" s="47"/>
      <c r="J94" s="47"/>
      <c r="K94" s="47"/>
      <c r="L94" s="46"/>
    </row>
    <row r="95" spans="1:12" ht="15" x14ac:dyDescent="0.25">
      <c r="A95" s="46"/>
      <c r="B95" s="46"/>
      <c r="C95" s="46"/>
      <c r="D95" s="46"/>
      <c r="E95" s="47"/>
      <c r="F95" s="41"/>
      <c r="G95" s="47"/>
      <c r="H95" s="47"/>
      <c r="I95" s="47"/>
      <c r="J95" s="47"/>
      <c r="K95" s="47"/>
      <c r="L95" s="47"/>
    </row>
    <row r="96" spans="1:12" ht="15.75" thickBot="1" x14ac:dyDescent="0.3">
      <c r="A96" s="46"/>
      <c r="B96" s="46"/>
      <c r="C96" s="46"/>
      <c r="D96" s="48" t="s">
        <v>273</v>
      </c>
      <c r="E96" s="49">
        <f>SUM(E87:E95)</f>
        <v>495000</v>
      </c>
      <c r="F96" s="41"/>
      <c r="G96" s="49">
        <f t="shared" ref="G96:K96" si="5">SUM(G87:G95)</f>
        <v>91116</v>
      </c>
      <c r="H96" s="49">
        <f t="shared" si="5"/>
        <v>0</v>
      </c>
      <c r="I96" s="49">
        <f t="shared" si="5"/>
        <v>0</v>
      </c>
      <c r="J96" s="49">
        <f t="shared" si="5"/>
        <v>11200</v>
      </c>
      <c r="K96" s="49">
        <f t="shared" si="5"/>
        <v>597316</v>
      </c>
      <c r="L96" s="46"/>
    </row>
    <row r="97" spans="1:12" ht="15" x14ac:dyDescent="0.25">
      <c r="A97" s="46"/>
      <c r="B97" s="46"/>
      <c r="C97" s="46"/>
      <c r="D97" s="46"/>
      <c r="E97" s="51"/>
      <c r="F97" s="41"/>
      <c r="G97" s="51"/>
      <c r="H97" s="51"/>
      <c r="I97" s="51"/>
      <c r="J97" s="51"/>
      <c r="K97" s="51"/>
      <c r="L97" s="46"/>
    </row>
    <row r="98" spans="1:12" ht="15.75" thickBot="1" x14ac:dyDescent="0.3">
      <c r="A98" s="46"/>
      <c r="B98" s="46" t="s">
        <v>274</v>
      </c>
      <c r="C98" s="46"/>
      <c r="D98" s="52"/>
      <c r="E98" s="49">
        <f>E7+E20+E85+E96</f>
        <v>31956885.479999997</v>
      </c>
      <c r="F98" s="41"/>
      <c r="G98" s="49">
        <f>G7+G20+G85+G96</f>
        <v>3035160.44</v>
      </c>
      <c r="H98" s="49">
        <f>H7+H20+H85+H96</f>
        <v>1365499.2799999993</v>
      </c>
      <c r="I98" s="49">
        <f>I7+I20+I85+I96</f>
        <v>1365499.2799999993</v>
      </c>
      <c r="J98" s="49">
        <f>J7+J20+J85+J96</f>
        <v>19401.86</v>
      </c>
      <c r="K98" s="49">
        <f>K7+K20+K85+K96</f>
        <v>37742446.340000004</v>
      </c>
      <c r="L98" s="46"/>
    </row>
    <row r="99" spans="1:12" x14ac:dyDescent="0.2">
      <c r="A99" s="53"/>
      <c r="B99" s="53"/>
      <c r="C99" s="53"/>
      <c r="D99" s="54"/>
      <c r="E99" s="55"/>
      <c r="F99" s="55"/>
      <c r="G99" s="55"/>
      <c r="H99" s="55"/>
      <c r="I99" s="55"/>
      <c r="J99" s="55"/>
      <c r="K99" s="55"/>
      <c r="L99" s="53"/>
    </row>
    <row r="101" spans="1:12" x14ac:dyDescent="0.2">
      <c r="E101" s="91">
        <f>E98+[1]Sheet1!$J$92</f>
        <v>84651726.479999989</v>
      </c>
      <c r="F101" s="91"/>
    </row>
  </sheetData>
  <autoFilter ref="A2:N21"/>
  <mergeCells count="1">
    <mergeCell ref="A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T14"/>
  <sheetViews>
    <sheetView tabSelected="1" workbookViewId="0">
      <selection activeCell="E5" sqref="E5:J14"/>
    </sheetView>
  </sheetViews>
  <sheetFormatPr defaultRowHeight="12.75" x14ac:dyDescent="0.2"/>
  <cols>
    <col min="5" max="5" width="5.7109375" bestFit="1" customWidth="1"/>
    <col min="6" max="6" width="24.42578125" bestFit="1" customWidth="1"/>
    <col min="7" max="7" width="10.5703125" bestFit="1" customWidth="1"/>
    <col min="8" max="8" width="13.5703125" bestFit="1" customWidth="1"/>
    <col min="9" max="9" width="18.28515625" bestFit="1" customWidth="1"/>
    <col min="10" max="10" width="16.42578125" bestFit="1" customWidth="1"/>
  </cols>
  <sheetData>
    <row r="4" spans="5:20" ht="13.5" thickBot="1" x14ac:dyDescent="0.25"/>
    <row r="5" spans="5:20" ht="30.75" customHeight="1" thickBot="1" x14ac:dyDescent="0.3">
      <c r="E5" s="126" t="s">
        <v>306</v>
      </c>
      <c r="F5" s="127"/>
      <c r="G5" s="127"/>
      <c r="H5" s="127"/>
      <c r="I5" s="127"/>
      <c r="J5" s="128"/>
    </row>
    <row r="6" spans="5:20" ht="15.75" thickBot="1" x14ac:dyDescent="0.3">
      <c r="E6" s="92" t="s">
        <v>0</v>
      </c>
      <c r="F6" s="93" t="s">
        <v>301</v>
      </c>
      <c r="G6" s="93" t="s">
        <v>302</v>
      </c>
      <c r="H6" s="93" t="s">
        <v>303</v>
      </c>
      <c r="I6" s="93" t="s">
        <v>304</v>
      </c>
      <c r="J6" s="94" t="s">
        <v>305</v>
      </c>
    </row>
    <row r="7" spans="5:20" ht="13.5" thickBot="1" x14ac:dyDescent="0.25">
      <c r="E7" s="95">
        <v>1</v>
      </c>
      <c r="F7" s="96" t="s">
        <v>225</v>
      </c>
      <c r="G7" s="97" t="s">
        <v>135</v>
      </c>
      <c r="H7" s="98">
        <f>'P &amp; M'!L148</f>
        <v>84651726.480000004</v>
      </c>
      <c r="I7" s="98">
        <f>'P &amp; M'!N148</f>
        <v>86942755.211183995</v>
      </c>
      <c r="J7" s="99">
        <f>'P &amp; M'!R148</f>
        <v>59254046.834721282</v>
      </c>
    </row>
    <row r="8" spans="5:20" ht="15" x14ac:dyDescent="0.25">
      <c r="E8" s="120" t="s">
        <v>123</v>
      </c>
      <c r="F8" s="121"/>
      <c r="G8" s="121"/>
      <c r="H8" s="122">
        <f>SUM(H7:H7)</f>
        <v>84651726.480000004</v>
      </c>
      <c r="I8" s="122">
        <f>SUM(I7:I7)</f>
        <v>86942755.211183995</v>
      </c>
      <c r="J8" s="123">
        <f>SUM(J7:J7)</f>
        <v>59254046.834721282</v>
      </c>
    </row>
    <row r="9" spans="5:20" x14ac:dyDescent="0.2">
      <c r="E9" s="124" t="s">
        <v>7</v>
      </c>
      <c r="F9" s="124"/>
      <c r="G9" s="124"/>
      <c r="H9" s="124"/>
      <c r="I9" s="124"/>
      <c r="J9" s="124"/>
      <c r="K9" s="118"/>
      <c r="L9" s="118"/>
      <c r="M9" s="118"/>
      <c r="N9" s="118"/>
      <c r="O9" s="118"/>
      <c r="P9" s="118"/>
      <c r="Q9" s="118"/>
      <c r="R9" s="118"/>
      <c r="S9" s="118"/>
      <c r="T9" s="119"/>
    </row>
    <row r="10" spans="5:20" ht="39" customHeight="1" x14ac:dyDescent="0.2">
      <c r="E10" s="125" t="s">
        <v>308</v>
      </c>
      <c r="F10" s="125"/>
      <c r="G10" s="125"/>
      <c r="H10" s="125"/>
      <c r="I10" s="125"/>
      <c r="J10" s="125"/>
      <c r="K10" s="114"/>
      <c r="L10" s="114"/>
      <c r="M10" s="114"/>
      <c r="N10" s="114"/>
      <c r="O10" s="114"/>
      <c r="P10" s="114"/>
      <c r="Q10" s="114"/>
      <c r="R10" s="114"/>
      <c r="S10" s="114"/>
      <c r="T10" s="115"/>
    </row>
    <row r="11" spans="5:20" ht="28.5" customHeight="1" x14ac:dyDescent="0.2">
      <c r="E11" s="125" t="s">
        <v>282</v>
      </c>
      <c r="F11" s="125"/>
      <c r="G11" s="125"/>
      <c r="H11" s="125"/>
      <c r="I11" s="125"/>
      <c r="J11" s="125"/>
      <c r="K11" s="116"/>
      <c r="L11" s="116"/>
      <c r="M11" s="116"/>
      <c r="N11" s="116"/>
      <c r="O11" s="116"/>
      <c r="P11" s="116"/>
      <c r="Q11" s="116"/>
      <c r="R11" s="116"/>
      <c r="S11" s="116"/>
      <c r="T11" s="117"/>
    </row>
    <row r="12" spans="5:20" ht="37.5" customHeight="1" x14ac:dyDescent="0.2">
      <c r="E12" s="125" t="s">
        <v>283</v>
      </c>
      <c r="F12" s="125"/>
      <c r="G12" s="125"/>
      <c r="H12" s="125"/>
      <c r="I12" s="125"/>
      <c r="J12" s="125"/>
      <c r="K12" s="114"/>
      <c r="L12" s="114"/>
      <c r="M12" s="114"/>
      <c r="N12" s="114"/>
      <c r="O12" s="114"/>
      <c r="P12" s="114"/>
      <c r="Q12" s="114"/>
      <c r="R12" s="114"/>
      <c r="S12" s="114"/>
      <c r="T12" s="115"/>
    </row>
    <row r="13" spans="5:20" ht="29.25" customHeight="1" x14ac:dyDescent="0.2">
      <c r="E13" s="125" t="s">
        <v>280</v>
      </c>
      <c r="F13" s="125"/>
      <c r="G13" s="125"/>
      <c r="H13" s="125"/>
      <c r="I13" s="125"/>
      <c r="J13" s="125"/>
      <c r="K13" s="116"/>
      <c r="L13" s="116"/>
      <c r="M13" s="116"/>
      <c r="N13" s="116"/>
      <c r="O13" s="116"/>
      <c r="P13" s="116"/>
      <c r="Q13" s="116"/>
      <c r="R13" s="116"/>
      <c r="S13" s="116"/>
      <c r="T13" s="117"/>
    </row>
    <row r="14" spans="5:20" ht="27.75" customHeight="1" x14ac:dyDescent="0.2">
      <c r="E14" s="125" t="s">
        <v>281</v>
      </c>
      <c r="F14" s="125"/>
      <c r="G14" s="125"/>
      <c r="H14" s="125"/>
      <c r="I14" s="125"/>
      <c r="J14" s="125"/>
      <c r="K14" s="116"/>
      <c r="L14" s="116"/>
      <c r="M14" s="116"/>
      <c r="N14" s="116"/>
      <c r="O14" s="116"/>
      <c r="P14" s="116"/>
      <c r="Q14" s="116"/>
      <c r="R14" s="116"/>
      <c r="S14" s="116"/>
      <c r="T14" s="117"/>
    </row>
  </sheetData>
  <mergeCells count="8">
    <mergeCell ref="E13:J13"/>
    <mergeCell ref="E14:J14"/>
    <mergeCell ref="E5:J5"/>
    <mergeCell ref="E8:G8"/>
    <mergeCell ref="E9:J9"/>
    <mergeCell ref="E10:J10"/>
    <mergeCell ref="E11:J11"/>
    <mergeCell ref="E12:J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0:K30"/>
  <sheetViews>
    <sheetView topLeftCell="A6" workbookViewId="0">
      <selection activeCell="K19" sqref="K19"/>
    </sheetView>
  </sheetViews>
  <sheetFormatPr defaultRowHeight="12.75" x14ac:dyDescent="0.2"/>
  <cols>
    <col min="5" max="5" width="18.7109375" customWidth="1"/>
  </cols>
  <sheetData>
    <row r="10" spans="5:10" x14ac:dyDescent="0.2">
      <c r="F10">
        <v>2021</v>
      </c>
      <c r="G10">
        <v>2020</v>
      </c>
    </row>
    <row r="11" spans="5:10" x14ac:dyDescent="0.2">
      <c r="E11" t="s">
        <v>196</v>
      </c>
      <c r="F11">
        <v>80.2</v>
      </c>
      <c r="G11">
        <v>80</v>
      </c>
      <c r="H11" s="83">
        <f>(F11-G11)/G11</f>
        <v>2.5000000000000356E-3</v>
      </c>
    </row>
    <row r="12" spans="5:10" x14ac:dyDescent="0.2">
      <c r="E12" t="s">
        <v>208</v>
      </c>
      <c r="F12">
        <v>107.9</v>
      </c>
      <c r="G12">
        <v>109.5</v>
      </c>
      <c r="H12" s="83">
        <f>(F12-G12)/G12</f>
        <v>-1.4611872146118669E-2</v>
      </c>
    </row>
    <row r="13" spans="5:10" x14ac:dyDescent="0.2">
      <c r="E13" t="s">
        <v>285</v>
      </c>
      <c r="F13">
        <v>120.4</v>
      </c>
      <c r="G13">
        <v>115.4</v>
      </c>
      <c r="H13" s="83">
        <f>(F13-G13)/G13</f>
        <v>4.3327556325823219E-2</v>
      </c>
    </row>
    <row r="14" spans="5:10" x14ac:dyDescent="0.2">
      <c r="E14" t="s">
        <v>149</v>
      </c>
      <c r="F14">
        <v>134.69999999999999</v>
      </c>
      <c r="G14">
        <v>141</v>
      </c>
      <c r="H14" s="83">
        <f t="shared" ref="H14:H30" si="0">(F14-G14)/G14</f>
        <v>-4.4680851063829866E-2</v>
      </c>
    </row>
    <row r="15" spans="5:10" x14ac:dyDescent="0.2">
      <c r="E15" t="s">
        <v>286</v>
      </c>
      <c r="F15">
        <v>128</v>
      </c>
      <c r="G15">
        <v>125.2</v>
      </c>
      <c r="H15" s="83">
        <f t="shared" si="0"/>
        <v>2.2364217252396144E-2</v>
      </c>
      <c r="I15">
        <v>121</v>
      </c>
      <c r="J15">
        <f>(F15-I15)/I15</f>
        <v>5.7851239669421489E-2</v>
      </c>
    </row>
    <row r="16" spans="5:10" x14ac:dyDescent="0.2">
      <c r="E16" t="s">
        <v>287</v>
      </c>
      <c r="F16">
        <v>83.1</v>
      </c>
      <c r="G16">
        <v>79.2</v>
      </c>
      <c r="H16" s="83">
        <f t="shared" si="0"/>
        <v>4.9242424242424136E-2</v>
      </c>
    </row>
    <row r="17" spans="5:11" x14ac:dyDescent="0.2">
      <c r="E17" t="s">
        <v>18</v>
      </c>
      <c r="F17">
        <v>94</v>
      </c>
      <c r="G17">
        <v>89.9</v>
      </c>
      <c r="H17" s="83">
        <f t="shared" si="0"/>
        <v>4.5606229143492702E-2</v>
      </c>
    </row>
    <row r="18" spans="5:11" x14ac:dyDescent="0.2">
      <c r="E18" t="s">
        <v>288</v>
      </c>
      <c r="F18">
        <v>117.9</v>
      </c>
      <c r="G18">
        <v>110.2</v>
      </c>
      <c r="H18" s="83">
        <f t="shared" si="0"/>
        <v>6.9872958257713266E-2</v>
      </c>
    </row>
    <row r="19" spans="5:11" x14ac:dyDescent="0.2">
      <c r="E19" t="s">
        <v>289</v>
      </c>
      <c r="F19">
        <v>97.3</v>
      </c>
      <c r="G19">
        <v>91.5</v>
      </c>
      <c r="H19" s="83">
        <f t="shared" si="0"/>
        <v>6.3387978142076473E-2</v>
      </c>
      <c r="K19" s="83">
        <f>(128.7-124.9)/124.9</f>
        <v>3.0424339471577123E-2</v>
      </c>
    </row>
    <row r="20" spans="5:11" x14ac:dyDescent="0.2">
      <c r="E20" t="s">
        <v>290</v>
      </c>
      <c r="F20">
        <v>121.2</v>
      </c>
      <c r="G20">
        <v>114.2</v>
      </c>
      <c r="H20" s="83">
        <f t="shared" si="0"/>
        <v>6.1295971978984239E-2</v>
      </c>
    </row>
    <row r="21" spans="5:11" x14ac:dyDescent="0.2">
      <c r="E21" t="s">
        <v>291</v>
      </c>
      <c r="F21">
        <v>120.6</v>
      </c>
      <c r="G21">
        <v>115.2</v>
      </c>
      <c r="H21" s="83">
        <f t="shared" si="0"/>
        <v>4.6874999999999924E-2</v>
      </c>
    </row>
    <row r="22" spans="5:11" x14ac:dyDescent="0.2">
      <c r="E22" t="s">
        <v>292</v>
      </c>
      <c r="F22">
        <v>107.7</v>
      </c>
      <c r="G22">
        <v>106.9</v>
      </c>
      <c r="H22" s="83">
        <f t="shared" si="0"/>
        <v>7.4836295603367365E-3</v>
      </c>
    </row>
    <row r="23" spans="5:11" x14ac:dyDescent="0.2">
      <c r="E23" t="s">
        <v>293</v>
      </c>
      <c r="F23">
        <v>123.3</v>
      </c>
      <c r="G23">
        <v>103.4</v>
      </c>
      <c r="H23" s="83">
        <f t="shared" si="0"/>
        <v>0.19245647969052215</v>
      </c>
    </row>
    <row r="24" spans="5:11" x14ac:dyDescent="0.2">
      <c r="E24" t="s">
        <v>294</v>
      </c>
      <c r="F24">
        <v>127.8</v>
      </c>
      <c r="G24">
        <v>122.6</v>
      </c>
      <c r="H24" s="83">
        <f t="shared" si="0"/>
        <v>4.2414355628058752E-2</v>
      </c>
    </row>
    <row r="25" spans="5:11" x14ac:dyDescent="0.2">
      <c r="E25" t="s">
        <v>295</v>
      </c>
      <c r="F25">
        <v>111.6</v>
      </c>
      <c r="G25">
        <v>108.6</v>
      </c>
      <c r="H25" s="83">
        <f t="shared" si="0"/>
        <v>2.7624309392265196E-2</v>
      </c>
    </row>
    <row r="26" spans="5:11" x14ac:dyDescent="0.2">
      <c r="E26" t="s">
        <v>296</v>
      </c>
      <c r="F26">
        <v>114</v>
      </c>
      <c r="G26">
        <v>101.4</v>
      </c>
      <c r="H26" s="83">
        <f t="shared" si="0"/>
        <v>0.12426035502958574</v>
      </c>
    </row>
    <row r="27" spans="5:11" x14ac:dyDescent="0.2">
      <c r="E27" t="s">
        <v>297</v>
      </c>
      <c r="F27">
        <v>111.6</v>
      </c>
      <c r="G27">
        <v>106.6</v>
      </c>
      <c r="H27" s="83">
        <f t="shared" si="0"/>
        <v>4.6904315196998128E-2</v>
      </c>
    </row>
    <row r="28" spans="5:11" x14ac:dyDescent="0.2">
      <c r="E28" t="s">
        <v>298</v>
      </c>
      <c r="F28">
        <v>113.2</v>
      </c>
      <c r="G28">
        <v>105</v>
      </c>
      <c r="H28" s="83">
        <f t="shared" si="0"/>
        <v>7.809523809523812E-2</v>
      </c>
    </row>
    <row r="29" spans="5:11" x14ac:dyDescent="0.2">
      <c r="E29" t="s">
        <v>299</v>
      </c>
      <c r="F29">
        <v>109.2</v>
      </c>
      <c r="G29">
        <v>102</v>
      </c>
      <c r="H29" s="83">
        <f t="shared" si="0"/>
        <v>7.0588235294117674E-2</v>
      </c>
    </row>
    <row r="30" spans="5:11" x14ac:dyDescent="0.2">
      <c r="E30" t="s">
        <v>300</v>
      </c>
      <c r="F30">
        <v>94</v>
      </c>
      <c r="G30">
        <v>88.1</v>
      </c>
      <c r="H30" s="83">
        <f t="shared" si="0"/>
        <v>6.6969353007945584E-2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 &amp; M</vt:lpstr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Vibhanshu Vaibhav</cp:lastModifiedBy>
  <dcterms:created xsi:type="dcterms:W3CDTF">2019-06-08T10:24:36Z</dcterms:created>
  <dcterms:modified xsi:type="dcterms:W3CDTF">2021-07-28T12:29:55Z</dcterms:modified>
</cp:coreProperties>
</file>