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Y:\In Progress Files\Vibhanshu Vaibhav\MArtin Burns\MIS working\"/>
    </mc:Choice>
  </mc:AlternateContent>
  <bookViews>
    <workbookView xWindow="0" yWindow="0" windowWidth="24000" windowHeight="9735" tabRatio="867" activeTab="6"/>
  </bookViews>
  <sheets>
    <sheet name="Data Provided (Inventory List)" sheetId="13" r:id="rId1"/>
    <sheet name="Data Provided (Summary)" sheetId="17" r:id="rId2"/>
    <sheet name="Inventory Details" sheetId="1" r:id="rId3"/>
    <sheet name="Recievables" sheetId="4" r:id="rId4"/>
    <sheet name="Flat Details" sheetId="8" r:id="rId5"/>
    <sheet name="Absorption Rate" sheetId="9" r:id="rId6"/>
    <sheet name="Residential Inflow" sheetId="3" r:id="rId7"/>
    <sheet name="Inflow" sheetId="11" r:id="rId8"/>
    <sheet name="Total Outflow" sheetId="16" r:id="rId9"/>
    <sheet name="DCF" sheetId="7" r:id="rId10"/>
    <sheet name="Consolidated Summary" sheetId="12" r:id="rId11"/>
    <sheet name="Valuation of Land" sheetId="18" r:id="rId12"/>
    <sheet name="cONSTRUCTION rATE" sheetId="19" r:id="rId13"/>
  </sheets>
  <definedNames>
    <definedName name="_xlnm._FilterDatabase" localSheetId="0" hidden="1">'Data Provided (Inventory List)'!$B$2:$L$10</definedName>
    <definedName name="_xlnm._FilterDatabase" localSheetId="6" hidden="1">'Residential Inflow'!$B$3:$I$11</definedName>
  </definedNames>
  <calcPr calcId="152511"/>
</workbook>
</file>

<file path=xl/calcChain.xml><?xml version="1.0" encoding="utf-8"?>
<calcChain xmlns="http://schemas.openxmlformats.org/spreadsheetml/2006/main">
  <c r="M41" i="3" l="1"/>
  <c r="M51" i="3" s="1"/>
  <c r="M40" i="3"/>
  <c r="M42" i="3"/>
  <c r="M43" i="3" s="1"/>
  <c r="M44" i="3" s="1"/>
  <c r="M45" i="3" s="1"/>
  <c r="M46" i="3" s="1"/>
  <c r="M47" i="3" s="1"/>
  <c r="M48" i="3" s="1"/>
  <c r="M49" i="3" s="1"/>
  <c r="C9" i="18"/>
  <c r="B7" i="19" l="1"/>
  <c r="E5" i="12"/>
  <c r="F5" i="12"/>
  <c r="G5" i="12"/>
  <c r="H5" i="12"/>
  <c r="F7" i="12"/>
  <c r="G7" i="12"/>
  <c r="H7" i="12"/>
  <c r="F6" i="12"/>
  <c r="G6" i="12"/>
  <c r="H6" i="12"/>
  <c r="Q27" i="7"/>
  <c r="Q26" i="7"/>
  <c r="T27" i="7"/>
  <c r="T26" i="7"/>
  <c r="P27" i="7"/>
  <c r="P26" i="7"/>
  <c r="G20" i="7"/>
  <c r="F20" i="7"/>
  <c r="E20" i="7"/>
  <c r="D20" i="7"/>
  <c r="G17" i="7"/>
  <c r="G16" i="7"/>
  <c r="E16" i="7"/>
  <c r="F16" i="7"/>
  <c r="D16" i="7"/>
  <c r="E8" i="7"/>
  <c r="F8" i="7"/>
  <c r="F11" i="7" s="1"/>
  <c r="F21" i="7" s="1"/>
  <c r="G8" i="7"/>
  <c r="H9" i="11"/>
  <c r="G5" i="7" s="1"/>
  <c r="G9" i="11"/>
  <c r="G8" i="11"/>
  <c r="F4" i="7" s="1"/>
  <c r="H8" i="11"/>
  <c r="G4" i="7" s="1"/>
  <c r="F5" i="7"/>
  <c r="E15" i="16"/>
  <c r="E12" i="16"/>
  <c r="E11" i="16"/>
  <c r="E10" i="16"/>
  <c r="E9" i="16"/>
  <c r="J14" i="16"/>
  <c r="I14" i="16"/>
  <c r="F19" i="11"/>
  <c r="G19" i="11"/>
  <c r="H19" i="11"/>
  <c r="F18" i="11"/>
  <c r="G18" i="11"/>
  <c r="H18" i="11"/>
  <c r="E18" i="11"/>
  <c r="F15" i="11"/>
  <c r="G15" i="11"/>
  <c r="H15" i="11"/>
  <c r="E15" i="11"/>
  <c r="F14" i="11"/>
  <c r="F16" i="11" s="1"/>
  <c r="G14" i="11"/>
  <c r="G16" i="11" s="1"/>
  <c r="H14" i="11"/>
  <c r="H16" i="11" s="1"/>
  <c r="E14" i="11"/>
  <c r="F10" i="11"/>
  <c r="G10" i="11"/>
  <c r="G11" i="11" s="1"/>
  <c r="G13" i="11" s="1"/>
  <c r="H10" i="11"/>
  <c r="H11" i="11" s="1"/>
  <c r="H13" i="11" s="1"/>
  <c r="D17" i="3"/>
  <c r="D16" i="3"/>
  <c r="D15" i="3"/>
  <c r="F7" i="9"/>
  <c r="F8" i="9"/>
  <c r="F6" i="9"/>
  <c r="F5" i="9"/>
  <c r="F23" i="7" l="1"/>
  <c r="F25" i="7"/>
  <c r="E16" i="11"/>
  <c r="C8" i="18" l="1"/>
  <c r="C7" i="18"/>
  <c r="C6" i="18"/>
  <c r="F3" i="18"/>
  <c r="C7" i="19" l="1"/>
  <c r="D7" i="19" l="1"/>
  <c r="H16" i="17"/>
  <c r="H17" i="17"/>
  <c r="H18" i="17" l="1"/>
  <c r="H17" i="7"/>
  <c r="D4" i="7"/>
  <c r="F13" i="16"/>
  <c r="G11" i="8"/>
  <c r="C33" i="17"/>
  <c r="F10" i="17"/>
  <c r="E13" i="16" l="1"/>
  <c r="L7" i="16"/>
  <c r="G12" i="1"/>
  <c r="G18" i="1" s="1"/>
  <c r="D4" i="4" s="1"/>
  <c r="D6" i="4" s="1"/>
  <c r="G13" i="1"/>
  <c r="G14" i="1"/>
  <c r="G15" i="1"/>
  <c r="G16" i="1"/>
  <c r="G17" i="1"/>
  <c r="G11" i="1"/>
  <c r="E18" i="1"/>
  <c r="C4" i="4" l="1"/>
  <c r="C25" i="1"/>
  <c r="J18" i="1"/>
  <c r="I18" i="1"/>
  <c r="H18" i="1"/>
  <c r="F18" i="1"/>
  <c r="K17" i="1"/>
  <c r="K16" i="1"/>
  <c r="K15" i="1"/>
  <c r="K14" i="1"/>
  <c r="K13" i="1"/>
  <c r="K12" i="1"/>
  <c r="K11" i="1"/>
  <c r="B18" i="17"/>
  <c r="J9" i="13"/>
  <c r="J8" i="13"/>
  <c r="J7" i="13"/>
  <c r="J6" i="13"/>
  <c r="J5" i="13"/>
  <c r="J4" i="13"/>
  <c r="J3" i="13"/>
  <c r="K18" i="1" l="1"/>
  <c r="G12" i="16"/>
  <c r="G11" i="16"/>
  <c r="G10" i="16"/>
  <c r="I15" i="3" l="1"/>
  <c r="I16" i="3"/>
  <c r="I17" i="3" l="1"/>
  <c r="G9" i="7"/>
  <c r="G11" i="7" s="1"/>
  <c r="G21" i="7" s="1"/>
  <c r="G23" i="7" s="1"/>
  <c r="E9" i="7"/>
  <c r="E11" i="7" s="1"/>
  <c r="E21" i="7" s="1"/>
  <c r="E23" i="7" s="1"/>
  <c r="D9" i="7"/>
  <c r="E10" i="11"/>
  <c r="E11" i="11" s="1"/>
  <c r="E13" i="11" s="1"/>
  <c r="E19" i="11" s="1"/>
  <c r="F11" i="11"/>
  <c r="F13" i="11" s="1"/>
  <c r="G8" i="3" l="1"/>
  <c r="I8" i="3" s="1"/>
  <c r="G6" i="3"/>
  <c r="I6" i="3" s="1"/>
  <c r="G9" i="3"/>
  <c r="I9" i="3" s="1"/>
  <c r="G5" i="3" l="1"/>
  <c r="I5" i="3" s="1"/>
  <c r="G7" i="3"/>
  <c r="I7" i="3" s="1"/>
  <c r="P29" i="7" l="1"/>
  <c r="D29" i="7" s="1"/>
  <c r="E11" i="3" l="1"/>
  <c r="G10" i="3"/>
  <c r="I10" i="3" s="1"/>
  <c r="G4" i="3"/>
  <c r="F10" i="8"/>
  <c r="E9" i="11"/>
  <c r="D5" i="7" s="1"/>
  <c r="F8" i="11"/>
  <c r="F9" i="11" s="1"/>
  <c r="E5" i="7" s="1"/>
  <c r="C5" i="9"/>
  <c r="D4" i="9"/>
  <c r="D5" i="9" l="1"/>
  <c r="E4" i="9"/>
  <c r="F4" i="8"/>
  <c r="C3" i="4"/>
  <c r="C6" i="4" s="1"/>
  <c r="E4" i="7"/>
  <c r="H9" i="7"/>
  <c r="E10" i="8"/>
  <c r="I4" i="3"/>
  <c r="E5" i="9" l="1"/>
  <c r="F4" i="9"/>
  <c r="E4" i="8"/>
  <c r="F11" i="8"/>
  <c r="E11" i="8" l="1"/>
  <c r="I11" i="3" l="1"/>
  <c r="I18" i="3" s="1"/>
  <c r="L15" i="3" l="1"/>
  <c r="D8" i="7" l="1"/>
  <c r="D11" i="7" s="1"/>
  <c r="D21" i="7" s="1"/>
  <c r="D23" i="7" s="1"/>
  <c r="H8" i="7" l="1"/>
  <c r="H11" i="7" s="1"/>
  <c r="E6" i="12"/>
  <c r="J8" i="7" l="1"/>
  <c r="H21" i="7"/>
  <c r="I6" i="12"/>
  <c r="H20" i="7"/>
  <c r="G9" i="16" l="1"/>
  <c r="G25" i="7" l="1"/>
  <c r="D25" i="7"/>
  <c r="G13" i="16"/>
  <c r="G15" i="16" s="1"/>
  <c r="E25" i="7"/>
  <c r="H9" i="12" l="1"/>
  <c r="E7" i="12"/>
  <c r="E9" i="12" s="1"/>
  <c r="H25" i="7"/>
  <c r="F9" i="12"/>
  <c r="D27" i="7"/>
  <c r="L33" i="7" s="1"/>
  <c r="M33" i="7" s="1"/>
  <c r="H16" i="7"/>
  <c r="H23" i="7" s="1"/>
  <c r="I7" i="12" l="1"/>
  <c r="I9" i="12" s="1"/>
  <c r="E11" i="12"/>
  <c r="E12" i="12" l="1"/>
  <c r="E15" i="12" s="1"/>
  <c r="E14" i="12" l="1"/>
  <c r="J14" i="12" s="1"/>
</calcChain>
</file>

<file path=xl/sharedStrings.xml><?xml version="1.0" encoding="utf-8"?>
<sst xmlns="http://schemas.openxmlformats.org/spreadsheetml/2006/main" count="336" uniqueCount="220">
  <si>
    <t>Grand Total</t>
  </si>
  <si>
    <t>S.No.</t>
  </si>
  <si>
    <t>Flat Type</t>
  </si>
  <si>
    <t>CASHFLOWS</t>
  </si>
  <si>
    <t>Year</t>
  </si>
  <si>
    <t>Expenses (outgoings)</t>
  </si>
  <si>
    <t>CAPEX</t>
  </si>
  <si>
    <t>OPEX</t>
  </si>
  <si>
    <t>Discount Rate</t>
  </si>
  <si>
    <t xml:space="preserve">Tower </t>
  </si>
  <si>
    <t>No. of Floors</t>
  </si>
  <si>
    <t>Type of Units</t>
  </si>
  <si>
    <t>Total Number of dwelling Units</t>
  </si>
  <si>
    <t>Stage of Construction</t>
  </si>
  <si>
    <t>Total</t>
  </si>
  <si>
    <t>Important Notes:</t>
  </si>
  <si>
    <t>Project Details</t>
  </si>
  <si>
    <t xml:space="preserve">% of Increment </t>
  </si>
  <si>
    <t>4. The total Value of inventory to be sold each year as shown above is in Millions Rupees.</t>
  </si>
  <si>
    <t xml:space="preserve">PROJECT INFLOW MODEL </t>
  </si>
  <si>
    <t>Important Notes:-</t>
  </si>
  <si>
    <t>Market Value</t>
  </si>
  <si>
    <r>
      <t xml:space="preserve">Super Area
</t>
    </r>
    <r>
      <rPr>
        <i/>
        <sz val="11"/>
        <color theme="0"/>
        <rFont val="Calibri"/>
        <family val="2"/>
        <scheme val="minor"/>
      </rPr>
      <t>(sq.ft.)</t>
    </r>
  </si>
  <si>
    <r>
      <t xml:space="preserve">Adopted Market Rates 
</t>
    </r>
    <r>
      <rPr>
        <i/>
        <sz val="11"/>
        <color theme="0"/>
        <rFont val="Calibri"/>
        <family val="2"/>
        <scheme val="minor"/>
      </rPr>
      <t>(per sq.ft.)</t>
    </r>
  </si>
  <si>
    <t xml:space="preserve"> </t>
  </si>
  <si>
    <t>`</t>
  </si>
  <si>
    <r>
      <t xml:space="preserve">CASH FLOW SUMMATION
</t>
    </r>
    <r>
      <rPr>
        <i/>
        <sz val="10"/>
        <color theme="0"/>
        <rFont val="Calibri"/>
        <family val="2"/>
        <scheme val="minor"/>
      </rPr>
      <t>(in Million Rupees)</t>
    </r>
  </si>
  <si>
    <r>
      <t xml:space="preserve">INFLOW </t>
    </r>
    <r>
      <rPr>
        <i/>
        <sz val="10"/>
        <color theme="1"/>
        <rFont val="Calibri"/>
        <family val="2"/>
        <scheme val="minor"/>
      </rPr>
      <t>(In Million Rupees)</t>
    </r>
  </si>
  <si>
    <r>
      <t xml:space="preserve">OUTFLOW </t>
    </r>
    <r>
      <rPr>
        <i/>
        <sz val="10"/>
        <color theme="1"/>
        <rFont val="Calibri"/>
        <family val="2"/>
        <scheme val="minor"/>
      </rPr>
      <t>(In Million Rupees)</t>
    </r>
  </si>
  <si>
    <r>
      <t xml:space="preserve">NET PROJECT CASH INFLOW </t>
    </r>
    <r>
      <rPr>
        <i/>
        <sz val="10"/>
        <color theme="1"/>
        <rFont val="Calibri"/>
        <family val="2"/>
        <scheme val="minor"/>
      </rPr>
      <t>(In Million Rupees)</t>
    </r>
  </si>
  <si>
    <r>
      <t xml:space="preserve">Net Present Value (NPV)-A </t>
    </r>
    <r>
      <rPr>
        <i/>
        <sz val="10"/>
        <color theme="1"/>
        <rFont val="Calibri"/>
        <family val="2"/>
        <scheme val="minor"/>
      </rPr>
      <t>(In Million Rupees)</t>
    </r>
  </si>
  <si>
    <r>
      <t xml:space="preserve">Round Off Value-A
</t>
    </r>
    <r>
      <rPr>
        <i/>
        <sz val="10"/>
        <color theme="1"/>
        <rFont val="Calibri"/>
        <family val="2"/>
        <scheme val="minor"/>
      </rPr>
      <t>(In Million Rupees)</t>
    </r>
  </si>
  <si>
    <r>
      <t xml:space="preserve">EXPECTED REALIZABLE VALUE^ (@ ~15% less)
</t>
    </r>
    <r>
      <rPr>
        <i/>
        <sz val="10"/>
        <color theme="1"/>
        <rFont val="Calibri"/>
        <family val="2"/>
        <scheme val="minor"/>
      </rPr>
      <t>(In Million Rupees)</t>
    </r>
  </si>
  <si>
    <r>
      <t xml:space="preserve">EXPECTED DISTRESS VALUE* (@ ~25% less)
</t>
    </r>
    <r>
      <rPr>
        <i/>
        <sz val="10"/>
        <color theme="1"/>
        <rFont val="Calibri"/>
        <family val="2"/>
        <scheme val="minor"/>
      </rPr>
      <t>(In Million Rupees)</t>
    </r>
  </si>
  <si>
    <t>3. The Capital Expenditure (CAPEX) of the project has been taken from the information provided by the company which is relied upon in good faith.</t>
  </si>
  <si>
    <t>No. of Units</t>
  </si>
  <si>
    <t>Total Market Value</t>
  </si>
  <si>
    <t>Total Area</t>
  </si>
  <si>
    <t>Unit</t>
  </si>
  <si>
    <t>Total Super Area 
(in sq.ft.)</t>
  </si>
  <si>
    <t>Total Amount Received</t>
  </si>
  <si>
    <t>Total Recievables</t>
  </si>
  <si>
    <t>Total Amount</t>
  </si>
  <si>
    <t>1. The above mentioned dwelling unit details has been taken as per the inventory list provided to us by the developer.</t>
  </si>
  <si>
    <t>Tower</t>
  </si>
  <si>
    <r>
      <t xml:space="preserve">Total Super Area </t>
    </r>
    <r>
      <rPr>
        <i/>
        <sz val="11"/>
        <color theme="0"/>
        <rFont val="Calibri"/>
        <family val="2"/>
        <scheme val="minor"/>
      </rPr>
      <t>(sq.ft.)</t>
    </r>
  </si>
  <si>
    <t>Construction Cost</t>
  </si>
  <si>
    <t>Booked</t>
  </si>
  <si>
    <t>Unbooked</t>
  </si>
  <si>
    <t>No. of Unbooked Inventories</t>
  </si>
  <si>
    <t>No. of Booked Inventories</t>
  </si>
  <si>
    <t>Unbooked Inventory Absorption</t>
  </si>
  <si>
    <t>Debt</t>
  </si>
  <si>
    <t>Equity</t>
  </si>
  <si>
    <t>No. of Unbooked Flats</t>
  </si>
  <si>
    <t>WACC</t>
  </si>
  <si>
    <r>
      <t>Total Balance/Recievables of Booked Units</t>
    </r>
    <r>
      <rPr>
        <i/>
        <sz val="11"/>
        <color theme="1"/>
        <rFont val="Calibri"/>
        <family val="2"/>
        <scheme val="minor"/>
      </rPr>
      <t xml:space="preserve"> (in Mn)</t>
    </r>
  </si>
  <si>
    <r>
      <t xml:space="preserve">Net Present Value (NPV) </t>
    </r>
    <r>
      <rPr>
        <i/>
        <sz val="11"/>
        <color theme="1"/>
        <rFont val="Calibri"/>
        <family val="2"/>
        <scheme val="minor"/>
      </rPr>
      <t>(in Mn)</t>
    </r>
  </si>
  <si>
    <t>TOWER</t>
  </si>
  <si>
    <t>FLOOR</t>
  </si>
  <si>
    <t>UNIT NO.</t>
  </si>
  <si>
    <t>UNIT TYPE</t>
  </si>
  <si>
    <t>UNIT CONFIG</t>
  </si>
  <si>
    <t>CARPET AREA (Exc. Balcony)</t>
  </si>
  <si>
    <t>BALCONY</t>
  </si>
  <si>
    <t>CARPET AREA(Incl. Balcony)</t>
  </si>
  <si>
    <t>BUILTUP AREA</t>
  </si>
  <si>
    <t>UNSOLD</t>
  </si>
  <si>
    <t>STATUS</t>
  </si>
  <si>
    <t>Four Wheeler</t>
  </si>
  <si>
    <t>No. of Unbooked Parking</t>
  </si>
  <si>
    <t>Adopted Market Rate</t>
  </si>
  <si>
    <t>Open Car parking</t>
  </si>
  <si>
    <r>
      <t xml:space="preserve">Administrative Expenses </t>
    </r>
    <r>
      <rPr>
        <i/>
        <sz val="11"/>
        <color theme="1"/>
        <rFont val="Calibri"/>
        <family val="2"/>
        <scheme val="minor"/>
      </rPr>
      <t>(in Mn)</t>
    </r>
  </si>
  <si>
    <r>
      <t xml:space="preserve">Construction Cost </t>
    </r>
    <r>
      <rPr>
        <i/>
        <sz val="11"/>
        <color theme="1"/>
        <rFont val="Calibri"/>
        <family val="2"/>
        <scheme val="minor"/>
      </rPr>
      <t>(in Mn)</t>
    </r>
  </si>
  <si>
    <r>
      <t xml:space="preserve">Amount Paid to the Land Owner for the Land Share  </t>
    </r>
    <r>
      <rPr>
        <i/>
        <sz val="11"/>
        <color theme="1"/>
        <rFont val="Calibri"/>
        <family val="2"/>
        <scheme val="minor"/>
      </rPr>
      <t>(in Mn)</t>
    </r>
  </si>
  <si>
    <t>Total Consideration</t>
  </si>
  <si>
    <t>Total Recipt</t>
  </si>
  <si>
    <r>
      <t>Total Earnings Through Unbooked Residential Units</t>
    </r>
    <r>
      <rPr>
        <i/>
        <sz val="11"/>
        <color theme="1"/>
        <rFont val="Calibri"/>
        <family val="2"/>
        <scheme val="minor"/>
      </rPr>
      <t xml:space="preserve"> </t>
    </r>
    <r>
      <rPr>
        <b/>
        <i/>
        <sz val="11"/>
        <color theme="1"/>
        <rFont val="Calibri"/>
        <family val="2"/>
        <scheme val="minor"/>
      </rPr>
      <t xml:space="preserve">&amp; Parking </t>
    </r>
    <r>
      <rPr>
        <i/>
        <sz val="11"/>
        <color theme="1"/>
        <rFont val="Calibri"/>
        <family val="2"/>
        <scheme val="minor"/>
      </rPr>
      <t>(in Mn)</t>
    </r>
  </si>
  <si>
    <t>Total Proposed Cost</t>
  </si>
  <si>
    <t>Description</t>
  </si>
  <si>
    <r>
      <t xml:space="preserve">Total Cost Incurred as on date
</t>
    </r>
    <r>
      <rPr>
        <b/>
        <i/>
        <sz val="10"/>
        <color theme="0"/>
        <rFont val="Calibri"/>
        <family val="2"/>
        <scheme val="minor"/>
      </rPr>
      <t>(as information provided by the company)</t>
    </r>
  </si>
  <si>
    <t>Yet to be Incurred</t>
  </si>
  <si>
    <t>CASH FLOW SUMMATION</t>
  </si>
  <si>
    <t>Earnings (Inflow)</t>
  </si>
  <si>
    <r>
      <t xml:space="preserve">TOTAL INFLOW </t>
    </r>
    <r>
      <rPr>
        <i/>
        <sz val="11"/>
        <color theme="1"/>
        <rFont val="Calibri"/>
        <family val="2"/>
        <scheme val="minor"/>
      </rPr>
      <t xml:space="preserve">(in Mn) </t>
    </r>
    <r>
      <rPr>
        <b/>
        <sz val="11"/>
        <color theme="1"/>
        <rFont val="Calibri"/>
        <family val="2"/>
        <scheme val="minor"/>
      </rPr>
      <t>(A)</t>
    </r>
  </si>
  <si>
    <r>
      <t xml:space="preserve">TOTAL OUTFLOW </t>
    </r>
    <r>
      <rPr>
        <i/>
        <sz val="11"/>
        <color theme="1"/>
        <rFont val="Calibri"/>
        <family val="2"/>
        <scheme val="minor"/>
      </rPr>
      <t xml:space="preserve">(in Mn) </t>
    </r>
    <r>
      <rPr>
        <b/>
        <sz val="11"/>
        <color theme="1"/>
        <rFont val="Calibri"/>
        <family val="2"/>
        <scheme val="minor"/>
      </rPr>
      <t>(B)</t>
    </r>
  </si>
  <si>
    <r>
      <t xml:space="preserve">PROJECT CASHFLOW </t>
    </r>
    <r>
      <rPr>
        <i/>
        <sz val="11"/>
        <color theme="1"/>
        <rFont val="Calibri"/>
        <family val="2"/>
        <scheme val="minor"/>
      </rPr>
      <t xml:space="preserve">(in Mn) </t>
    </r>
    <r>
      <rPr>
        <b/>
        <sz val="11"/>
        <color theme="1"/>
        <rFont val="Calibri"/>
        <family val="2"/>
        <scheme val="minor"/>
      </rPr>
      <t>(A-B)</t>
    </r>
  </si>
  <si>
    <t>5. The above mentioned values are in Millions Rupees.
1 Million = Rs.10,00,000/-</t>
  </si>
  <si>
    <t>The above mentioned values are in Millions Rupees.
1 Million = Rs.10,00,000/-</t>
  </si>
  <si>
    <t>FLAT-A</t>
  </si>
  <si>
    <t>FLAT-B</t>
  </si>
  <si>
    <t>FLAT-C</t>
  </si>
  <si>
    <t>FLAT-D</t>
  </si>
  <si>
    <t>FLAT-E</t>
  </si>
  <si>
    <t>FLAT-F</t>
  </si>
  <si>
    <t>FLAT-G</t>
  </si>
  <si>
    <t>3BHK</t>
  </si>
  <si>
    <t>2BHK</t>
  </si>
  <si>
    <t>G+11</t>
  </si>
  <si>
    <t>Super Built up Area</t>
  </si>
  <si>
    <t>FLAT DETAILS FOR MARTIN BURNS</t>
  </si>
  <si>
    <t>MARTINS BURNS</t>
  </si>
  <si>
    <t>Flat No</t>
  </si>
  <si>
    <t>SBU Area</t>
  </si>
  <si>
    <t>BUA Area</t>
  </si>
  <si>
    <t>Carpet Area</t>
  </si>
  <si>
    <t>3 B.H.K.</t>
  </si>
  <si>
    <t>2 B.H.K.</t>
  </si>
  <si>
    <t>G+10 floors</t>
  </si>
  <si>
    <t>Flat Size</t>
  </si>
  <si>
    <t>No. of Units Flats</t>
  </si>
  <si>
    <t>Saleable Car parking</t>
  </si>
  <si>
    <t>Open 29</t>
  </si>
  <si>
    <t>Covered 26</t>
  </si>
  <si>
    <t>Total 55</t>
  </si>
  <si>
    <t>Less: Rai Chow</t>
  </si>
  <si>
    <t>Rai Chow-4</t>
  </si>
  <si>
    <t xml:space="preserve">Net </t>
  </si>
  <si>
    <t>Net sale 51</t>
  </si>
  <si>
    <t>MARTIN BURN CONSTRUCTIONS LIMITED</t>
  </si>
  <si>
    <t>1. R. N. MUKHERJEE ROAD, KOLKATA 700001</t>
  </si>
  <si>
    <t xml:space="preserve">PROJECT NAME -" MARTIN BURN- RUPSHA" </t>
  </si>
  <si>
    <t>Proposed G+11 Storied Residential Building at 27 Bonamali Naskar Road, Kolkata 700060</t>
  </si>
  <si>
    <t>Apartment Details for 1st to 10th Floor - Typical Floor</t>
  </si>
  <si>
    <t>11 floor as Service floor for Lift and other machinery installation</t>
  </si>
  <si>
    <t>Flat No.</t>
  </si>
  <si>
    <t xml:space="preserve"> Flat Type</t>
  </si>
  <si>
    <t>SBUA</t>
  </si>
  <si>
    <t>BUA</t>
  </si>
  <si>
    <t>Crapet Area</t>
  </si>
  <si>
    <t>Exclusive Balcony Carpet Area</t>
  </si>
  <si>
    <t>Total Carpet area</t>
  </si>
  <si>
    <t>DWELLING UNIT DETAILS | MARTIN BURNS - RUPSHA | 27, BONAMALI NASKAR ROAD, KOLKATA, WEST BENGAL - 700060</t>
  </si>
  <si>
    <t xml:space="preserve"> 3 BHK</t>
  </si>
  <si>
    <t xml:space="preserve"> 2 BHK</t>
  </si>
  <si>
    <t>2. The construction of the subject project is yet to be start.</t>
  </si>
  <si>
    <t>Martin Burns Rushpa (Flats)</t>
  </si>
  <si>
    <t>ABSORPTION RATE | MARTIN BURNS RUSHPA | 27, BONAMALI NASKAR ROAD, KOLKATA, WEST BENGAL - 700060</t>
  </si>
  <si>
    <t>Covered Parking</t>
  </si>
  <si>
    <t>No. of Flats Sale in Martin Burns- Rushpa</t>
  </si>
  <si>
    <t xml:space="preserve"> % Sale of Martin Burns - Rushpa (Flats)</t>
  </si>
  <si>
    <r>
      <t>Martin Burns - Rushpa (Flats)</t>
    </r>
    <r>
      <rPr>
        <i/>
        <sz val="11"/>
        <color theme="1"/>
        <rFont val="Calibri"/>
        <family val="2"/>
        <scheme val="minor"/>
      </rPr>
      <t xml:space="preserve">
(in Million Rupees)</t>
    </r>
  </si>
  <si>
    <r>
      <t>Martin Burns - Rushpa (Parking)</t>
    </r>
    <r>
      <rPr>
        <i/>
        <sz val="11"/>
        <color theme="1"/>
        <rFont val="Calibri"/>
        <family val="2"/>
        <scheme val="minor"/>
      </rPr>
      <t xml:space="preserve">
(in Million Rupees)</t>
    </r>
  </si>
  <si>
    <r>
      <t xml:space="preserve">Martin Burns - Rushpa  Total Inflow </t>
    </r>
    <r>
      <rPr>
        <b/>
        <i/>
        <sz val="11"/>
        <color theme="1"/>
        <rFont val="Calibri"/>
        <family val="2"/>
        <scheme val="minor"/>
      </rPr>
      <t>(in Million Rupees)</t>
    </r>
  </si>
  <si>
    <t>Total Built-Up Area of Martin Burns - Ruspa
(in sq.mtr.)</t>
  </si>
  <si>
    <t>Total SBUA</t>
  </si>
  <si>
    <t xml:space="preserve"> NET PRESENT VALUE FOR MARTIN BURNS RUSHPA</t>
  </si>
  <si>
    <t>Martin Burns - Ruspa Total Proposed Cost of Construction is Rs.29.50 Crores.</t>
  </si>
  <si>
    <t>The project completion date as per the company official  is 31-01-2024.</t>
  </si>
  <si>
    <t>Martin Burns - Ruspa share of Land Owners is 2 flats having total area of approx 4350 sq. ft and 4 no. of car parking.</t>
  </si>
  <si>
    <t>68 Flats</t>
  </si>
  <si>
    <t>Less: Owner</t>
  </si>
  <si>
    <t>Owner share</t>
  </si>
  <si>
    <t>Flat -A</t>
  </si>
  <si>
    <t>Flat-B</t>
  </si>
  <si>
    <t>Flat -C</t>
  </si>
  <si>
    <t>Flat -D</t>
  </si>
  <si>
    <t>Flat -E</t>
  </si>
  <si>
    <t>Flat -F</t>
  </si>
  <si>
    <t>Flat -G</t>
  </si>
  <si>
    <t>Yet to be start</t>
  </si>
  <si>
    <t>UNBOOKED PARKING | MARTIN BURNS - RUSHPA| 27, BONAMALI NASKAR ROAD, KOLKATA, WEST BENGAL - 700060</t>
  </si>
  <si>
    <t>SUMMARY | NET PRESENT VALUE (NPV) OF UNBOOKED UNITS| MARTIN BURNS RUPSHA | 27, BONAMALI NASKAR ROAD, KOLKATA, WEST BENGAL - 700060</t>
  </si>
  <si>
    <t>S. No</t>
  </si>
  <si>
    <t>Total Land Value</t>
  </si>
  <si>
    <t>Govt. Guideline Value</t>
  </si>
  <si>
    <t>VALUATION OF LAND | MARTIN BURNS - RUPSHA | 27, BONAMALI NASKAR ROAD, KOLKATA, WEST BENGAL - 700060</t>
  </si>
  <si>
    <r>
      <t xml:space="preserve">Prevailing Rate Range           </t>
    </r>
    <r>
      <rPr>
        <i/>
        <sz val="10"/>
        <color theme="1"/>
        <rFont val="Calibri"/>
        <family val="2"/>
        <scheme val="minor"/>
      </rPr>
      <t>(Per Katha)</t>
    </r>
  </si>
  <si>
    <r>
      <t xml:space="preserve">Rate Adopted              </t>
    </r>
    <r>
      <rPr>
        <i/>
        <sz val="10"/>
        <color theme="1"/>
        <rFont val="Calibri"/>
        <family val="2"/>
        <scheme val="minor"/>
      </rPr>
      <t>(Per Katha)</t>
    </r>
  </si>
  <si>
    <r>
      <t xml:space="preserve">Land Area                          </t>
    </r>
    <r>
      <rPr>
        <i/>
        <sz val="10"/>
        <color theme="1"/>
        <rFont val="Calibri"/>
        <family val="2"/>
        <scheme val="minor"/>
      </rPr>
      <t>(For Martin Burns - Rupsha)</t>
    </r>
  </si>
  <si>
    <t>Market Value of Land</t>
  </si>
  <si>
    <t>Realizable Value of Land (^@15% less)</t>
  </si>
  <si>
    <t>Distress Value of Land (^@25% less)</t>
  </si>
  <si>
    <t>Government Guideline Value of Land</t>
  </si>
  <si>
    <t>Remarks:-</t>
  </si>
  <si>
    <t>1. The Market Value, Realizable Value, Distress Value of Land is given on banks's request for their internal purpose only.</t>
  </si>
  <si>
    <t xml:space="preserve">2794.30 sq. mtr/41 Kattha 12 Chittak 18 sq. ft. </t>
  </si>
  <si>
    <t>Total Cost incurred as on date                                       (as information provided by the company)</t>
  </si>
  <si>
    <r>
      <t xml:space="preserve">Total Land Area </t>
    </r>
    <r>
      <rPr>
        <b/>
        <i/>
        <sz val="10"/>
        <color theme="1"/>
        <rFont val="Calibri"/>
        <family val="2"/>
        <scheme val="minor"/>
      </rPr>
      <t xml:space="preserve">       </t>
    </r>
    <r>
      <rPr>
        <i/>
        <sz val="10"/>
        <color theme="1"/>
        <rFont val="Calibri"/>
        <family val="2"/>
        <scheme val="minor"/>
      </rPr>
      <t>(complete Project)</t>
    </r>
  </si>
  <si>
    <t>41.775 Kattha</t>
  </si>
  <si>
    <t>Rs. 30,00,000/- per Kattha</t>
  </si>
  <si>
    <t>Rs. 25,00,000/- to                Rs. 35,00,000/- per Kathha</t>
  </si>
  <si>
    <t>having total area of 4350 sq.ft.</t>
  </si>
  <si>
    <t>Martin Burns - Ruspa Cost of Construction is incurrred approximately Rs.5.95 Crores.</t>
  </si>
  <si>
    <t>Covered Car Parking</t>
  </si>
  <si>
    <t>No. of Parking Space Sale in Martin Burns - Rushpa (Covered)</t>
  </si>
  <si>
    <t>No. of Parking Space Sale in Martin Burns - Rushpa (Open)</t>
  </si>
  <si>
    <t xml:space="preserve"> % Sale of Martin Burns - Rushpa (Parking covered)</t>
  </si>
  <si>
    <t>Martin Burns Rushpa (Open Parking)</t>
  </si>
  <si>
    <t>Total Built-Up Area of Martin Burns - Rupsha
(in sq.ft.)</t>
  </si>
  <si>
    <t>Payment to Land lord</t>
  </si>
  <si>
    <t xml:space="preserve">Interest during construction period </t>
  </si>
  <si>
    <t>Precommencement cost</t>
  </si>
  <si>
    <r>
      <t xml:space="preserve">IDC </t>
    </r>
    <r>
      <rPr>
        <i/>
        <sz val="11"/>
        <color theme="1"/>
        <rFont val="Calibri"/>
        <family val="2"/>
        <scheme val="minor"/>
      </rPr>
      <t>(in Mn)</t>
    </r>
  </si>
  <si>
    <t xml:space="preserve">2. The expense yet to be incurred is comprised of cost of construction for construction work and preoperative expenses (like Admin &amp; administrative cost for sale/ purchase of unsold units). </t>
  </si>
  <si>
    <t>1. The construction of the subject project is on ground stage and no construction work has taken place at the site.</t>
  </si>
  <si>
    <t>2. We have given the value of land for the subject project on the request of bank for their internal purpose only. However in this type of residential projects the proportionate land share has divided into total number of flats is being developed in the project. In the subject project no flats are booked as of now as information provided by the company. In Practical scenario the  separate realization of of project land share is not possible for lender. Therefore this valuation report has been prepared considering the project only. So any financial decision should be taken on the project valuation done by us from residual method and land value should be considered only for bank's internal purpose.</t>
  </si>
  <si>
    <t xml:space="preserve">4. The discount rate or WACC has been taken as per the discussion with the market participants &amp; the current real estate markets scenario in India. The discount rate for the projects depends upon the reputation of the developer &amp; availability of unsold inventory &amp; Demand and supply as well. In Banking also the minimum ROI on real estate Projects is currently prevailing from minimum 12% to 18% depending upon the Project profile and creditworthiness of the developer company. Therefore we have taken minimum discount rate or ROR as 18.76% which any buyer would be expecting in present market scenario &amp; condition.      
For the calculation of discount rate we have taken the infromation provided by the company i.e. 32% of capex as debt and 68% of capex as equity @ 12% &amp; 22% interest rate. 22% of equity interest rate is adopted considering the risk factor involved in real estate projects in present scenario. By this WACC arrived is 18.76%.                                                                                                                                                                                                                                                                                                                                                                                         </t>
  </si>
  <si>
    <t>-</t>
  </si>
  <si>
    <t>1. As per market/ industry practice and our market study, we are of the view that company will monetize the unsold units of Martin Burns- Rushpa in the micro market within four years @ 19.1% in first year, 26.5% in the second year 29.4% in third year &amp;25.0% in the fourth year.</t>
  </si>
  <si>
    <t>2. The average market rate for residential flats in the subject project is varying in between Rs.5,000/-per sq.ft. to Rs.5,500/-per sq.ft.  including other charges like PLC, IFMS Charges, Utility Charges and developer will charge additional parking charges. These rates are also the current prevailing market rate of the other projects present nearby</t>
  </si>
  <si>
    <t>3. As per the general real estate market scenario, the market rate for available inventory will increase @ 5% for selling of balance units in each year and in the fourth year the developer will sold the remaining units with a premium of 10% since the project will be completed and ready to move.</t>
  </si>
  <si>
    <t xml:space="preserve"> INVENTORY VALUATION | MARTIN BURNS - RUSHPA| 27, BONAMALI NASKAR ROAD, KOLKATA, WEST BENGAL - 700060</t>
  </si>
  <si>
    <t>Comprab;le project chart</t>
  </si>
  <si>
    <t>Sr. No.</t>
  </si>
  <si>
    <t>Project Name</t>
  </si>
  <si>
    <t>Year of Construction</t>
  </si>
  <si>
    <t>Comparable Project#1</t>
  </si>
  <si>
    <t>Accessbilty</t>
  </si>
  <si>
    <t>Promoter Repuattion</t>
  </si>
  <si>
    <t>Total No. of Floor</t>
  </si>
  <si>
    <t xml:space="preserve">Effeciency </t>
  </si>
  <si>
    <t>Loxcation</t>
  </si>
  <si>
    <t>Negotion Margin</t>
  </si>
  <si>
    <t>Finishing</t>
  </si>
  <si>
    <t>Demand &amp; Supply</t>
  </si>
  <si>
    <t>Weighted Rate</t>
  </si>
  <si>
    <t>Floor</t>
  </si>
  <si>
    <t>Ground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</si>
</sst>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 #,##0.00;[Red]&quot;₹&quot;\ \-#,##0.00"/>
    <numFmt numFmtId="44" formatCode="_ &quot;₹&quot;\ * #,##0.00_ ;_ &quot;₹&quot;\ * \-#,##0.00_ ;_ &quot;₹&quot;\ * &quot;-&quot;??_ ;_ @_ "/>
    <numFmt numFmtId="164" formatCode="_(* #,##0.00_);_(* \(#,##0.00\);_(* &quot;-&quot;??_);_(@_)"/>
    <numFmt numFmtId="165" formatCode="_(* #,##0_);_(* \(#,##0\);_(* &quot;-&quot;??_);_(@_)"/>
    <numFmt numFmtId="166" formatCode="_ [$₹-4009]\ * #,##0.00_ ;_ [$₹-4009]\ * \-#,##0.00_ ;_ [$₹-4009]\ * &quot;-&quot;??_ ;_ @_ "/>
    <numFmt numFmtId="167" formatCode="0.0%"/>
    <numFmt numFmtId="168" formatCode="_(* #,##0.0_);_(* \(#,##0.0\);_(* &quot;-&quot;??_);_(@_)"/>
    <numFmt numFmtId="169" formatCode="_(&quot;$&quot;* #,##0.000_);_(&quot;$&quot;* \(#,##0.000\);_(&quot;$&quot;* &quot;-&quot;??_);_(@_)"/>
    <numFmt numFmtId="170" formatCode="_ * #,##0.0_ ;_ * \-#,##0.0_ ;_ * &quot;-&quot;?_ ;_ @_ "/>
  </numFmts>
  <fonts count="25"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b/>
      <sz val="11"/>
      <name val="Calibri"/>
      <family val="2"/>
      <scheme val="minor"/>
    </font>
    <font>
      <b/>
      <i/>
      <sz val="11"/>
      <color theme="1"/>
      <name val="Calibri"/>
      <family val="2"/>
      <scheme val="minor"/>
    </font>
    <font>
      <sz val="11"/>
      <name val="Calibri"/>
      <family val="2"/>
      <scheme val="minor"/>
    </font>
    <font>
      <i/>
      <sz val="11"/>
      <color theme="0"/>
      <name val="Calibri"/>
      <family val="2"/>
      <scheme val="minor"/>
    </font>
    <font>
      <i/>
      <sz val="10"/>
      <color theme="0"/>
      <name val="Calibri"/>
      <family val="2"/>
      <scheme val="minor"/>
    </font>
    <font>
      <i/>
      <sz val="10"/>
      <color theme="1"/>
      <name val="Calibri"/>
      <family val="2"/>
      <scheme val="minor"/>
    </font>
    <font>
      <b/>
      <sz val="12"/>
      <color theme="1"/>
      <name val="Calibri"/>
      <family val="2"/>
      <scheme val="minor"/>
    </font>
    <font>
      <sz val="8"/>
      <name val="Calibri"/>
      <family val="2"/>
      <scheme val="minor"/>
    </font>
    <font>
      <b/>
      <sz val="14"/>
      <color theme="1"/>
      <name val="Calibri"/>
      <family val="2"/>
      <scheme val="minor"/>
    </font>
    <font>
      <b/>
      <sz val="11"/>
      <color rgb="FF000000"/>
      <name val="Calibri"/>
      <family val="2"/>
      <scheme val="minor"/>
    </font>
    <font>
      <b/>
      <sz val="20"/>
      <color theme="1"/>
      <name val="Calibri"/>
      <family val="2"/>
      <scheme val="minor"/>
    </font>
    <font>
      <sz val="10"/>
      <color rgb="FF000000"/>
      <name val="Calibri"/>
      <family val="2"/>
      <scheme val="minor"/>
    </font>
    <font>
      <b/>
      <i/>
      <sz val="10"/>
      <color theme="0"/>
      <name val="Calibri"/>
      <family val="2"/>
      <scheme val="minor"/>
    </font>
    <font>
      <i/>
      <sz val="11"/>
      <color rgb="FF000000"/>
      <name val="Calibri"/>
      <family val="2"/>
      <scheme val="minor"/>
    </font>
    <font>
      <b/>
      <sz val="10"/>
      <name val="Calibri"/>
      <family val="2"/>
      <scheme val="minor"/>
    </font>
    <font>
      <sz val="10"/>
      <name val="Calibri"/>
      <family val="2"/>
      <scheme val="minor"/>
    </font>
    <font>
      <b/>
      <i/>
      <sz val="10"/>
      <color theme="1"/>
      <name val="Calibri"/>
      <family val="2"/>
      <scheme val="minor"/>
    </font>
    <font>
      <b/>
      <sz val="10"/>
      <color theme="0"/>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249977111117893"/>
        <bgColor indexed="64"/>
      </patternFill>
    </fill>
    <fill>
      <patternFill patternType="solid">
        <fgColor rgb="FF00206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4">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239">
    <xf numFmtId="0" fontId="0" fillId="0" borderId="0" xfId="0"/>
    <xf numFmtId="0" fontId="0" fillId="0" borderId="0" xfId="0" applyAlignment="1">
      <alignment horizontal="center"/>
    </xf>
    <xf numFmtId="165" fontId="0" fillId="0" borderId="0" xfId="1" applyNumberFormat="1" applyFont="1"/>
    <xf numFmtId="0" fontId="2" fillId="3" borderId="1" xfId="0" applyFont="1" applyFill="1" applyBorder="1" applyAlignment="1">
      <alignment horizontal="center" vertical="center"/>
    </xf>
    <xf numFmtId="44" fontId="0" fillId="0" borderId="1" xfId="2" applyFont="1" applyBorder="1" applyAlignment="1">
      <alignment horizontal="center" vertical="center"/>
    </xf>
    <xf numFmtId="0" fontId="0" fillId="5" borderId="1" xfId="0" applyFill="1" applyBorder="1" applyAlignment="1">
      <alignment horizontal="center" vertical="center" wrapText="1"/>
    </xf>
    <xf numFmtId="9" fontId="0" fillId="0" borderId="0" xfId="0" applyNumberFormat="1"/>
    <xf numFmtId="10" fontId="0" fillId="0" borderId="0" xfId="0" applyNumberFormat="1"/>
    <xf numFmtId="10" fontId="0" fillId="0" borderId="0" xfId="3" applyNumberFormat="1" applyFont="1"/>
    <xf numFmtId="0" fontId="4" fillId="10" borderId="9" xfId="0" applyFont="1" applyFill="1" applyBorder="1" applyAlignment="1">
      <alignment horizontal="center" vertical="center"/>
    </xf>
    <xf numFmtId="0" fontId="4" fillId="10" borderId="1"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1" fillId="0" borderId="10" xfId="0" applyFont="1" applyFill="1" applyBorder="1" applyAlignment="1">
      <alignment horizontal="center" vertical="center" wrapText="1"/>
    </xf>
    <xf numFmtId="44" fontId="1" fillId="0" borderId="1" xfId="2" applyFont="1" applyBorder="1" applyAlignment="1">
      <alignment horizontal="center" vertical="center"/>
    </xf>
    <xf numFmtId="0" fontId="2" fillId="0" borderId="0" xfId="0" applyFont="1" applyFill="1" applyBorder="1" applyAlignment="1">
      <alignment horizontal="left" vertical="top"/>
    </xf>
    <xf numFmtId="0" fontId="4" fillId="10" borderId="1" xfId="0" applyFont="1" applyFill="1" applyBorder="1" applyAlignment="1">
      <alignment horizontal="center" vertical="center"/>
    </xf>
    <xf numFmtId="9" fontId="2" fillId="0" borderId="0" xfId="3" applyFont="1" applyFill="1" applyBorder="1" applyAlignment="1">
      <alignment horizontal="left" vertical="top"/>
    </xf>
    <xf numFmtId="0" fontId="2" fillId="0" borderId="0" xfId="0" applyFont="1" applyFill="1" applyBorder="1" applyAlignment="1">
      <alignment horizontal="center" vertical="center"/>
    </xf>
    <xf numFmtId="8" fontId="0" fillId="0" borderId="0" xfId="0" applyNumberFormat="1"/>
    <xf numFmtId="44" fontId="1" fillId="0" borderId="1" xfId="2" applyFont="1" applyBorder="1" applyAlignment="1">
      <alignment vertical="center"/>
    </xf>
    <xf numFmtId="0" fontId="2" fillId="0" borderId="0" xfId="0" applyFont="1"/>
    <xf numFmtId="44" fontId="2" fillId="0" borderId="0" xfId="2" applyFont="1"/>
    <xf numFmtId="44" fontId="4" fillId="0" borderId="0" xfId="2" applyFont="1" applyFill="1" applyBorder="1" applyAlignment="1">
      <alignment vertical="top"/>
    </xf>
    <xf numFmtId="0" fontId="2" fillId="0" borderId="0" xfId="0" applyFont="1" applyBorder="1" applyAlignment="1"/>
    <xf numFmtId="0" fontId="2" fillId="0" borderId="0" xfId="0" applyFont="1" applyBorder="1"/>
    <xf numFmtId="17" fontId="4" fillId="10" borderId="1" xfId="2" applyNumberFormat="1" applyFont="1" applyFill="1" applyBorder="1" applyAlignment="1">
      <alignment horizontal="center" vertical="center"/>
    </xf>
    <xf numFmtId="2" fontId="2" fillId="0" borderId="1" xfId="2" applyNumberFormat="1" applyFont="1" applyBorder="1" applyAlignment="1">
      <alignment horizontal="right" vertical="center"/>
    </xf>
    <xf numFmtId="168" fontId="9" fillId="3" borderId="1" xfId="1" applyNumberFormat="1" applyFont="1" applyFill="1" applyBorder="1" applyAlignment="1">
      <alignment vertical="center"/>
    </xf>
    <xf numFmtId="166" fontId="1" fillId="0" borderId="1" xfId="0" applyNumberFormat="1" applyFont="1" applyBorder="1" applyAlignment="1">
      <alignment horizontal="center" vertical="center"/>
    </xf>
    <xf numFmtId="0" fontId="0" fillId="0" borderId="0" xfId="0"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vertical="center" wrapText="1"/>
    </xf>
    <xf numFmtId="167" fontId="2" fillId="0" borderId="1" xfId="3" applyNumberFormat="1" applyFont="1" applyBorder="1" applyAlignment="1">
      <alignment vertical="center"/>
    </xf>
    <xf numFmtId="9" fontId="0" fillId="0" borderId="0" xfId="3" applyFont="1"/>
    <xf numFmtId="44" fontId="0" fillId="0" borderId="0" xfId="0" applyNumberFormat="1"/>
    <xf numFmtId="17" fontId="4" fillId="6" borderId="1" xfId="2" applyNumberFormat="1" applyFont="1" applyFill="1" applyBorder="1" applyAlignment="1">
      <alignment horizontal="center" vertical="top"/>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44" fontId="0" fillId="0" borderId="1" xfId="0" applyNumberFormat="1" applyBorder="1" applyAlignment="1">
      <alignment horizontal="center" vertical="center"/>
    </xf>
    <xf numFmtId="0" fontId="0" fillId="7" borderId="1" xfId="0" applyFill="1" applyBorder="1" applyAlignment="1">
      <alignment vertical="center"/>
    </xf>
    <xf numFmtId="166" fontId="0" fillId="0" borderId="1" xfId="0" applyNumberFormat="1" applyBorder="1" applyAlignment="1">
      <alignment vertical="center"/>
    </xf>
    <xf numFmtId="166" fontId="1" fillId="0" borderId="1" xfId="2" applyNumberFormat="1" applyFont="1" applyFill="1" applyBorder="1" applyAlignment="1">
      <alignment vertical="center"/>
    </xf>
    <xf numFmtId="10" fontId="0" fillId="0" borderId="1" xfId="3" applyNumberFormat="1" applyFont="1" applyFill="1" applyBorder="1" applyAlignment="1">
      <alignment vertical="center"/>
    </xf>
    <xf numFmtId="17" fontId="4" fillId="10" borderId="1" xfId="2"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44" fontId="3" fillId="0" borderId="1" xfId="2" applyFont="1" applyBorder="1" applyAlignment="1">
      <alignment horizontal="center" vertical="center"/>
    </xf>
    <xf numFmtId="1" fontId="0" fillId="0" borderId="1" xfId="0" applyNumberFormat="1" applyBorder="1" applyAlignment="1">
      <alignment horizontal="center" vertical="center"/>
    </xf>
    <xf numFmtId="1" fontId="2" fillId="0" borderId="1" xfId="0" applyNumberFormat="1" applyFont="1" applyBorder="1" applyAlignment="1">
      <alignment vertical="center" wrapText="1"/>
    </xf>
    <xf numFmtId="0" fontId="16" fillId="0" borderId="1" xfId="0" applyFont="1" applyBorder="1" applyAlignment="1">
      <alignment vertical="center" wrapText="1"/>
    </xf>
    <xf numFmtId="0" fontId="0" fillId="0" borderId="1" xfId="0" applyBorder="1" applyAlignment="1">
      <alignment horizontal="center" vertical="center"/>
    </xf>
    <xf numFmtId="166" fontId="0" fillId="0" borderId="0" xfId="0" applyNumberFormat="1"/>
    <xf numFmtId="0" fontId="0" fillId="0" borderId="1" xfId="0" applyNumberFormat="1" applyFill="1" applyBorder="1" applyAlignment="1">
      <alignment horizontal="center" vertical="center"/>
    </xf>
    <xf numFmtId="0" fontId="0" fillId="0" borderId="0" xfId="0" applyAlignment="1">
      <alignment horizontal="center"/>
    </xf>
    <xf numFmtId="0" fontId="1" fillId="0" borderId="1" xfId="0" applyFont="1" applyBorder="1" applyAlignment="1">
      <alignment horizontal="center"/>
    </xf>
    <xf numFmtId="0" fontId="0" fillId="0" borderId="0" xfId="0" applyAlignment="1">
      <alignment horizontal="center"/>
    </xf>
    <xf numFmtId="0" fontId="1" fillId="0" borderId="0" xfId="0" applyFont="1"/>
    <xf numFmtId="0" fontId="0" fillId="0" borderId="1" xfId="0" applyBorder="1" applyAlignment="1">
      <alignment horizontal="center"/>
    </xf>
    <xf numFmtId="0" fontId="0" fillId="0" borderId="0" xfId="0" applyAlignment="1"/>
    <xf numFmtId="0" fontId="1" fillId="0" borderId="0" xfId="0" applyFont="1" applyBorder="1"/>
    <xf numFmtId="0" fontId="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1" xfId="0" applyBorder="1"/>
    <xf numFmtId="0" fontId="17" fillId="0" borderId="1" xfId="0" applyFont="1" applyBorder="1"/>
    <xf numFmtId="15" fontId="15" fillId="0" borderId="1" xfId="0" applyNumberFormat="1" applyFont="1" applyBorder="1"/>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xf>
    <xf numFmtId="44" fontId="0" fillId="0" borderId="1" xfId="0" applyNumberFormat="1" applyBorder="1" applyAlignment="1">
      <alignment horizontal="center" vertical="center"/>
    </xf>
    <xf numFmtId="0" fontId="0" fillId="0" borderId="0" xfId="0" applyAlignment="1">
      <alignment horizontal="center"/>
    </xf>
    <xf numFmtId="168" fontId="9" fillId="4" borderId="1" xfId="1" applyNumberFormat="1" applyFont="1" applyFill="1" applyBorder="1" applyAlignment="1">
      <alignment vertical="center"/>
    </xf>
    <xf numFmtId="44" fontId="2" fillId="0" borderId="0" xfId="0" applyNumberFormat="1" applyFont="1"/>
    <xf numFmtId="0" fontId="0" fillId="0" borderId="1" xfId="0" applyBorder="1" applyAlignment="1">
      <alignment horizontal="left" vertical="center"/>
    </xf>
    <xf numFmtId="0" fontId="18" fillId="2" borderId="1" xfId="0" applyFont="1" applyFill="1" applyBorder="1" applyAlignment="1">
      <alignment horizontal="center" vertical="center"/>
    </xf>
    <xf numFmtId="4" fontId="18" fillId="2" borderId="1" xfId="0" applyNumberFormat="1" applyFont="1" applyFill="1" applyBorder="1" applyAlignment="1">
      <alignment horizontal="center" vertical="center"/>
    </xf>
    <xf numFmtId="0" fontId="0" fillId="0" borderId="1" xfId="0" applyBorder="1" applyAlignment="1">
      <alignment horizontal="left" vertical="center" wrapText="1"/>
    </xf>
    <xf numFmtId="0" fontId="4" fillId="7" borderId="1" xfId="0" applyFont="1" applyFill="1" applyBorder="1" applyAlignment="1">
      <alignment vertical="center"/>
    </xf>
    <xf numFmtId="0" fontId="7" fillId="3" borderId="1" xfId="0" applyFont="1" applyFill="1"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1" fillId="0" borderId="3" xfId="0" applyFont="1" applyBorder="1" applyAlignment="1">
      <alignment horizontal="center" vertical="center"/>
    </xf>
    <xf numFmtId="49" fontId="9" fillId="0" borderId="1" xfId="0" applyNumberFormat="1" applyFont="1" applyFill="1" applyBorder="1" applyAlignment="1">
      <alignment horizontal="center" vertical="center"/>
    </xf>
    <xf numFmtId="0" fontId="1" fillId="12" borderId="1" xfId="0" applyFont="1" applyFill="1" applyBorder="1" applyAlignment="1">
      <alignment horizontal="center"/>
    </xf>
    <xf numFmtId="0" fontId="0" fillId="12" borderId="1" xfId="0" applyFill="1" applyBorder="1" applyAlignment="1">
      <alignment horizontal="center"/>
    </xf>
    <xf numFmtId="0" fontId="1" fillId="3" borderId="1" xfId="0" applyFont="1" applyFill="1" applyBorder="1" applyAlignment="1">
      <alignment horizontal="center"/>
    </xf>
    <xf numFmtId="0" fontId="0" fillId="3" borderId="1" xfId="0" applyFill="1" applyBorder="1" applyAlignment="1">
      <alignment horizontal="center"/>
    </xf>
    <xf numFmtId="0" fontId="9" fillId="0" borderId="1" xfId="0" applyFont="1" applyFill="1" applyBorder="1" applyAlignment="1">
      <alignment horizontal="center"/>
    </xf>
    <xf numFmtId="0" fontId="0" fillId="0" borderId="1" xfId="0"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xf>
    <xf numFmtId="0" fontId="21" fillId="0" borderId="1" xfId="0" applyFont="1" applyBorder="1" applyAlignment="1">
      <alignment horizont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xf>
    <xf numFmtId="0" fontId="21" fillId="0" borderId="1" xfId="0" applyFont="1" applyFill="1" applyBorder="1"/>
    <xf numFmtId="0" fontId="22" fillId="0" borderId="1" xfId="0" applyFont="1" applyFill="1" applyBorder="1" applyAlignment="1">
      <alignment horizontal="center"/>
    </xf>
    <xf numFmtId="0" fontId="21" fillId="0" borderId="3" xfId="0" applyFont="1" applyFill="1" applyBorder="1" applyAlignment="1">
      <alignment horizontal="center"/>
    </xf>
    <xf numFmtId="0" fontId="21" fillId="0" borderId="4" xfId="0" applyFont="1" applyFill="1" applyBorder="1" applyAlignment="1">
      <alignment horizontal="center"/>
    </xf>
    <xf numFmtId="0" fontId="13" fillId="0" borderId="0" xfId="0" applyFont="1"/>
    <xf numFmtId="0" fontId="1" fillId="0" borderId="0" xfId="0" applyFont="1" applyAlignment="1">
      <alignment vertical="center"/>
    </xf>
    <xf numFmtId="0" fontId="2" fillId="0" borderId="15" xfId="0" applyFont="1" applyBorder="1" applyAlignment="1">
      <alignment horizontal="center" vertical="center"/>
    </xf>
    <xf numFmtId="167" fontId="2" fillId="0" borderId="0" xfId="0" applyNumberFormat="1" applyFont="1" applyFill="1" applyBorder="1" applyAlignment="1">
      <alignment horizontal="left" vertical="top"/>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xf>
    <xf numFmtId="44" fontId="0" fillId="0" borderId="0" xfId="0" applyNumberFormat="1" applyAlignment="1"/>
    <xf numFmtId="0" fontId="7" fillId="0" borderId="1" xfId="0" applyFont="1" applyFill="1" applyBorder="1" applyAlignment="1">
      <alignment horizontal="center" vertical="center"/>
    </xf>
    <xf numFmtId="44" fontId="0" fillId="0" borderId="1" xfId="0" applyNumberFormat="1" applyBorder="1" applyAlignment="1">
      <alignment vertical="center"/>
    </xf>
    <xf numFmtId="0" fontId="1" fillId="0" borderId="1" xfId="0" applyFont="1" applyBorder="1" applyAlignment="1">
      <alignment horizontal="center"/>
    </xf>
    <xf numFmtId="0" fontId="0" fillId="0" borderId="1" xfId="0" applyBorder="1" applyAlignment="1">
      <alignment horizontal="center" vertical="center"/>
    </xf>
    <xf numFmtId="44" fontId="0" fillId="0" borderId="1" xfId="0" applyNumberForma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4" fillId="13" borderId="1" xfId="0" applyFont="1" applyFill="1" applyBorder="1" applyAlignment="1">
      <alignment horizontal="center" vertical="center"/>
    </xf>
    <xf numFmtId="0" fontId="4" fillId="13"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15" xfId="0" applyFont="1" applyFill="1" applyBorder="1" applyAlignment="1">
      <alignment horizontal="center" vertical="center"/>
    </xf>
    <xf numFmtId="17" fontId="4" fillId="6" borderId="1" xfId="2" applyNumberFormat="1" applyFont="1" applyFill="1" applyBorder="1" applyAlignment="1">
      <alignment horizontal="center" vertical="top"/>
    </xf>
    <xf numFmtId="0" fontId="1" fillId="0" borderId="1" xfId="0" applyFont="1" applyBorder="1" applyAlignment="1">
      <alignment vertical="center"/>
    </xf>
    <xf numFmtId="0" fontId="4" fillId="7" borderId="1" xfId="0" applyFont="1" applyFill="1" applyBorder="1" applyAlignment="1">
      <alignment vertical="center"/>
    </xf>
    <xf numFmtId="0" fontId="7" fillId="3"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4" fillId="14"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24" fillId="14" borderId="1" xfId="0" applyFont="1" applyFill="1" applyBorder="1" applyAlignment="1">
      <alignment horizontal="center" vertical="center" wrapText="1"/>
    </xf>
    <xf numFmtId="17" fontId="4" fillId="14" borderId="1" xfId="2" applyNumberFormat="1" applyFont="1" applyFill="1" applyBorder="1" applyAlignment="1">
      <alignment horizontal="center" vertical="center"/>
    </xf>
    <xf numFmtId="0" fontId="2" fillId="0" borderId="1" xfId="0" applyFont="1" applyBorder="1" applyAlignment="1">
      <alignment horizontal="left" vertical="center" wrapText="1"/>
    </xf>
    <xf numFmtId="10" fontId="0" fillId="0" borderId="0" xfId="3" applyNumberFormat="1" applyFont="1" applyAlignment="1">
      <alignment horizontal="center" vertical="center"/>
    </xf>
    <xf numFmtId="10" fontId="2" fillId="0" borderId="1" xfId="3" applyNumberFormat="1" applyFont="1" applyBorder="1" applyAlignment="1">
      <alignment vertical="center" wrapText="1"/>
    </xf>
    <xf numFmtId="44" fontId="0" fillId="0" borderId="1" xfId="0" applyNumberFormat="1" applyFont="1" applyBorder="1" applyAlignment="1">
      <alignment vertical="center"/>
    </xf>
    <xf numFmtId="44" fontId="1" fillId="0" borderId="1" xfId="0" applyNumberFormat="1" applyFont="1" applyBorder="1" applyAlignment="1">
      <alignment vertical="center"/>
    </xf>
    <xf numFmtId="0" fontId="4" fillId="10" borderId="16" xfId="0" applyFont="1" applyFill="1" applyBorder="1" applyAlignment="1">
      <alignment horizontal="center" vertical="center" wrapText="1"/>
    </xf>
    <xf numFmtId="44" fontId="0" fillId="0" borderId="1" xfId="0" applyNumberFormat="1" applyFill="1" applyBorder="1" applyAlignment="1">
      <alignment horizontal="center" vertical="center"/>
    </xf>
    <xf numFmtId="17" fontId="1" fillId="9" borderId="1" xfId="2"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2" xfId="0" applyFont="1" applyFill="1" applyBorder="1" applyAlignment="1">
      <alignment horizontal="center"/>
    </xf>
    <xf numFmtId="0" fontId="0" fillId="0" borderId="3" xfId="0" applyFont="1" applyBorder="1" applyAlignment="1">
      <alignment horizontal="left"/>
    </xf>
    <xf numFmtId="0" fontId="0" fillId="0" borderId="4" xfId="0" applyFont="1" applyBorder="1" applyAlignment="1">
      <alignment horizontal="left"/>
    </xf>
    <xf numFmtId="0" fontId="0" fillId="0" borderId="2" xfId="0" applyFont="1" applyBorder="1" applyAlignment="1">
      <alignment horizontal="left"/>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13"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17" fontId="4" fillId="14" borderId="1" xfId="2" applyNumberFormat="1" applyFont="1" applyFill="1" applyBorder="1" applyAlignment="1">
      <alignment horizontal="center" vertical="center"/>
    </xf>
    <xf numFmtId="0" fontId="1" fillId="9" borderId="1" xfId="0" applyFont="1" applyFill="1" applyBorder="1" applyAlignment="1">
      <alignment horizontal="center" vertical="center" wrapText="1"/>
    </xf>
    <xf numFmtId="0" fontId="4" fillId="14"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4" fillId="14"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4" xfId="0" applyFont="1" applyFill="1" applyBorder="1" applyAlignment="1">
      <alignment horizontal="center" vertical="center" wrapText="1"/>
    </xf>
    <xf numFmtId="1" fontId="0" fillId="0" borderId="3" xfId="0" applyNumberFormat="1" applyBorder="1" applyAlignment="1">
      <alignment horizontal="center" vertical="center"/>
    </xf>
    <xf numFmtId="44" fontId="0" fillId="0" borderId="3" xfId="0" applyNumberFormat="1" applyBorder="1" applyAlignment="1">
      <alignment horizontal="center" vertical="center"/>
    </xf>
    <xf numFmtId="44" fontId="0" fillId="0" borderId="4" xfId="0" applyNumberFormat="1" applyBorder="1" applyAlignment="1">
      <alignment horizontal="center" vertical="center"/>
    </xf>
    <xf numFmtId="44" fontId="0" fillId="0" borderId="2" xfId="0" applyNumberFormat="1" applyBorder="1" applyAlignment="1">
      <alignment horizontal="center" vertical="center"/>
    </xf>
    <xf numFmtId="17" fontId="4" fillId="6" borderId="1" xfId="2" applyNumberFormat="1" applyFont="1" applyFill="1" applyBorder="1" applyAlignment="1">
      <alignment horizontal="center" vertical="top"/>
    </xf>
    <xf numFmtId="0" fontId="7"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Border="1" applyAlignment="1">
      <alignment horizontal="left" vertical="center"/>
    </xf>
    <xf numFmtId="0" fontId="4" fillId="6" borderId="1" xfId="0" applyFont="1" applyFill="1" applyBorder="1" applyAlignment="1">
      <alignment horizontal="center" vertical="center"/>
    </xf>
    <xf numFmtId="44" fontId="0" fillId="0" borderId="1" xfId="0" applyNumberFormat="1" applyBorder="1" applyAlignment="1">
      <alignment horizontal="center" vertical="center"/>
    </xf>
    <xf numFmtId="0" fontId="8" fillId="0" borderId="1" xfId="0" applyFont="1" applyFill="1" applyBorder="1" applyAlignment="1">
      <alignment horizontal="left" wrapText="1"/>
    </xf>
    <xf numFmtId="0" fontId="8" fillId="0" borderId="1" xfId="0" applyFont="1" applyBorder="1" applyAlignment="1">
      <alignment horizontal="left"/>
    </xf>
    <xf numFmtId="0" fontId="0" fillId="0" borderId="1" xfId="0" applyFill="1" applyBorder="1" applyAlignment="1">
      <alignment horizontal="center" vertical="top"/>
    </xf>
    <xf numFmtId="0" fontId="1" fillId="0" borderId="1" xfId="0" applyFont="1" applyBorder="1" applyAlignment="1">
      <alignment vertical="center" wrapText="1"/>
    </xf>
    <xf numFmtId="0" fontId="1" fillId="0" borderId="1" xfId="0" applyFont="1" applyBorder="1" applyAlignment="1">
      <alignment vertical="center"/>
    </xf>
    <xf numFmtId="0" fontId="1" fillId="3" borderId="1" xfId="0" applyFont="1" applyFill="1" applyBorder="1" applyAlignment="1">
      <alignment vertical="center"/>
    </xf>
    <xf numFmtId="0" fontId="1" fillId="4" borderId="1" xfId="0" applyFont="1" applyFill="1" applyBorder="1" applyAlignment="1">
      <alignment vertical="center"/>
    </xf>
    <xf numFmtId="44" fontId="0" fillId="0" borderId="1" xfId="2" applyFont="1" applyBorder="1" applyAlignment="1">
      <alignment vertical="center"/>
    </xf>
    <xf numFmtId="0" fontId="0" fillId="0" borderId="1" xfId="0" applyBorder="1" applyAlignment="1">
      <alignment vertical="center" wrapText="1"/>
    </xf>
    <xf numFmtId="0" fontId="0" fillId="8" borderId="1" xfId="0" applyFill="1" applyBorder="1" applyAlignment="1">
      <alignment vertical="center"/>
    </xf>
    <xf numFmtId="0" fontId="1" fillId="0" borderId="1"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left" vertical="center"/>
    </xf>
    <xf numFmtId="0" fontId="4" fillId="7" borderId="1" xfId="0" applyFont="1" applyFill="1" applyBorder="1" applyAlignment="1">
      <alignment vertical="center"/>
    </xf>
    <xf numFmtId="44" fontId="6" fillId="6" borderId="1" xfId="2" applyFont="1" applyFill="1" applyBorder="1" applyAlignment="1">
      <alignment horizontal="center" vertical="center" wrapText="1"/>
    </xf>
    <xf numFmtId="0" fontId="0" fillId="0" borderId="1" xfId="0" applyBorder="1" applyAlignment="1">
      <alignment horizontal="center" vertical="center"/>
    </xf>
    <xf numFmtId="0" fontId="1" fillId="9" borderId="1" xfId="0" applyFont="1" applyFill="1" applyBorder="1" applyAlignment="1">
      <alignment horizontal="center" vertical="center"/>
    </xf>
    <xf numFmtId="17" fontId="1" fillId="9" borderId="1" xfId="2" applyNumberFormat="1" applyFont="1" applyFill="1" applyBorder="1" applyAlignment="1">
      <alignment horizontal="center" vertical="center" wrapText="1"/>
    </xf>
    <xf numFmtId="0" fontId="7" fillId="3" borderId="1" xfId="0" applyFont="1" applyFill="1" applyBorder="1" applyAlignment="1">
      <alignment vertical="center"/>
    </xf>
    <xf numFmtId="0" fontId="0" fillId="0" borderId="1" xfId="0" applyBorder="1" applyAlignment="1">
      <alignment vertical="center"/>
    </xf>
    <xf numFmtId="0" fontId="1" fillId="0" borderId="1" xfId="0" applyFont="1" applyBorder="1" applyAlignment="1">
      <alignment horizontal="center" vertical="center" wrapText="1"/>
    </xf>
    <xf numFmtId="0" fontId="20" fillId="0" borderId="1" xfId="0" applyFont="1" applyBorder="1" applyAlignment="1">
      <alignment horizontal="left" wrapText="1"/>
    </xf>
    <xf numFmtId="0" fontId="20" fillId="0" borderId="1" xfId="0" applyFont="1" applyBorder="1" applyAlignment="1">
      <alignment horizontal="left"/>
    </xf>
    <xf numFmtId="0" fontId="2" fillId="0" borderId="1" xfId="0" applyFont="1" applyBorder="1" applyAlignment="1">
      <alignment horizontal="center"/>
    </xf>
    <xf numFmtId="0" fontId="1" fillId="9" borderId="1" xfId="0" applyFont="1" applyFill="1" applyBorder="1" applyAlignment="1">
      <alignment horizontal="left" vertical="top" wrapText="1"/>
    </xf>
    <xf numFmtId="0" fontId="1" fillId="9" borderId="1" xfId="0" applyFont="1" applyFill="1" applyBorder="1" applyAlignment="1">
      <alignment horizontal="left" vertical="top"/>
    </xf>
    <xf numFmtId="0" fontId="7" fillId="3" borderId="1" xfId="0" applyFont="1" applyFill="1" applyBorder="1" applyAlignment="1">
      <alignment horizontal="center" vertical="top"/>
    </xf>
    <xf numFmtId="44" fontId="2" fillId="0" borderId="1" xfId="2" applyFont="1" applyBorder="1" applyAlignment="1">
      <alignment horizontal="center"/>
    </xf>
    <xf numFmtId="169" fontId="2" fillId="0" borderId="1" xfId="2" applyNumberFormat="1" applyFont="1" applyBorder="1" applyAlignment="1">
      <alignment horizontal="center" vertical="top"/>
    </xf>
    <xf numFmtId="0" fontId="5" fillId="0" borderId="1" xfId="0" applyFont="1" applyBorder="1" applyAlignment="1">
      <alignment horizontal="left"/>
    </xf>
    <xf numFmtId="0" fontId="5" fillId="0" borderId="1" xfId="0" applyFont="1" applyBorder="1" applyAlignment="1">
      <alignment horizontal="left" wrapText="1"/>
    </xf>
    <xf numFmtId="0" fontId="1" fillId="11" borderId="1" xfId="0" applyFont="1" applyFill="1" applyBorder="1" applyAlignment="1">
      <alignment horizontal="center" vertical="center" wrapText="1"/>
    </xf>
    <xf numFmtId="0" fontId="0" fillId="0" borderId="1" xfId="0" applyBorder="1" applyAlignment="1">
      <alignment horizontal="center"/>
    </xf>
    <xf numFmtId="0" fontId="23" fillId="0" borderId="1" xfId="0" applyFont="1" applyBorder="1" applyAlignment="1">
      <alignment horizontal="left"/>
    </xf>
    <xf numFmtId="166" fontId="8" fillId="0" borderId="1" xfId="0" applyNumberFormat="1" applyFont="1" applyBorder="1"/>
    <xf numFmtId="0" fontId="5" fillId="3" borderId="1" xfId="0" applyFont="1" applyFill="1" applyBorder="1" applyAlignment="1">
      <alignment horizontal="left" vertical="center" wrapText="1"/>
    </xf>
    <xf numFmtId="170" fontId="0" fillId="0" borderId="0" xfId="0" applyNumberFormat="1"/>
    <xf numFmtId="0" fontId="0" fillId="12" borderId="0" xfId="0" applyFill="1"/>
    <xf numFmtId="0" fontId="0" fillId="0" borderId="0" xfId="0" applyAlignment="1">
      <alignment horizontal="left"/>
    </xf>
    <xf numFmtId="2" fontId="0" fillId="0" borderId="0" xfId="0" applyNumberFormat="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
  <sheetViews>
    <sheetView zoomScale="85" zoomScaleNormal="85" workbookViewId="0">
      <selection activeCell="K3" sqref="K3:K9"/>
    </sheetView>
  </sheetViews>
  <sheetFormatPr defaultRowHeight="15" x14ac:dyDescent="0.25"/>
  <cols>
    <col min="2" max="2" width="9.140625" style="59" bestFit="1" customWidth="1"/>
    <col min="3" max="3" width="10.7109375" style="59" bestFit="1" customWidth="1"/>
    <col min="4" max="4" width="14.42578125" style="59" hidden="1" customWidth="1"/>
    <col min="5" max="5" width="9.85546875" style="59" hidden="1" customWidth="1"/>
    <col min="6" max="6" width="13.140625" style="75" bestFit="1" customWidth="1"/>
    <col min="7" max="7" width="12.5703125" style="59" bestFit="1" customWidth="1"/>
    <col min="8" max="8" width="26" style="59" bestFit="1" customWidth="1"/>
    <col min="9" max="9" width="19.7109375" style="59" customWidth="1"/>
    <col min="10" max="10" width="25.85546875" style="59" bestFit="1" customWidth="1"/>
    <col min="11" max="11" width="13.5703125" style="59" bestFit="1" customWidth="1"/>
    <col min="12" max="12" width="23" style="59" customWidth="1"/>
  </cols>
  <sheetData>
    <row r="1" spans="2:12" x14ac:dyDescent="0.25">
      <c r="B1" s="145" t="s">
        <v>101</v>
      </c>
      <c r="C1" s="145"/>
      <c r="D1" s="145"/>
      <c r="E1" s="145"/>
      <c r="F1" s="145"/>
      <c r="G1" s="145"/>
      <c r="H1" s="145"/>
      <c r="I1" s="145"/>
      <c r="J1" s="145"/>
      <c r="K1" s="145"/>
      <c r="L1" s="145"/>
    </row>
    <row r="2" spans="2:12" s="62" customFormat="1" x14ac:dyDescent="0.25">
      <c r="B2" s="60" t="s">
        <v>58</v>
      </c>
      <c r="C2" s="93" t="s">
        <v>59</v>
      </c>
      <c r="D2" s="91" t="s">
        <v>60</v>
      </c>
      <c r="E2" s="91" t="s">
        <v>61</v>
      </c>
      <c r="F2" s="72" t="s">
        <v>68</v>
      </c>
      <c r="G2" s="60" t="s">
        <v>62</v>
      </c>
      <c r="H2" s="60" t="s">
        <v>63</v>
      </c>
      <c r="I2" s="60" t="s">
        <v>64</v>
      </c>
      <c r="J2" s="60" t="s">
        <v>65</v>
      </c>
      <c r="K2" s="60" t="s">
        <v>66</v>
      </c>
      <c r="L2" s="60" t="s">
        <v>100</v>
      </c>
    </row>
    <row r="3" spans="2:12" x14ac:dyDescent="0.25">
      <c r="B3" s="90" t="s">
        <v>90</v>
      </c>
      <c r="C3" s="94" t="s">
        <v>99</v>
      </c>
      <c r="D3" s="92"/>
      <c r="E3" s="92"/>
      <c r="F3" s="63" t="s">
        <v>48</v>
      </c>
      <c r="G3" s="63" t="s">
        <v>97</v>
      </c>
      <c r="H3" s="63">
        <v>819</v>
      </c>
      <c r="I3" s="63">
        <v>48</v>
      </c>
      <c r="J3" s="63">
        <f>SUM(H3:I3)</f>
        <v>867</v>
      </c>
      <c r="K3" s="96">
        <v>944</v>
      </c>
      <c r="L3" s="63">
        <v>1259</v>
      </c>
    </row>
    <row r="4" spans="2:12" x14ac:dyDescent="0.25">
      <c r="B4" s="90" t="s">
        <v>91</v>
      </c>
      <c r="C4" s="94" t="s">
        <v>99</v>
      </c>
      <c r="D4" s="92"/>
      <c r="E4" s="92"/>
      <c r="F4" s="63" t="s">
        <v>48</v>
      </c>
      <c r="G4" s="63" t="s">
        <v>97</v>
      </c>
      <c r="H4" s="63">
        <v>786</v>
      </c>
      <c r="I4" s="63">
        <v>52</v>
      </c>
      <c r="J4" s="63">
        <f t="shared" ref="J4:J9" si="0">SUM(H4:I4)</f>
        <v>838</v>
      </c>
      <c r="K4" s="96">
        <v>913</v>
      </c>
      <c r="L4" s="63">
        <v>1217</v>
      </c>
    </row>
    <row r="5" spans="2:12" x14ac:dyDescent="0.25">
      <c r="B5" s="90" t="s">
        <v>92</v>
      </c>
      <c r="C5" s="94" t="s">
        <v>99</v>
      </c>
      <c r="D5" s="92"/>
      <c r="E5" s="92"/>
      <c r="F5" s="63" t="s">
        <v>48</v>
      </c>
      <c r="G5" s="63" t="s">
        <v>98</v>
      </c>
      <c r="H5" s="63">
        <v>639</v>
      </c>
      <c r="I5" s="63">
        <v>57</v>
      </c>
      <c r="J5" s="63">
        <f t="shared" si="0"/>
        <v>696</v>
      </c>
      <c r="K5" s="96">
        <v>758</v>
      </c>
      <c r="L5" s="63">
        <v>1011</v>
      </c>
    </row>
    <row r="6" spans="2:12" x14ac:dyDescent="0.25">
      <c r="B6" s="90" t="s">
        <v>93</v>
      </c>
      <c r="C6" s="94" t="s">
        <v>99</v>
      </c>
      <c r="D6" s="92"/>
      <c r="E6" s="92"/>
      <c r="F6" s="63" t="s">
        <v>48</v>
      </c>
      <c r="G6" s="63" t="s">
        <v>98</v>
      </c>
      <c r="H6" s="63">
        <v>592</v>
      </c>
      <c r="I6" s="63">
        <v>53</v>
      </c>
      <c r="J6" s="63">
        <f t="shared" si="0"/>
        <v>645</v>
      </c>
      <c r="K6" s="96">
        <v>727</v>
      </c>
      <c r="L6" s="63">
        <v>968</v>
      </c>
    </row>
    <row r="7" spans="2:12" x14ac:dyDescent="0.25">
      <c r="B7" s="90" t="s">
        <v>94</v>
      </c>
      <c r="C7" s="94" t="s">
        <v>99</v>
      </c>
      <c r="D7" s="92"/>
      <c r="E7" s="92"/>
      <c r="F7" s="63" t="s">
        <v>48</v>
      </c>
      <c r="G7" s="63" t="s">
        <v>98</v>
      </c>
      <c r="H7" s="63">
        <v>595</v>
      </c>
      <c r="I7" s="63">
        <v>37</v>
      </c>
      <c r="J7" s="63">
        <f t="shared" si="0"/>
        <v>632</v>
      </c>
      <c r="K7" s="96">
        <v>692</v>
      </c>
      <c r="L7" s="63">
        <v>922</v>
      </c>
    </row>
    <row r="8" spans="2:12" x14ac:dyDescent="0.25">
      <c r="B8" s="90" t="s">
        <v>95</v>
      </c>
      <c r="C8" s="94" t="s">
        <v>99</v>
      </c>
      <c r="D8" s="92"/>
      <c r="E8" s="92"/>
      <c r="F8" s="63" t="s">
        <v>48</v>
      </c>
      <c r="G8" s="63" t="s">
        <v>97</v>
      </c>
      <c r="H8" s="63">
        <v>859</v>
      </c>
      <c r="I8" s="63">
        <v>54</v>
      </c>
      <c r="J8" s="63">
        <f t="shared" si="0"/>
        <v>913</v>
      </c>
      <c r="K8" s="96">
        <v>986</v>
      </c>
      <c r="L8" s="63">
        <v>1314</v>
      </c>
    </row>
    <row r="9" spans="2:12" x14ac:dyDescent="0.25">
      <c r="B9" s="90" t="s">
        <v>96</v>
      </c>
      <c r="C9" s="94" t="s">
        <v>99</v>
      </c>
      <c r="D9" s="92"/>
      <c r="E9" s="92"/>
      <c r="F9" s="63" t="s">
        <v>48</v>
      </c>
      <c r="G9" s="63" t="s">
        <v>97</v>
      </c>
      <c r="H9" s="63">
        <v>859</v>
      </c>
      <c r="I9" s="63">
        <v>54</v>
      </c>
      <c r="J9" s="63">
        <f t="shared" si="0"/>
        <v>913</v>
      </c>
      <c r="K9" s="96">
        <v>987</v>
      </c>
      <c r="L9" s="63">
        <v>1316</v>
      </c>
    </row>
  </sheetData>
  <mergeCells count="1">
    <mergeCell ref="B1:L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C33" sqref="C33"/>
    </sheetView>
  </sheetViews>
  <sheetFormatPr defaultRowHeight="15" x14ac:dyDescent="0.25"/>
  <cols>
    <col min="1" max="1" width="14.85546875" bestFit="1" customWidth="1"/>
    <col min="2" max="2" width="23.140625" bestFit="1" customWidth="1"/>
    <col min="3" max="3" width="18" bestFit="1" customWidth="1"/>
    <col min="4" max="4" width="17.140625" customWidth="1"/>
    <col min="5" max="5" width="12.7109375" customWidth="1"/>
    <col min="6" max="6" width="11.28515625" bestFit="1" customWidth="1"/>
  </cols>
  <sheetData>
    <row r="1" spans="1:8" ht="26.25" x14ac:dyDescent="0.4">
      <c r="A1" s="69" t="s">
        <v>102</v>
      </c>
      <c r="B1" s="68"/>
      <c r="C1" s="68"/>
      <c r="D1" s="68"/>
      <c r="E1" s="70"/>
    </row>
    <row r="2" spans="1:8" x14ac:dyDescent="0.25">
      <c r="A2" s="97" t="s">
        <v>103</v>
      </c>
      <c r="B2" s="98" t="s">
        <v>2</v>
      </c>
      <c r="C2" s="98" t="s">
        <v>104</v>
      </c>
      <c r="D2" s="98" t="s">
        <v>105</v>
      </c>
      <c r="E2" s="98" t="s">
        <v>106</v>
      </c>
      <c r="F2" s="113" t="s">
        <v>35</v>
      </c>
    </row>
    <row r="3" spans="1:8" s="59" customFormat="1" x14ac:dyDescent="0.25">
      <c r="A3" s="90" t="s">
        <v>90</v>
      </c>
      <c r="B3" s="95" t="s">
        <v>107</v>
      </c>
      <c r="C3" s="95">
        <v>1259</v>
      </c>
      <c r="D3" s="96">
        <v>944</v>
      </c>
      <c r="E3" s="96">
        <v>867</v>
      </c>
      <c r="F3" s="88">
        <v>10</v>
      </c>
    </row>
    <row r="4" spans="1:8" x14ac:dyDescent="0.25">
      <c r="A4" s="90" t="s">
        <v>91</v>
      </c>
      <c r="B4" s="95" t="s">
        <v>107</v>
      </c>
      <c r="C4" s="95">
        <v>1217</v>
      </c>
      <c r="D4" s="96">
        <v>913</v>
      </c>
      <c r="E4" s="96">
        <v>838</v>
      </c>
      <c r="F4" s="88">
        <v>10</v>
      </c>
    </row>
    <row r="5" spans="1:8" x14ac:dyDescent="0.25">
      <c r="A5" s="90" t="s">
        <v>92</v>
      </c>
      <c r="B5" s="95" t="s">
        <v>108</v>
      </c>
      <c r="C5" s="95">
        <v>1011</v>
      </c>
      <c r="D5" s="96">
        <v>758</v>
      </c>
      <c r="E5" s="96">
        <v>696</v>
      </c>
      <c r="F5" s="88">
        <v>10</v>
      </c>
    </row>
    <row r="6" spans="1:8" x14ac:dyDescent="0.25">
      <c r="A6" s="90" t="s">
        <v>93</v>
      </c>
      <c r="B6" s="95" t="s">
        <v>108</v>
      </c>
      <c r="C6" s="95">
        <v>968</v>
      </c>
      <c r="D6" s="96">
        <v>727</v>
      </c>
      <c r="E6" s="96">
        <v>645</v>
      </c>
      <c r="F6" s="88">
        <v>10</v>
      </c>
    </row>
    <row r="7" spans="1:8" x14ac:dyDescent="0.25">
      <c r="A7" s="90" t="s">
        <v>94</v>
      </c>
      <c r="B7" s="95" t="s">
        <v>108</v>
      </c>
      <c r="C7" s="95">
        <v>922</v>
      </c>
      <c r="D7" s="96">
        <v>692</v>
      </c>
      <c r="E7" s="96">
        <v>632</v>
      </c>
      <c r="F7" s="88">
        <v>10</v>
      </c>
    </row>
    <row r="8" spans="1:8" x14ac:dyDescent="0.25">
      <c r="A8" s="90" t="s">
        <v>95</v>
      </c>
      <c r="B8" s="95" t="s">
        <v>107</v>
      </c>
      <c r="C8" s="95">
        <v>1314</v>
      </c>
      <c r="D8" s="96">
        <v>986</v>
      </c>
      <c r="E8" s="96">
        <v>913</v>
      </c>
      <c r="F8" s="88">
        <v>10</v>
      </c>
    </row>
    <row r="9" spans="1:8" x14ac:dyDescent="0.25">
      <c r="A9" s="90" t="s">
        <v>96</v>
      </c>
      <c r="B9" s="95" t="s">
        <v>107</v>
      </c>
      <c r="C9" s="95">
        <v>1316</v>
      </c>
      <c r="D9" s="96">
        <v>987</v>
      </c>
      <c r="E9" s="96">
        <v>913</v>
      </c>
      <c r="F9" s="88">
        <v>10</v>
      </c>
    </row>
    <row r="10" spans="1:8" x14ac:dyDescent="0.25">
      <c r="A10" s="95" t="s">
        <v>109</v>
      </c>
      <c r="B10" s="95" t="s">
        <v>14</v>
      </c>
      <c r="C10" s="146"/>
      <c r="D10" s="147"/>
      <c r="E10" s="148"/>
      <c r="F10" s="88">
        <f>SUM(F3:F9)</f>
        <v>70</v>
      </c>
    </row>
    <row r="11" spans="1:8" x14ac:dyDescent="0.25">
      <c r="A11" s="65"/>
      <c r="B11" s="65"/>
      <c r="C11" s="65"/>
      <c r="D11" s="65"/>
      <c r="E11" s="65"/>
    </row>
    <row r="12" spans="1:8" x14ac:dyDescent="0.25">
      <c r="A12" s="100" t="s">
        <v>110</v>
      </c>
      <c r="B12" s="100" t="s">
        <v>111</v>
      </c>
      <c r="C12" s="100" t="s">
        <v>112</v>
      </c>
      <c r="D12" s="65"/>
      <c r="E12" s="65"/>
    </row>
    <row r="13" spans="1:8" x14ac:dyDescent="0.25">
      <c r="A13" s="101"/>
      <c r="B13" s="101"/>
      <c r="C13" s="102"/>
      <c r="D13" s="65"/>
      <c r="E13" s="65"/>
    </row>
    <row r="14" spans="1:8" x14ac:dyDescent="0.25">
      <c r="A14" s="101" t="s">
        <v>98</v>
      </c>
      <c r="B14" s="103">
        <v>40</v>
      </c>
      <c r="C14" s="101" t="s">
        <v>113</v>
      </c>
      <c r="D14" s="65"/>
      <c r="E14" s="65"/>
    </row>
    <row r="15" spans="1:8" x14ac:dyDescent="0.25">
      <c r="A15" s="101" t="s">
        <v>97</v>
      </c>
      <c r="B15" s="103">
        <v>30</v>
      </c>
      <c r="C15" s="101" t="s">
        <v>114</v>
      </c>
      <c r="D15" s="65"/>
      <c r="E15" s="65"/>
    </row>
    <row r="16" spans="1:8" x14ac:dyDescent="0.25">
      <c r="A16" s="101" t="s">
        <v>14</v>
      </c>
      <c r="B16" s="98">
        <v>70</v>
      </c>
      <c r="C16" s="101" t="s">
        <v>115</v>
      </c>
      <c r="D16" s="65"/>
      <c r="E16" s="65"/>
      <c r="H16">
        <f>4350*5900</f>
        <v>25665000</v>
      </c>
    </row>
    <row r="17" spans="1:8" x14ac:dyDescent="0.25">
      <c r="A17" s="101" t="s">
        <v>152</v>
      </c>
      <c r="B17" s="101">
        <v>2</v>
      </c>
      <c r="C17" s="101" t="s">
        <v>117</v>
      </c>
      <c r="D17" s="65" t="s">
        <v>183</v>
      </c>
      <c r="E17" s="65"/>
      <c r="H17">
        <f>750000*4</f>
        <v>3000000</v>
      </c>
    </row>
    <row r="18" spans="1:8" x14ac:dyDescent="0.25">
      <c r="A18" s="101" t="s">
        <v>118</v>
      </c>
      <c r="B18" s="101">
        <f>B16-B17</f>
        <v>68</v>
      </c>
      <c r="C18" s="101" t="s">
        <v>119</v>
      </c>
      <c r="D18" s="65"/>
      <c r="E18" s="65"/>
      <c r="H18">
        <f>SUM(H16:H17)</f>
        <v>28665000</v>
      </c>
    </row>
    <row r="19" spans="1:8" x14ac:dyDescent="0.25">
      <c r="A19" s="104"/>
      <c r="B19" s="105"/>
      <c r="C19" s="105"/>
      <c r="D19" s="65"/>
      <c r="E19" s="65"/>
    </row>
    <row r="20" spans="1:8" x14ac:dyDescent="0.25">
      <c r="A20" s="149" t="s">
        <v>148</v>
      </c>
      <c r="B20" s="150"/>
      <c r="C20" s="150"/>
      <c r="D20" s="150"/>
      <c r="E20" s="150"/>
      <c r="F20" s="151"/>
    </row>
    <row r="21" spans="1:8" x14ac:dyDescent="0.25">
      <c r="A21" s="65"/>
      <c r="B21" s="65"/>
      <c r="C21" s="65"/>
      <c r="D21" s="65"/>
      <c r="E21" s="65"/>
    </row>
    <row r="22" spans="1:8" x14ac:dyDescent="0.25">
      <c r="A22" s="65"/>
      <c r="B22" s="65"/>
      <c r="C22" s="65"/>
      <c r="D22" s="65"/>
      <c r="E22" s="65"/>
    </row>
    <row r="23" spans="1:8" ht="15" customHeight="1" x14ac:dyDescent="0.25">
      <c r="A23" s="152" t="s">
        <v>184</v>
      </c>
      <c r="B23" s="152"/>
      <c r="C23" s="152"/>
      <c r="D23" s="152"/>
      <c r="E23" s="152"/>
      <c r="F23" s="152"/>
    </row>
    <row r="24" spans="1:8" x14ac:dyDescent="0.25">
      <c r="A24" s="66"/>
      <c r="B24" s="66"/>
      <c r="C24" s="66"/>
      <c r="D24" s="66"/>
      <c r="E24" s="66"/>
      <c r="F24" s="66"/>
    </row>
    <row r="26" spans="1:8" x14ac:dyDescent="0.25">
      <c r="A26" s="154" t="s">
        <v>149</v>
      </c>
      <c r="B26" s="154"/>
      <c r="C26" s="154"/>
      <c r="D26" s="154"/>
      <c r="E26" s="154"/>
      <c r="F26" s="154"/>
    </row>
    <row r="27" spans="1:8" x14ac:dyDescent="0.25">
      <c r="A27" s="67"/>
      <c r="B27" s="67"/>
      <c r="C27" s="67"/>
      <c r="D27" s="67"/>
      <c r="E27" s="67"/>
    </row>
    <row r="28" spans="1:8" x14ac:dyDescent="0.25">
      <c r="A28" s="64"/>
      <c r="B28" s="64"/>
      <c r="C28" s="64"/>
      <c r="D28" s="64"/>
      <c r="E28" s="64"/>
    </row>
    <row r="29" spans="1:8" ht="15" customHeight="1" x14ac:dyDescent="0.25">
      <c r="A29" s="153" t="s">
        <v>150</v>
      </c>
      <c r="B29" s="153"/>
      <c r="C29" s="153"/>
      <c r="D29" s="153"/>
      <c r="E29" s="153"/>
      <c r="F29" s="153"/>
    </row>
    <row r="30" spans="1:8" x14ac:dyDescent="0.25">
      <c r="A30" s="153"/>
      <c r="B30" s="153"/>
      <c r="C30" s="153"/>
      <c r="D30" s="153"/>
      <c r="E30" s="153"/>
      <c r="F30" s="153"/>
    </row>
    <row r="32" spans="1:8" x14ac:dyDescent="0.25">
      <c r="A32" s="123" t="s">
        <v>67</v>
      </c>
      <c r="B32" s="123" t="s">
        <v>76</v>
      </c>
      <c r="C32" s="124" t="s">
        <v>77</v>
      </c>
    </row>
    <row r="33" spans="1:3" x14ac:dyDescent="0.25">
      <c r="A33" s="79" t="s">
        <v>151</v>
      </c>
      <c r="B33" s="80">
        <v>446748000</v>
      </c>
      <c r="C33" s="80">
        <f>B33</f>
        <v>446748000</v>
      </c>
    </row>
  </sheetData>
  <mergeCells count="5">
    <mergeCell ref="C10:E10"/>
    <mergeCell ref="A20:F20"/>
    <mergeCell ref="A23:F23"/>
    <mergeCell ref="A29:F30"/>
    <mergeCell ref="A26:F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5"/>
  <sheetViews>
    <sheetView topLeftCell="A4" workbookViewId="0">
      <selection activeCell="B24" sqref="B24"/>
    </sheetView>
  </sheetViews>
  <sheetFormatPr defaultRowHeight="15" x14ac:dyDescent="0.25"/>
  <cols>
    <col min="1" max="1" width="9.140625" style="1"/>
    <col min="2" max="2" width="13.7109375" customWidth="1"/>
    <col min="3" max="3" width="18.42578125" bestFit="1" customWidth="1"/>
    <col min="4" max="5" width="14.85546875" customWidth="1"/>
    <col min="6" max="6" width="12.42578125" customWidth="1"/>
    <col min="7" max="7" width="14.140625" customWidth="1"/>
    <col min="8" max="8" width="11.7109375" customWidth="1"/>
    <col min="9" max="9" width="14.5703125" customWidth="1"/>
    <col min="10" max="10" width="19" customWidth="1"/>
    <col min="11" max="11" width="13" customWidth="1"/>
    <col min="13" max="14" width="9.140625" style="2"/>
  </cols>
  <sheetData>
    <row r="2" spans="1:11" ht="15.75" x14ac:dyDescent="0.25">
      <c r="B2" s="155" t="s">
        <v>120</v>
      </c>
      <c r="C2" s="155"/>
      <c r="D2" s="155"/>
      <c r="E2" s="155"/>
      <c r="F2" s="155"/>
      <c r="G2" s="155"/>
      <c r="H2" s="155"/>
      <c r="I2" s="155"/>
      <c r="J2" s="155"/>
      <c r="K2" s="155"/>
    </row>
    <row r="3" spans="1:11" ht="15.75" x14ac:dyDescent="0.25">
      <c r="B3" s="155" t="s">
        <v>121</v>
      </c>
      <c r="C3" s="155"/>
      <c r="D3" s="155"/>
      <c r="E3" s="155"/>
      <c r="F3" s="155"/>
      <c r="G3" s="155"/>
      <c r="H3" s="155"/>
      <c r="I3" s="155"/>
      <c r="J3" s="155"/>
      <c r="K3" s="155"/>
    </row>
    <row r="4" spans="1:11" ht="15.75" x14ac:dyDescent="0.25">
      <c r="B4" s="155" t="s">
        <v>122</v>
      </c>
      <c r="C4" s="155"/>
      <c r="D4" s="155"/>
      <c r="E4" s="155"/>
      <c r="F4" s="155"/>
      <c r="G4" s="155"/>
      <c r="H4" s="155"/>
      <c r="I4" s="155"/>
      <c r="J4" s="155"/>
      <c r="K4" s="155"/>
    </row>
    <row r="5" spans="1:11" ht="15.75" x14ac:dyDescent="0.25">
      <c r="B5" s="106"/>
    </row>
    <row r="6" spans="1:11" ht="15.75" x14ac:dyDescent="0.25">
      <c r="A6" s="61"/>
      <c r="B6" s="106" t="s">
        <v>123</v>
      </c>
    </row>
    <row r="7" spans="1:11" x14ac:dyDescent="0.25">
      <c r="A7" s="61"/>
      <c r="B7" s="62"/>
    </row>
    <row r="8" spans="1:11" x14ac:dyDescent="0.25">
      <c r="A8" s="61"/>
      <c r="B8" s="62" t="s">
        <v>124</v>
      </c>
    </row>
    <row r="9" spans="1:11" x14ac:dyDescent="0.25">
      <c r="B9" s="107" t="s">
        <v>125</v>
      </c>
    </row>
    <row r="10" spans="1:11" ht="30" x14ac:dyDescent="0.25">
      <c r="B10" s="132" t="s">
        <v>164</v>
      </c>
      <c r="C10" s="132" t="s">
        <v>126</v>
      </c>
      <c r="D10" s="132" t="s">
        <v>127</v>
      </c>
      <c r="E10" s="132" t="s">
        <v>35</v>
      </c>
      <c r="F10" s="132" t="s">
        <v>128</v>
      </c>
      <c r="G10" s="132" t="s">
        <v>146</v>
      </c>
      <c r="H10" s="132" t="s">
        <v>129</v>
      </c>
      <c r="I10" s="132" t="s">
        <v>130</v>
      </c>
      <c r="J10" s="133" t="s">
        <v>131</v>
      </c>
      <c r="K10" s="133" t="s">
        <v>132</v>
      </c>
    </row>
    <row r="11" spans="1:11" x14ac:dyDescent="0.25">
      <c r="B11" s="63">
        <v>1</v>
      </c>
      <c r="C11" s="63" t="s">
        <v>90</v>
      </c>
      <c r="D11" s="63" t="s">
        <v>107</v>
      </c>
      <c r="E11" s="63">
        <v>10</v>
      </c>
      <c r="F11" s="63">
        <v>1259</v>
      </c>
      <c r="G11" s="63">
        <f>F11*E11</f>
        <v>12590</v>
      </c>
      <c r="H11" s="63">
        <v>944</v>
      </c>
      <c r="I11" s="63">
        <v>819</v>
      </c>
      <c r="J11" s="63">
        <v>48</v>
      </c>
      <c r="K11" s="63">
        <f>SUM(I11:J11)</f>
        <v>867</v>
      </c>
    </row>
    <row r="12" spans="1:11" x14ac:dyDescent="0.25">
      <c r="B12" s="63">
        <v>2</v>
      </c>
      <c r="C12" s="63" t="s">
        <v>91</v>
      </c>
      <c r="D12" s="63" t="s">
        <v>107</v>
      </c>
      <c r="E12" s="63">
        <v>10</v>
      </c>
      <c r="F12" s="63">
        <v>1217</v>
      </c>
      <c r="G12" s="63">
        <f t="shared" ref="G12:G17" si="0">F12*E12</f>
        <v>12170</v>
      </c>
      <c r="H12" s="63">
        <v>913</v>
      </c>
      <c r="I12" s="63">
        <v>786</v>
      </c>
      <c r="J12" s="63">
        <v>52</v>
      </c>
      <c r="K12" s="63">
        <f t="shared" ref="K12:K18" si="1">SUM(I12:J12)</f>
        <v>838</v>
      </c>
    </row>
    <row r="13" spans="1:11" x14ac:dyDescent="0.25">
      <c r="B13" s="63">
        <v>3</v>
      </c>
      <c r="C13" s="63" t="s">
        <v>92</v>
      </c>
      <c r="D13" s="63" t="s">
        <v>108</v>
      </c>
      <c r="E13" s="63">
        <v>10</v>
      </c>
      <c r="F13" s="63">
        <v>1011</v>
      </c>
      <c r="G13" s="63">
        <f t="shared" si="0"/>
        <v>10110</v>
      </c>
      <c r="H13" s="63">
        <v>758</v>
      </c>
      <c r="I13" s="63">
        <v>639</v>
      </c>
      <c r="J13" s="63">
        <v>57</v>
      </c>
      <c r="K13" s="63">
        <f t="shared" si="1"/>
        <v>696</v>
      </c>
    </row>
    <row r="14" spans="1:11" x14ac:dyDescent="0.25">
      <c r="A14" s="61"/>
      <c r="B14" s="63">
        <v>4</v>
      </c>
      <c r="C14" s="63" t="s">
        <v>93</v>
      </c>
      <c r="D14" s="63" t="s">
        <v>108</v>
      </c>
      <c r="E14" s="63">
        <v>10</v>
      </c>
      <c r="F14" s="63">
        <v>968</v>
      </c>
      <c r="G14" s="63">
        <f t="shared" si="0"/>
        <v>9680</v>
      </c>
      <c r="H14" s="63">
        <v>727</v>
      </c>
      <c r="I14" s="63">
        <v>592</v>
      </c>
      <c r="J14" s="63">
        <v>53</v>
      </c>
      <c r="K14" s="63">
        <f t="shared" si="1"/>
        <v>645</v>
      </c>
    </row>
    <row r="15" spans="1:11" x14ac:dyDescent="0.25">
      <c r="A15" s="61"/>
      <c r="B15" s="63">
        <v>5</v>
      </c>
      <c r="C15" s="63" t="s">
        <v>94</v>
      </c>
      <c r="D15" s="63" t="s">
        <v>108</v>
      </c>
      <c r="E15" s="63">
        <v>10</v>
      </c>
      <c r="F15" s="63">
        <v>922</v>
      </c>
      <c r="G15" s="63">
        <f t="shared" si="0"/>
        <v>9220</v>
      </c>
      <c r="H15" s="63">
        <v>692</v>
      </c>
      <c r="I15" s="63">
        <v>595</v>
      </c>
      <c r="J15" s="63">
        <v>37</v>
      </c>
      <c r="K15" s="63">
        <f t="shared" si="1"/>
        <v>632</v>
      </c>
    </row>
    <row r="16" spans="1:11" x14ac:dyDescent="0.25">
      <c r="B16" s="63">
        <v>6</v>
      </c>
      <c r="C16" s="63" t="s">
        <v>95</v>
      </c>
      <c r="D16" s="63" t="s">
        <v>107</v>
      </c>
      <c r="E16" s="63">
        <v>10</v>
      </c>
      <c r="F16" s="63">
        <v>1314</v>
      </c>
      <c r="G16" s="63">
        <f t="shared" si="0"/>
        <v>13140</v>
      </c>
      <c r="H16" s="63">
        <v>986</v>
      </c>
      <c r="I16" s="63">
        <v>859</v>
      </c>
      <c r="J16" s="63">
        <v>54</v>
      </c>
      <c r="K16" s="63">
        <f t="shared" si="1"/>
        <v>913</v>
      </c>
    </row>
    <row r="17" spans="2:11" x14ac:dyDescent="0.25">
      <c r="B17" s="63">
        <v>7</v>
      </c>
      <c r="C17" s="63" t="s">
        <v>96</v>
      </c>
      <c r="D17" s="63" t="s">
        <v>107</v>
      </c>
      <c r="E17" s="63">
        <v>10</v>
      </c>
      <c r="F17" s="63">
        <v>1316</v>
      </c>
      <c r="G17" s="63">
        <f t="shared" si="0"/>
        <v>13160</v>
      </c>
      <c r="H17" s="63">
        <v>987</v>
      </c>
      <c r="I17" s="63">
        <v>859</v>
      </c>
      <c r="J17" s="63">
        <v>54</v>
      </c>
      <c r="K17" s="63">
        <f t="shared" si="1"/>
        <v>913</v>
      </c>
    </row>
    <row r="18" spans="2:11" x14ac:dyDescent="0.25">
      <c r="B18" s="156" t="s">
        <v>37</v>
      </c>
      <c r="C18" s="157"/>
      <c r="D18" s="158"/>
      <c r="E18" s="115">
        <f t="shared" ref="E18:J18" si="2">SUM(E11:E17)</f>
        <v>70</v>
      </c>
      <c r="F18" s="115">
        <f t="shared" si="2"/>
        <v>8007</v>
      </c>
      <c r="G18" s="115">
        <f t="shared" si="2"/>
        <v>80070</v>
      </c>
      <c r="H18" s="115">
        <f t="shared" si="2"/>
        <v>6007</v>
      </c>
      <c r="I18" s="115">
        <f t="shared" si="2"/>
        <v>5149</v>
      </c>
      <c r="J18" s="115">
        <f t="shared" si="2"/>
        <v>355</v>
      </c>
      <c r="K18" s="115">
        <f t="shared" si="1"/>
        <v>5504</v>
      </c>
    </row>
    <row r="20" spans="2:11" ht="25.5" x14ac:dyDescent="0.25">
      <c r="B20" s="134" t="s">
        <v>110</v>
      </c>
      <c r="C20" s="134" t="s">
        <v>111</v>
      </c>
      <c r="D20" s="134" t="s">
        <v>112</v>
      </c>
      <c r="E20" s="110"/>
    </row>
    <row r="21" spans="2:11" x14ac:dyDescent="0.25">
      <c r="B21" s="101" t="s">
        <v>98</v>
      </c>
      <c r="C21" s="103">
        <v>40</v>
      </c>
      <c r="D21" s="101" t="s">
        <v>113</v>
      </c>
      <c r="E21" s="111"/>
    </row>
    <row r="22" spans="2:11" x14ac:dyDescent="0.25">
      <c r="B22" s="101" t="s">
        <v>97</v>
      </c>
      <c r="C22" s="103">
        <v>30</v>
      </c>
      <c r="D22" s="101" t="s">
        <v>114</v>
      </c>
      <c r="E22" s="111"/>
    </row>
    <row r="23" spans="2:11" x14ac:dyDescent="0.25">
      <c r="B23" s="101" t="s">
        <v>14</v>
      </c>
      <c r="C23" s="98">
        <v>70</v>
      </c>
      <c r="D23" s="101" t="s">
        <v>115</v>
      </c>
      <c r="E23" s="111"/>
    </row>
    <row r="24" spans="2:11" x14ac:dyDescent="0.25">
      <c r="B24" s="101" t="s">
        <v>116</v>
      </c>
      <c r="C24" s="101">
        <v>2</v>
      </c>
      <c r="D24" s="101" t="s">
        <v>117</v>
      </c>
      <c r="E24" s="111"/>
    </row>
    <row r="25" spans="2:11" x14ac:dyDescent="0.25">
      <c r="B25" s="101" t="s">
        <v>118</v>
      </c>
      <c r="C25" s="101">
        <f>C23-C24</f>
        <v>68</v>
      </c>
      <c r="D25" s="101" t="s">
        <v>119</v>
      </c>
      <c r="E25" s="111"/>
    </row>
  </sheetData>
  <mergeCells count="4">
    <mergeCell ref="B2:K2"/>
    <mergeCell ref="B4:K4"/>
    <mergeCell ref="B3:K3"/>
    <mergeCell ref="B18:D18"/>
  </mergeCells>
  <pageMargins left="0.7" right="0.7" top="0.75" bottom="0.75" header="0.3" footer="0.3"/>
  <pageSetup paperSize="9" orientation="portrait" r:id="rId1"/>
  <ignoredErrors>
    <ignoredError sqref="K11:K1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election activeCell="D20" sqref="D20"/>
    </sheetView>
  </sheetViews>
  <sheetFormatPr defaultRowHeight="15" x14ac:dyDescent="0.25"/>
  <cols>
    <col min="1" max="1" width="17" customWidth="1"/>
    <col min="2" max="2" width="18.5703125" bestFit="1" customWidth="1"/>
    <col min="3" max="3" width="18.5703125" customWidth="1"/>
    <col min="4" max="4" width="16.42578125" bestFit="1" customWidth="1"/>
    <col min="5" max="5" width="22" bestFit="1" customWidth="1"/>
    <col min="6" max="7" width="16.85546875" bestFit="1" customWidth="1"/>
  </cols>
  <sheetData>
    <row r="2" spans="2:7" ht="30" x14ac:dyDescent="0.25">
      <c r="B2" s="50" t="s">
        <v>38</v>
      </c>
      <c r="C2" s="50" t="s">
        <v>35</v>
      </c>
      <c r="D2" s="51" t="s">
        <v>39</v>
      </c>
      <c r="E2" s="50" t="s">
        <v>40</v>
      </c>
      <c r="F2" s="50" t="s">
        <v>41</v>
      </c>
      <c r="G2" s="50" t="s">
        <v>42</v>
      </c>
    </row>
    <row r="3" spans="2:7" x14ac:dyDescent="0.25">
      <c r="B3" s="43" t="s">
        <v>47</v>
      </c>
      <c r="C3" s="43">
        <f>'Inventory Details'!$D$18</f>
        <v>0</v>
      </c>
      <c r="D3" s="43">
        <v>0</v>
      </c>
      <c r="E3" s="44">
        <v>0</v>
      </c>
      <c r="F3" s="44">
        <v>0</v>
      </c>
      <c r="G3" s="44">
        <v>0</v>
      </c>
    </row>
    <row r="4" spans="2:7" x14ac:dyDescent="0.25">
      <c r="B4" s="43" t="s">
        <v>48</v>
      </c>
      <c r="C4" s="43">
        <f>'Inventory Details'!$C$23</f>
        <v>70</v>
      </c>
      <c r="D4" s="43">
        <f>'Inventory Details'!$G$18</f>
        <v>80070</v>
      </c>
      <c r="E4" s="44">
        <v>0</v>
      </c>
      <c r="F4" s="44">
        <v>0</v>
      </c>
      <c r="G4" s="44">
        <v>0</v>
      </c>
    </row>
    <row r="5" spans="2:7" x14ac:dyDescent="0.25">
      <c r="B5" s="88" t="s">
        <v>153</v>
      </c>
      <c r="C5" s="88">
        <v>2</v>
      </c>
      <c r="D5" s="88">
        <v>4350</v>
      </c>
      <c r="E5" s="74"/>
      <c r="F5" s="74"/>
      <c r="G5" s="74"/>
    </row>
    <row r="6" spans="2:7" x14ac:dyDescent="0.25">
      <c r="B6" s="43" t="s">
        <v>14</v>
      </c>
      <c r="C6" s="43">
        <f>C3+C4-C5</f>
        <v>68</v>
      </c>
      <c r="D6" s="43">
        <f>SUM(D3:D4)-D5</f>
        <v>75720</v>
      </c>
      <c r="E6" s="44"/>
      <c r="F6" s="44"/>
      <c r="G6" s="44"/>
    </row>
    <row r="12" spans="2:7" x14ac:dyDescent="0.25">
      <c r="D12" s="3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2" sqref="B2:H14"/>
    </sheetView>
  </sheetViews>
  <sheetFormatPr defaultRowHeight="15" x14ac:dyDescent="0.25"/>
  <cols>
    <col min="2" max="2" width="13.28515625" customWidth="1"/>
    <col min="3" max="3" width="12.28515625" bestFit="1" customWidth="1"/>
    <col min="4" max="4" width="18.7109375" bestFit="1" customWidth="1"/>
    <col min="5" max="6" width="19.140625" hidden="1" customWidth="1"/>
    <col min="7" max="7" width="16.28515625" bestFit="1" customWidth="1"/>
    <col min="8" max="8" width="20.140625" bestFit="1" customWidth="1"/>
  </cols>
  <sheetData>
    <row r="1" spans="2:8" ht="15.75" thickBot="1" x14ac:dyDescent="0.3"/>
    <row r="2" spans="2:8" ht="29.25" customHeight="1" x14ac:dyDescent="0.25">
      <c r="B2" s="159" t="s">
        <v>133</v>
      </c>
      <c r="C2" s="160"/>
      <c r="D2" s="160"/>
      <c r="E2" s="160"/>
      <c r="F2" s="161"/>
      <c r="G2" s="161"/>
      <c r="H2" s="162"/>
    </row>
    <row r="3" spans="2:8" ht="31.5" customHeight="1" x14ac:dyDescent="0.25">
      <c r="B3" s="9" t="s">
        <v>9</v>
      </c>
      <c r="C3" s="20" t="s">
        <v>10</v>
      </c>
      <c r="D3" s="20" t="s">
        <v>11</v>
      </c>
      <c r="E3" s="10" t="s">
        <v>12</v>
      </c>
      <c r="F3" s="11" t="s">
        <v>50</v>
      </c>
      <c r="G3" s="11" t="s">
        <v>49</v>
      </c>
      <c r="H3" s="12" t="s">
        <v>13</v>
      </c>
    </row>
    <row r="4" spans="2:8" x14ac:dyDescent="0.25">
      <c r="B4" s="13" t="s">
        <v>154</v>
      </c>
      <c r="C4" s="14" t="s">
        <v>99</v>
      </c>
      <c r="D4" s="15" t="s">
        <v>134</v>
      </c>
      <c r="E4" s="14" t="e">
        <f>F4+G4</f>
        <v>#VALUE!</v>
      </c>
      <c r="F4" s="16" t="str">
        <f>'Inventory Details'!D10</f>
        <v xml:space="preserve"> Flat Type</v>
      </c>
      <c r="G4" s="14">
        <v>10</v>
      </c>
      <c r="H4" s="173" t="s">
        <v>161</v>
      </c>
    </row>
    <row r="5" spans="2:8" x14ac:dyDescent="0.25">
      <c r="B5" s="13" t="s">
        <v>155</v>
      </c>
      <c r="C5" s="14" t="s">
        <v>99</v>
      </c>
      <c r="D5" s="15" t="s">
        <v>134</v>
      </c>
      <c r="E5" s="14"/>
      <c r="F5" s="16"/>
      <c r="G5" s="14">
        <v>10</v>
      </c>
      <c r="H5" s="174"/>
    </row>
    <row r="6" spans="2:8" x14ac:dyDescent="0.25">
      <c r="B6" s="13" t="s">
        <v>156</v>
      </c>
      <c r="C6" s="14" t="s">
        <v>99</v>
      </c>
      <c r="D6" s="15" t="s">
        <v>135</v>
      </c>
      <c r="E6" s="14"/>
      <c r="F6" s="16"/>
      <c r="G6" s="108">
        <v>10</v>
      </c>
      <c r="H6" s="174"/>
    </row>
    <row r="7" spans="2:8" x14ac:dyDescent="0.25">
      <c r="B7" s="13" t="s">
        <v>157</v>
      </c>
      <c r="C7" s="14" t="s">
        <v>99</v>
      </c>
      <c r="D7" s="15" t="s">
        <v>135</v>
      </c>
      <c r="E7" s="14"/>
      <c r="F7" s="16"/>
      <c r="G7" s="108">
        <v>10</v>
      </c>
      <c r="H7" s="174"/>
    </row>
    <row r="8" spans="2:8" x14ac:dyDescent="0.25">
      <c r="B8" s="13" t="s">
        <v>158</v>
      </c>
      <c r="C8" s="14" t="s">
        <v>99</v>
      </c>
      <c r="D8" s="15" t="s">
        <v>135</v>
      </c>
      <c r="E8" s="14"/>
      <c r="F8" s="16"/>
      <c r="G8" s="108">
        <v>10</v>
      </c>
      <c r="H8" s="174"/>
    </row>
    <row r="9" spans="2:8" x14ac:dyDescent="0.25">
      <c r="B9" s="13" t="s">
        <v>159</v>
      </c>
      <c r="C9" s="14" t="s">
        <v>99</v>
      </c>
      <c r="D9" s="15" t="s">
        <v>135</v>
      </c>
      <c r="E9" s="14"/>
      <c r="F9" s="16"/>
      <c r="G9" s="108">
        <v>10</v>
      </c>
      <c r="H9" s="174"/>
    </row>
    <row r="10" spans="2:8" x14ac:dyDescent="0.25">
      <c r="B10" s="13" t="s">
        <v>160</v>
      </c>
      <c r="C10" s="14" t="s">
        <v>99</v>
      </c>
      <c r="D10" s="15" t="s">
        <v>134</v>
      </c>
      <c r="E10" s="14" t="e">
        <f>F10+G10</f>
        <v>#VALUE!</v>
      </c>
      <c r="F10" s="16" t="str">
        <f>'Inventory Details'!D17</f>
        <v>3 B.H.K.</v>
      </c>
      <c r="G10" s="108">
        <v>10</v>
      </c>
      <c r="H10" s="175"/>
    </row>
    <row r="11" spans="2:8" x14ac:dyDescent="0.25">
      <c r="B11" s="163" t="s">
        <v>14</v>
      </c>
      <c r="C11" s="164"/>
      <c r="D11" s="164"/>
      <c r="E11" s="86" t="e">
        <f>SUM(E4:E10)</f>
        <v>#VALUE!</v>
      </c>
      <c r="F11" s="89">
        <f>SUM(F4:F10)</f>
        <v>0</v>
      </c>
      <c r="G11" s="89">
        <f>SUM(G4:G10)</f>
        <v>70</v>
      </c>
      <c r="H11" s="17"/>
    </row>
    <row r="12" spans="2:8" x14ac:dyDescent="0.25">
      <c r="B12" s="165" t="s">
        <v>15</v>
      </c>
      <c r="C12" s="166"/>
      <c r="D12" s="166"/>
      <c r="E12" s="166"/>
      <c r="F12" s="167"/>
      <c r="G12" s="167"/>
      <c r="H12" s="168"/>
    </row>
    <row r="13" spans="2:8" ht="30.75" customHeight="1" x14ac:dyDescent="0.25">
      <c r="B13" s="165" t="s">
        <v>43</v>
      </c>
      <c r="C13" s="166"/>
      <c r="D13" s="166"/>
      <c r="E13" s="166"/>
      <c r="F13" s="167"/>
      <c r="G13" s="167"/>
      <c r="H13" s="168"/>
    </row>
    <row r="14" spans="2:8" ht="15.75" thickBot="1" x14ac:dyDescent="0.3">
      <c r="B14" s="169" t="s">
        <v>136</v>
      </c>
      <c r="C14" s="170"/>
      <c r="D14" s="170"/>
      <c r="E14" s="170"/>
      <c r="F14" s="171"/>
      <c r="G14" s="171"/>
      <c r="H14" s="172"/>
    </row>
  </sheetData>
  <mergeCells count="6">
    <mergeCell ref="B2:H2"/>
    <mergeCell ref="B11:D11"/>
    <mergeCell ref="B12:H12"/>
    <mergeCell ref="B13:H13"/>
    <mergeCell ref="B14:H14"/>
    <mergeCell ref="H4:H10"/>
  </mergeCells>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workbookViewId="0">
      <selection activeCell="B2" sqref="B2:G8"/>
    </sheetView>
  </sheetViews>
  <sheetFormatPr defaultRowHeight="15" x14ac:dyDescent="0.25"/>
  <cols>
    <col min="2" max="2" width="28" customWidth="1"/>
    <col min="3" max="3" width="9" customWidth="1"/>
    <col min="4" max="6" width="9.5703125" customWidth="1"/>
    <col min="7" max="7" width="9.7109375" customWidth="1"/>
  </cols>
  <sheetData>
    <row r="2" spans="2:7" ht="30" customHeight="1" x14ac:dyDescent="0.25">
      <c r="B2" s="177" t="s">
        <v>138</v>
      </c>
      <c r="C2" s="177"/>
      <c r="D2" s="177"/>
      <c r="E2" s="177"/>
      <c r="F2" s="177"/>
      <c r="G2" s="177"/>
    </row>
    <row r="3" spans="2:7" x14ac:dyDescent="0.25">
      <c r="B3" s="178" t="s">
        <v>16</v>
      </c>
      <c r="C3" s="176" t="s">
        <v>51</v>
      </c>
      <c r="D3" s="176"/>
      <c r="E3" s="176"/>
      <c r="F3" s="176"/>
      <c r="G3" s="176" t="s">
        <v>14</v>
      </c>
    </row>
    <row r="4" spans="2:7" x14ac:dyDescent="0.25">
      <c r="B4" s="178"/>
      <c r="C4" s="135">
        <v>44097</v>
      </c>
      <c r="D4" s="135">
        <f>EDATE(C4,12)</f>
        <v>44462</v>
      </c>
      <c r="E4" s="135">
        <f t="shared" ref="E4:F4" si="0">EDATE(D4,12)</f>
        <v>44827</v>
      </c>
      <c r="F4" s="135">
        <f t="shared" si="0"/>
        <v>45192</v>
      </c>
      <c r="G4" s="176"/>
    </row>
    <row r="5" spans="2:7" x14ac:dyDescent="0.25">
      <c r="B5" s="178"/>
      <c r="C5" s="135">
        <f>EDATE(C4,12)-1</f>
        <v>44461</v>
      </c>
      <c r="D5" s="135">
        <f>EDATE(D4,12)-1</f>
        <v>44826</v>
      </c>
      <c r="E5" s="135">
        <f t="shared" ref="E5" si="1">EDATE(E4,12)-1</f>
        <v>45191</v>
      </c>
      <c r="F5" s="135">
        <f>EDATE(F4,6)-1</f>
        <v>45373</v>
      </c>
      <c r="G5" s="176"/>
    </row>
    <row r="6" spans="2:7" x14ac:dyDescent="0.25">
      <c r="B6" s="136" t="s">
        <v>137</v>
      </c>
      <c r="C6" s="35">
        <v>13</v>
      </c>
      <c r="D6" s="35">
        <v>18</v>
      </c>
      <c r="E6" s="35">
        <v>20</v>
      </c>
      <c r="F6" s="35">
        <f>G6-SUM(C6:E6)</f>
        <v>17</v>
      </c>
      <c r="G6" s="53">
        <v>68</v>
      </c>
    </row>
    <row r="7" spans="2:7" x14ac:dyDescent="0.25">
      <c r="B7" s="136" t="s">
        <v>185</v>
      </c>
      <c r="C7" s="35">
        <v>5</v>
      </c>
      <c r="D7" s="35">
        <v>6</v>
      </c>
      <c r="E7" s="35">
        <v>6</v>
      </c>
      <c r="F7" s="35">
        <f>G7-SUM(C7:E7)</f>
        <v>7</v>
      </c>
      <c r="G7" s="53">
        <v>24</v>
      </c>
    </row>
    <row r="8" spans="2:7" x14ac:dyDescent="0.25">
      <c r="B8" s="78" t="s">
        <v>189</v>
      </c>
      <c r="C8" s="35">
        <v>6</v>
      </c>
      <c r="D8" s="35">
        <v>7</v>
      </c>
      <c r="E8" s="35">
        <v>7</v>
      </c>
      <c r="F8" s="35">
        <f>G8-SUM(C8:E8)</f>
        <v>7</v>
      </c>
      <c r="G8" s="43">
        <v>27</v>
      </c>
    </row>
    <row r="9" spans="2:7" x14ac:dyDescent="0.25">
      <c r="C9" s="137"/>
      <c r="D9" s="137"/>
      <c r="E9" s="137"/>
      <c r="F9" s="137"/>
      <c r="G9" s="137"/>
    </row>
    <row r="10" spans="2:7" x14ac:dyDescent="0.25">
      <c r="C10" s="137"/>
      <c r="D10" s="137"/>
      <c r="E10" s="137"/>
      <c r="F10" s="137"/>
      <c r="G10" s="137"/>
    </row>
    <row r="15" spans="2:7" x14ac:dyDescent="0.25">
      <c r="D15" s="38"/>
      <c r="E15" s="38"/>
      <c r="F15" s="38"/>
    </row>
  </sheetData>
  <mergeCells count="4">
    <mergeCell ref="G3:G5"/>
    <mergeCell ref="B2:G2"/>
    <mergeCell ref="B3:B5"/>
    <mergeCell ref="C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51"/>
  <sheetViews>
    <sheetView tabSelected="1" topLeftCell="F33" zoomScale="85" zoomScaleNormal="85" workbookViewId="0">
      <selection activeCell="M51" sqref="M51"/>
    </sheetView>
  </sheetViews>
  <sheetFormatPr defaultRowHeight="15" x14ac:dyDescent="0.25"/>
  <cols>
    <col min="2" max="2" width="5.7109375" bestFit="1" customWidth="1"/>
    <col min="3" max="3" width="27.42578125" bestFit="1" customWidth="1"/>
    <col min="4" max="4" width="13.5703125" customWidth="1"/>
    <col min="5" max="5" width="20" bestFit="1" customWidth="1"/>
    <col min="6" max="6" width="13.7109375" customWidth="1"/>
    <col min="7" max="7" width="15.7109375" customWidth="1"/>
    <col min="8" max="8" width="21.140625" bestFit="1" customWidth="1"/>
    <col min="9" max="9" width="21.28515625" customWidth="1"/>
    <col min="11" max="11" width="17.85546875" customWidth="1"/>
    <col min="12" max="13" width="18.28515625" customWidth="1"/>
    <col min="14" max="14" width="26.5703125" customWidth="1"/>
  </cols>
  <sheetData>
    <row r="2" spans="2:12" ht="30" customHeight="1" x14ac:dyDescent="0.25">
      <c r="B2" s="177" t="s">
        <v>203</v>
      </c>
      <c r="C2" s="177"/>
      <c r="D2" s="177"/>
      <c r="E2" s="177"/>
      <c r="F2" s="177"/>
      <c r="G2" s="177"/>
      <c r="H2" s="177"/>
      <c r="I2" s="177"/>
    </row>
    <row r="3" spans="2:12" ht="45" x14ac:dyDescent="0.25">
      <c r="B3" s="133" t="s">
        <v>1</v>
      </c>
      <c r="C3" s="133" t="s">
        <v>44</v>
      </c>
      <c r="D3" s="133" t="s">
        <v>2</v>
      </c>
      <c r="E3" s="133" t="s">
        <v>54</v>
      </c>
      <c r="F3" s="133" t="s">
        <v>22</v>
      </c>
      <c r="G3" s="133" t="s">
        <v>45</v>
      </c>
      <c r="H3" s="133" t="s">
        <v>23</v>
      </c>
      <c r="I3" s="133" t="s">
        <v>21</v>
      </c>
    </row>
    <row r="4" spans="2:12" x14ac:dyDescent="0.25">
      <c r="B4" s="43">
        <v>1</v>
      </c>
      <c r="C4" s="13" t="s">
        <v>90</v>
      </c>
      <c r="D4" s="63" t="s">
        <v>107</v>
      </c>
      <c r="E4" s="41">
        <v>10</v>
      </c>
      <c r="F4" s="63">
        <v>1259</v>
      </c>
      <c r="G4" s="3">
        <f>F4*E4</f>
        <v>12590</v>
      </c>
      <c r="H4" s="144">
        <v>5200</v>
      </c>
      <c r="I4" s="4">
        <f>H4*G4</f>
        <v>65468000</v>
      </c>
      <c r="K4" s="34"/>
    </row>
    <row r="5" spans="2:12" x14ac:dyDescent="0.25">
      <c r="B5" s="71">
        <v>2</v>
      </c>
      <c r="C5" s="13" t="s">
        <v>91</v>
      </c>
      <c r="D5" s="63" t="s">
        <v>107</v>
      </c>
      <c r="E5" s="87">
        <v>10</v>
      </c>
      <c r="F5" s="63">
        <v>1217</v>
      </c>
      <c r="G5" s="3">
        <f t="shared" ref="G5:G9" si="0">F5*E5</f>
        <v>12170</v>
      </c>
      <c r="H5" s="144">
        <v>5200</v>
      </c>
      <c r="I5" s="4">
        <f t="shared" ref="I5:I9" si="1">H5*G5</f>
        <v>63284000</v>
      </c>
      <c r="K5" s="34"/>
    </row>
    <row r="6" spans="2:12" x14ac:dyDescent="0.25">
      <c r="B6" s="71">
        <v>3</v>
      </c>
      <c r="C6" s="13" t="s">
        <v>92</v>
      </c>
      <c r="D6" s="63" t="s">
        <v>108</v>
      </c>
      <c r="E6" s="87">
        <v>10</v>
      </c>
      <c r="F6" s="63">
        <v>1011</v>
      </c>
      <c r="G6" s="3">
        <f t="shared" si="0"/>
        <v>10110</v>
      </c>
      <c r="H6" s="144">
        <v>5200</v>
      </c>
      <c r="I6" s="4">
        <f t="shared" si="1"/>
        <v>52572000</v>
      </c>
      <c r="K6" s="34"/>
    </row>
    <row r="7" spans="2:12" x14ac:dyDescent="0.25">
      <c r="B7" s="71">
        <v>4</v>
      </c>
      <c r="C7" s="13" t="s">
        <v>93</v>
      </c>
      <c r="D7" s="63" t="s">
        <v>108</v>
      </c>
      <c r="E7" s="87">
        <v>10</v>
      </c>
      <c r="F7" s="63">
        <v>968</v>
      </c>
      <c r="G7" s="3">
        <f t="shared" si="0"/>
        <v>9680</v>
      </c>
      <c r="H7" s="144">
        <v>5200</v>
      </c>
      <c r="I7" s="4">
        <f t="shared" si="1"/>
        <v>50336000</v>
      </c>
      <c r="K7" s="34"/>
    </row>
    <row r="8" spans="2:12" x14ac:dyDescent="0.25">
      <c r="B8" s="71">
        <v>5</v>
      </c>
      <c r="C8" s="13" t="s">
        <v>94</v>
      </c>
      <c r="D8" s="63" t="s">
        <v>108</v>
      </c>
      <c r="E8" s="87">
        <v>10</v>
      </c>
      <c r="F8" s="63">
        <v>922</v>
      </c>
      <c r="G8" s="3">
        <f t="shared" si="0"/>
        <v>9220</v>
      </c>
      <c r="H8" s="144">
        <v>5200</v>
      </c>
      <c r="I8" s="4">
        <f t="shared" si="1"/>
        <v>47944000</v>
      </c>
      <c r="K8" s="34"/>
    </row>
    <row r="9" spans="2:12" x14ac:dyDescent="0.25">
      <c r="B9" s="71">
        <v>6</v>
      </c>
      <c r="C9" s="13" t="s">
        <v>95</v>
      </c>
      <c r="D9" s="63" t="s">
        <v>107</v>
      </c>
      <c r="E9" s="87">
        <v>10</v>
      </c>
      <c r="F9" s="63">
        <v>1314</v>
      </c>
      <c r="G9" s="3">
        <f t="shared" si="0"/>
        <v>13140</v>
      </c>
      <c r="H9" s="144">
        <v>5200</v>
      </c>
      <c r="I9" s="4">
        <f t="shared" si="1"/>
        <v>68328000</v>
      </c>
      <c r="K9" s="34"/>
    </row>
    <row r="10" spans="2:12" x14ac:dyDescent="0.25">
      <c r="B10" s="71">
        <v>7</v>
      </c>
      <c r="C10" s="13" t="s">
        <v>96</v>
      </c>
      <c r="D10" s="63" t="s">
        <v>107</v>
      </c>
      <c r="E10" s="87">
        <v>10</v>
      </c>
      <c r="F10" s="63">
        <v>1316</v>
      </c>
      <c r="G10" s="3">
        <f t="shared" ref="G10" si="2">F10*E10</f>
        <v>13160</v>
      </c>
      <c r="H10" s="144">
        <v>5200</v>
      </c>
      <c r="I10" s="4">
        <f t="shared" ref="I10" si="3">H10*G10</f>
        <v>68432000</v>
      </c>
      <c r="K10" s="34"/>
    </row>
    <row r="11" spans="2:12" x14ac:dyDescent="0.25">
      <c r="B11" s="164" t="s">
        <v>14</v>
      </c>
      <c r="C11" s="164"/>
      <c r="D11" s="164"/>
      <c r="E11" s="42">
        <f>SUM(E4:E10)</f>
        <v>70</v>
      </c>
      <c r="F11" s="42"/>
      <c r="G11" s="99">
        <v>75720</v>
      </c>
      <c r="H11" s="42"/>
      <c r="I11" s="18">
        <f>SUM(I4:I10)</f>
        <v>416364000</v>
      </c>
    </row>
    <row r="12" spans="2:12" x14ac:dyDescent="0.25">
      <c r="B12" s="179"/>
      <c r="C12" s="180"/>
      <c r="D12" s="180"/>
      <c r="E12" s="180"/>
      <c r="F12" s="180"/>
      <c r="G12" s="180"/>
      <c r="H12" s="180"/>
      <c r="I12" s="181"/>
    </row>
    <row r="13" spans="2:12" ht="30.75" customHeight="1" x14ac:dyDescent="0.25">
      <c r="B13" s="177" t="s">
        <v>162</v>
      </c>
      <c r="C13" s="177"/>
      <c r="D13" s="177"/>
      <c r="E13" s="177"/>
      <c r="F13" s="177"/>
      <c r="G13" s="177"/>
      <c r="H13" s="177"/>
      <c r="I13" s="177"/>
    </row>
    <row r="14" spans="2:12" ht="15" customHeight="1" x14ac:dyDescent="0.25">
      <c r="B14" s="133" t="s">
        <v>1</v>
      </c>
      <c r="C14" s="133" t="s">
        <v>69</v>
      </c>
      <c r="D14" s="185" t="s">
        <v>70</v>
      </c>
      <c r="E14" s="186"/>
      <c r="F14" s="185" t="s">
        <v>71</v>
      </c>
      <c r="G14" s="187"/>
      <c r="H14" s="186"/>
      <c r="I14" s="133" t="s">
        <v>36</v>
      </c>
    </row>
    <row r="15" spans="2:12" x14ac:dyDescent="0.25">
      <c r="B15" s="73">
        <v>4</v>
      </c>
      <c r="C15" s="78" t="s">
        <v>139</v>
      </c>
      <c r="D15" s="188">
        <f>'Absorption Rate'!G7</f>
        <v>24</v>
      </c>
      <c r="E15" s="181"/>
      <c r="F15" s="189">
        <v>650000</v>
      </c>
      <c r="G15" s="190"/>
      <c r="H15" s="191"/>
      <c r="I15" s="74">
        <f t="shared" ref="I15:I16" si="4">D15*F15</f>
        <v>15600000</v>
      </c>
      <c r="L15">
        <f>I11*0.35*(1+0.05)</f>
        <v>153013770</v>
      </c>
    </row>
    <row r="16" spans="2:12" x14ac:dyDescent="0.25">
      <c r="B16" s="73">
        <v>5</v>
      </c>
      <c r="C16" s="78" t="s">
        <v>72</v>
      </c>
      <c r="D16" s="188">
        <f>'Absorption Rate'!G8</f>
        <v>27</v>
      </c>
      <c r="E16" s="181"/>
      <c r="F16" s="189">
        <v>450000</v>
      </c>
      <c r="G16" s="190"/>
      <c r="H16" s="191"/>
      <c r="I16" s="74">
        <f t="shared" si="4"/>
        <v>12150000</v>
      </c>
    </row>
    <row r="17" spans="2:19" x14ac:dyDescent="0.25">
      <c r="B17" s="73"/>
      <c r="C17" s="73" t="s">
        <v>14</v>
      </c>
      <c r="D17" s="188">
        <f>SUM(D15:E16)</f>
        <v>51</v>
      </c>
      <c r="E17" s="181"/>
      <c r="F17" s="189"/>
      <c r="G17" s="190"/>
      <c r="H17" s="191"/>
      <c r="I17" s="74">
        <f>SUM(I15:I16)</f>
        <v>27750000</v>
      </c>
    </row>
    <row r="18" spans="2:19" x14ac:dyDescent="0.25">
      <c r="B18" s="182" t="s">
        <v>0</v>
      </c>
      <c r="C18" s="183"/>
      <c r="D18" s="183"/>
      <c r="E18" s="183"/>
      <c r="F18" s="183"/>
      <c r="G18" s="183"/>
      <c r="H18" s="184"/>
      <c r="I18" s="33">
        <f>SUM(I17)+I11</f>
        <v>444114000</v>
      </c>
    </row>
    <row r="23" spans="2:19" x14ac:dyDescent="0.25">
      <c r="L23" t="s">
        <v>204</v>
      </c>
    </row>
    <row r="24" spans="2:19" x14ac:dyDescent="0.25">
      <c r="L24" t="s">
        <v>205</v>
      </c>
      <c r="N24" t="s">
        <v>208</v>
      </c>
      <c r="O24" t="s">
        <v>208</v>
      </c>
      <c r="P24" t="s">
        <v>208</v>
      </c>
      <c r="Q24" t="s">
        <v>208</v>
      </c>
      <c r="R24" t="s">
        <v>208</v>
      </c>
      <c r="S24" t="s">
        <v>208</v>
      </c>
    </row>
    <row r="25" spans="2:19" x14ac:dyDescent="0.25">
      <c r="L25" t="s">
        <v>206</v>
      </c>
    </row>
    <row r="26" spans="2:19" x14ac:dyDescent="0.25">
      <c r="L26" t="s">
        <v>207</v>
      </c>
    </row>
    <row r="27" spans="2:19" x14ac:dyDescent="0.25">
      <c r="L27" t="s">
        <v>209</v>
      </c>
    </row>
    <row r="28" spans="2:19" x14ac:dyDescent="0.25">
      <c r="L28" t="s">
        <v>210</v>
      </c>
    </row>
    <row r="29" spans="2:19" x14ac:dyDescent="0.25">
      <c r="L29" t="s">
        <v>211</v>
      </c>
    </row>
    <row r="30" spans="2:19" x14ac:dyDescent="0.25">
      <c r="L30" t="s">
        <v>212</v>
      </c>
    </row>
    <row r="31" spans="2:19" x14ac:dyDescent="0.25">
      <c r="L31" t="s">
        <v>213</v>
      </c>
    </row>
    <row r="32" spans="2:19" x14ac:dyDescent="0.25">
      <c r="L32" t="s">
        <v>214</v>
      </c>
    </row>
    <row r="33" spans="12:13" x14ac:dyDescent="0.25">
      <c r="L33" t="s">
        <v>215</v>
      </c>
    </row>
    <row r="34" spans="12:13" x14ac:dyDescent="0.25">
      <c r="L34" t="s">
        <v>216</v>
      </c>
    </row>
    <row r="36" spans="12:13" x14ac:dyDescent="0.25">
      <c r="L36" s="236" t="s">
        <v>217</v>
      </c>
    </row>
    <row r="38" spans="12:13" x14ac:dyDescent="0.25">
      <c r="L38" t="s">
        <v>218</v>
      </c>
    </row>
    <row r="39" spans="12:13" x14ac:dyDescent="0.25">
      <c r="L39" t="s">
        <v>219</v>
      </c>
      <c r="M39" s="238">
        <v>5800</v>
      </c>
    </row>
    <row r="40" spans="12:13" x14ac:dyDescent="0.25">
      <c r="L40" s="237">
        <v>1</v>
      </c>
      <c r="M40" s="238">
        <f>M39</f>
        <v>5800</v>
      </c>
    </row>
    <row r="41" spans="12:13" x14ac:dyDescent="0.25">
      <c r="L41" s="237">
        <v>2</v>
      </c>
      <c r="M41" s="238">
        <f>M40</f>
        <v>5800</v>
      </c>
    </row>
    <row r="42" spans="12:13" x14ac:dyDescent="0.25">
      <c r="L42" s="237">
        <v>3</v>
      </c>
      <c r="M42" s="238">
        <f>M41*(1-3%)</f>
        <v>5626</v>
      </c>
    </row>
    <row r="43" spans="12:13" x14ac:dyDescent="0.25">
      <c r="L43" s="237">
        <v>4</v>
      </c>
      <c r="M43" s="238">
        <f t="shared" ref="M43:M49" si="5">M42*(1-3%)</f>
        <v>5457.22</v>
      </c>
    </row>
    <row r="44" spans="12:13" x14ac:dyDescent="0.25">
      <c r="L44" s="237">
        <v>5</v>
      </c>
      <c r="M44" s="238">
        <f t="shared" si="5"/>
        <v>5293.5034000000005</v>
      </c>
    </row>
    <row r="45" spans="12:13" x14ac:dyDescent="0.25">
      <c r="L45" s="237">
        <v>6</v>
      </c>
      <c r="M45" s="238">
        <f t="shared" si="5"/>
        <v>5134.6982980000002</v>
      </c>
    </row>
    <row r="46" spans="12:13" x14ac:dyDescent="0.25">
      <c r="L46" s="237">
        <v>7</v>
      </c>
      <c r="M46" s="238">
        <f t="shared" si="5"/>
        <v>4980.6573490600003</v>
      </c>
    </row>
    <row r="47" spans="12:13" x14ac:dyDescent="0.25">
      <c r="L47" s="237">
        <v>8</v>
      </c>
      <c r="M47" s="238">
        <f t="shared" si="5"/>
        <v>4831.2376285882001</v>
      </c>
    </row>
    <row r="48" spans="12:13" x14ac:dyDescent="0.25">
      <c r="L48" s="237">
        <v>9</v>
      </c>
      <c r="M48" s="238">
        <f t="shared" si="5"/>
        <v>4686.3004997305543</v>
      </c>
    </row>
    <row r="49" spans="12:13" x14ac:dyDescent="0.25">
      <c r="L49" s="237">
        <v>10</v>
      </c>
      <c r="M49" s="238">
        <f t="shared" si="5"/>
        <v>4545.7114847386374</v>
      </c>
    </row>
    <row r="51" spans="12:13" x14ac:dyDescent="0.25">
      <c r="M51" s="238">
        <f>AVERAGE(M39:M49)</f>
        <v>5268.6662418288543</v>
      </c>
    </row>
  </sheetData>
  <mergeCells count="13">
    <mergeCell ref="B11:D11"/>
    <mergeCell ref="B13:I13"/>
    <mergeCell ref="B2:I2"/>
    <mergeCell ref="B12:I12"/>
    <mergeCell ref="B18:H18"/>
    <mergeCell ref="D14:E14"/>
    <mergeCell ref="F14:H14"/>
    <mergeCell ref="D15:E15"/>
    <mergeCell ref="D16:E16"/>
    <mergeCell ref="F16:H16"/>
    <mergeCell ref="F15:H15"/>
    <mergeCell ref="D17:E17"/>
    <mergeCell ref="F17:H17"/>
  </mergeCells>
  <phoneticPr fontId="14"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J32"/>
  <sheetViews>
    <sheetView topLeftCell="D1" zoomScale="120" zoomScaleNormal="120" workbookViewId="0">
      <selection activeCell="D6" sqref="D6:H25"/>
    </sheetView>
  </sheetViews>
  <sheetFormatPr defaultRowHeight="15" x14ac:dyDescent="0.25"/>
  <cols>
    <col min="1" max="3" width="9.140625" style="19"/>
    <col min="4" max="4" width="29.7109375" style="19" customWidth="1"/>
    <col min="5" max="5" width="18.5703125" style="19" customWidth="1"/>
    <col min="6" max="8" width="17.28515625" style="19" customWidth="1"/>
    <col min="9" max="16384" width="9.140625" style="19"/>
  </cols>
  <sheetData>
    <row r="6" spans="4:10" x14ac:dyDescent="0.25">
      <c r="D6" s="193" t="s">
        <v>19</v>
      </c>
      <c r="E6" s="193"/>
      <c r="F6" s="193"/>
      <c r="G6" s="193"/>
      <c r="H6" s="193"/>
    </row>
    <row r="7" spans="4:10" x14ac:dyDescent="0.25">
      <c r="D7" s="196" t="s">
        <v>16</v>
      </c>
      <c r="E7" s="192" t="s">
        <v>51</v>
      </c>
      <c r="F7" s="192"/>
      <c r="G7" s="192"/>
      <c r="H7" s="192"/>
    </row>
    <row r="8" spans="4:10" x14ac:dyDescent="0.25">
      <c r="D8" s="196"/>
      <c r="E8" s="40">
        <v>44454</v>
      </c>
      <c r="F8" s="40">
        <f>EDATE(E8,12)</f>
        <v>44819</v>
      </c>
      <c r="G8" s="125">
        <f t="shared" ref="G8:H8" si="0">EDATE(F8,12)</f>
        <v>45184</v>
      </c>
      <c r="H8" s="125">
        <f t="shared" si="0"/>
        <v>45550</v>
      </c>
    </row>
    <row r="9" spans="4:10" x14ac:dyDescent="0.25">
      <c r="D9" s="196"/>
      <c r="E9" s="40">
        <f>EDATE(E8,12)-1</f>
        <v>44818</v>
      </c>
      <c r="F9" s="40">
        <f>EDATE(F8,12)-1</f>
        <v>45183</v>
      </c>
      <c r="G9" s="125">
        <f t="shared" ref="G9" si="1">EDATE(G8,12)-1</f>
        <v>45549</v>
      </c>
      <c r="H9" s="125">
        <f>EDATE(H8,6)-1</f>
        <v>45730</v>
      </c>
    </row>
    <row r="10" spans="4:10" ht="30" x14ac:dyDescent="0.25">
      <c r="D10" s="36" t="s">
        <v>140</v>
      </c>
      <c r="E10" s="54">
        <f>'Absorption Rate'!C6</f>
        <v>13</v>
      </c>
      <c r="F10" s="54">
        <f>'Absorption Rate'!D6</f>
        <v>18</v>
      </c>
      <c r="G10" s="54">
        <f>'Absorption Rate'!E6</f>
        <v>20</v>
      </c>
      <c r="H10" s="54">
        <f>'Absorption Rate'!F6</f>
        <v>17</v>
      </c>
    </row>
    <row r="11" spans="4:10" ht="30" x14ac:dyDescent="0.25">
      <c r="D11" s="36" t="s">
        <v>141</v>
      </c>
      <c r="E11" s="37">
        <f>E10/'Absorption Rate'!$G6</f>
        <v>0.19117647058823528</v>
      </c>
      <c r="F11" s="37">
        <f>F10/'Absorption Rate'!$G6</f>
        <v>0.26470588235294118</v>
      </c>
      <c r="G11" s="37">
        <f>G10/'Absorption Rate'!$G6</f>
        <v>0.29411764705882354</v>
      </c>
      <c r="H11" s="37">
        <f>H10/'Absorption Rate'!$G6</f>
        <v>0.25</v>
      </c>
      <c r="I11" s="109"/>
    </row>
    <row r="12" spans="4:10" x14ac:dyDescent="0.25">
      <c r="D12" s="36" t="s">
        <v>17</v>
      </c>
      <c r="E12" s="37">
        <v>0</v>
      </c>
      <c r="F12" s="37">
        <v>0.05</v>
      </c>
      <c r="G12" s="37">
        <v>0.05</v>
      </c>
      <c r="H12" s="37">
        <v>0.1</v>
      </c>
    </row>
    <row r="13" spans="4:10" ht="30" x14ac:dyDescent="0.25">
      <c r="D13" s="36" t="s">
        <v>142</v>
      </c>
      <c r="E13" s="52">
        <f>'Residential Inflow'!$I$11*E11*(1+E12)/10^6</f>
        <v>79.599000000000004</v>
      </c>
      <c r="F13" s="52">
        <f>'Residential Inflow'!$I$11*F11*(1+F12)/10^6</f>
        <v>115.7247</v>
      </c>
      <c r="G13" s="52">
        <f>'Residential Inflow'!$I$11*G11*(1+G12)/10^6</f>
        <v>128.583</v>
      </c>
      <c r="H13" s="52">
        <f>'Residential Inflow'!$I$11*H11*(1+H12)/10^6</f>
        <v>114.50010000000002</v>
      </c>
      <c r="J13" s="21"/>
    </row>
    <row r="14" spans="4:10" ht="30" x14ac:dyDescent="0.25">
      <c r="D14" s="36" t="s">
        <v>187</v>
      </c>
      <c r="E14" s="54">
        <f>'Absorption Rate'!C8</f>
        <v>6</v>
      </c>
      <c r="F14" s="54">
        <f>'Absorption Rate'!D8</f>
        <v>7</v>
      </c>
      <c r="G14" s="54">
        <f>'Absorption Rate'!E8</f>
        <v>7</v>
      </c>
      <c r="H14" s="54">
        <f>'Absorption Rate'!F8</f>
        <v>7</v>
      </c>
      <c r="J14" s="21"/>
    </row>
    <row r="15" spans="4:10" ht="32.25" customHeight="1" x14ac:dyDescent="0.25">
      <c r="D15" s="36" t="s">
        <v>186</v>
      </c>
      <c r="E15" s="54">
        <f>'Absorption Rate'!C7</f>
        <v>5</v>
      </c>
      <c r="F15" s="54">
        <f>'Absorption Rate'!D7</f>
        <v>6</v>
      </c>
      <c r="G15" s="54">
        <f>'Absorption Rate'!E7</f>
        <v>6</v>
      </c>
      <c r="H15" s="54">
        <f>'Absorption Rate'!F7</f>
        <v>7</v>
      </c>
      <c r="J15" s="21"/>
    </row>
    <row r="16" spans="4:10" ht="30" x14ac:dyDescent="0.25">
      <c r="D16" s="36" t="s">
        <v>188</v>
      </c>
      <c r="E16" s="138">
        <f>SUM(E14:E15)/SUM('Absorption Rate'!$G$7:$G$8)</f>
        <v>0.21568627450980393</v>
      </c>
      <c r="F16" s="138">
        <f>SUM(F14:F15)/SUM('Absorption Rate'!$G$7:$G$8)</f>
        <v>0.25490196078431371</v>
      </c>
      <c r="G16" s="138">
        <f>SUM(G14:G15)/SUM('Absorption Rate'!$G$7:$G$8)</f>
        <v>0.25490196078431371</v>
      </c>
      <c r="H16" s="138">
        <f>SUM(H14:H15)/SUM('Absorption Rate'!$G$7:$G$8)</f>
        <v>0.27450980392156865</v>
      </c>
      <c r="J16" s="21"/>
    </row>
    <row r="17" spans="4:10" x14ac:dyDescent="0.25">
      <c r="D17" s="36" t="s">
        <v>17</v>
      </c>
      <c r="E17" s="37">
        <v>0</v>
      </c>
      <c r="F17" s="37">
        <v>0.05</v>
      </c>
      <c r="G17" s="37">
        <v>0.05</v>
      </c>
      <c r="H17" s="37">
        <v>0.05</v>
      </c>
      <c r="J17" s="21"/>
    </row>
    <row r="18" spans="4:10" ht="30" x14ac:dyDescent="0.25">
      <c r="D18" s="36" t="s">
        <v>143</v>
      </c>
      <c r="E18" s="139">
        <f>'Residential Inflow'!$I$17*E16*(1+E17)/10^6</f>
        <v>5.9852941176470589</v>
      </c>
      <c r="F18" s="139">
        <f>'Residential Inflow'!$I$17*F16*(1+F17)/10^6</f>
        <v>7.4272058823529408</v>
      </c>
      <c r="G18" s="139">
        <f>'Residential Inflow'!$I$17*G16*(1+G17)/10^6</f>
        <v>7.4272058823529408</v>
      </c>
      <c r="H18" s="139">
        <f>'Residential Inflow'!$I$17*H16*(1+H17)/10^6</f>
        <v>7.9985294117647063</v>
      </c>
      <c r="J18" s="21"/>
    </row>
    <row r="19" spans="4:10" ht="30" x14ac:dyDescent="0.25">
      <c r="D19" s="55" t="s">
        <v>144</v>
      </c>
      <c r="E19" s="140">
        <f>E13+E18</f>
        <v>85.584294117647062</v>
      </c>
      <c r="F19" s="140">
        <f t="shared" ref="F19:H19" si="2">F13+F18</f>
        <v>123.15190588235293</v>
      </c>
      <c r="G19" s="140">
        <f t="shared" si="2"/>
        <v>136.01020588235295</v>
      </c>
      <c r="H19" s="140">
        <f t="shared" si="2"/>
        <v>122.49862941176472</v>
      </c>
      <c r="J19" s="21"/>
    </row>
    <row r="20" spans="4:10" x14ac:dyDescent="0.25">
      <c r="D20" s="194"/>
      <c r="E20" s="194"/>
      <c r="F20" s="194"/>
      <c r="G20" s="194"/>
      <c r="H20" s="194"/>
    </row>
    <row r="21" spans="4:10" x14ac:dyDescent="0.25">
      <c r="D21" s="195" t="s">
        <v>15</v>
      </c>
      <c r="E21" s="195"/>
      <c r="F21" s="195"/>
      <c r="G21" s="195"/>
      <c r="H21" s="195"/>
    </row>
    <row r="22" spans="4:10" ht="46.5" customHeight="1" x14ac:dyDescent="0.25">
      <c r="D22" s="234" t="s">
        <v>200</v>
      </c>
      <c r="E22" s="234"/>
      <c r="F22" s="234"/>
      <c r="G22" s="234"/>
      <c r="H22" s="234"/>
    </row>
    <row r="23" spans="4:10" ht="61.5" customHeight="1" x14ac:dyDescent="0.25">
      <c r="D23" s="234" t="s">
        <v>201</v>
      </c>
      <c r="E23" s="234"/>
      <c r="F23" s="234"/>
      <c r="G23" s="234"/>
      <c r="H23" s="234"/>
    </row>
    <row r="24" spans="4:10" ht="58.5" customHeight="1" x14ac:dyDescent="0.25">
      <c r="D24" s="234" t="s">
        <v>202</v>
      </c>
      <c r="E24" s="234"/>
      <c r="F24" s="234"/>
      <c r="G24" s="234"/>
      <c r="H24" s="234"/>
    </row>
    <row r="25" spans="4:10" ht="16.5" customHeight="1" x14ac:dyDescent="0.25">
      <c r="D25" s="234" t="s">
        <v>18</v>
      </c>
      <c r="E25" s="234"/>
      <c r="F25" s="234"/>
      <c r="G25" s="234"/>
      <c r="H25" s="234"/>
    </row>
    <row r="32" spans="4:10" x14ac:dyDescent="0.25">
      <c r="F32" s="22"/>
      <c r="G32" s="22"/>
      <c r="H32" s="22"/>
    </row>
  </sheetData>
  <mergeCells count="9">
    <mergeCell ref="D23:H23"/>
    <mergeCell ref="D24:H24"/>
    <mergeCell ref="D25:H25"/>
    <mergeCell ref="E7:H7"/>
    <mergeCell ref="D6:H6"/>
    <mergeCell ref="D20:H20"/>
    <mergeCell ref="D21:H21"/>
    <mergeCell ref="D7:D9"/>
    <mergeCell ref="D22:H2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M22"/>
  <sheetViews>
    <sheetView topLeftCell="B1" workbookViewId="0">
      <selection activeCell="E10" sqref="E10"/>
    </sheetView>
  </sheetViews>
  <sheetFormatPr defaultRowHeight="15" x14ac:dyDescent="0.25"/>
  <cols>
    <col min="4" max="4" width="19" bestFit="1" customWidth="1"/>
    <col min="5" max="5" width="23.140625" bestFit="1" customWidth="1"/>
    <col min="6" max="6" width="21.28515625" customWidth="1"/>
    <col min="7" max="7" width="18.5703125" bestFit="1" customWidth="1"/>
    <col min="12" max="12" width="29.5703125" customWidth="1"/>
    <col min="13" max="13" width="24.140625" customWidth="1"/>
  </cols>
  <sheetData>
    <row r="6" spans="4:13" ht="50.25" customHeight="1" x14ac:dyDescent="0.25">
      <c r="L6" s="5" t="s">
        <v>145</v>
      </c>
      <c r="M6" s="5" t="s">
        <v>190</v>
      </c>
    </row>
    <row r="7" spans="4:13" ht="55.5" x14ac:dyDescent="0.25">
      <c r="D7" s="10" t="s">
        <v>80</v>
      </c>
      <c r="E7" s="10" t="s">
        <v>79</v>
      </c>
      <c r="F7" s="10" t="s">
        <v>81</v>
      </c>
      <c r="G7" s="10" t="s">
        <v>82</v>
      </c>
      <c r="I7" s="141" t="s">
        <v>128</v>
      </c>
      <c r="J7" s="141" t="s">
        <v>129</v>
      </c>
      <c r="L7" s="58">
        <f>M7/10.7639</f>
        <v>7438.7536116091751</v>
      </c>
      <c r="M7" s="56">
        <v>80070</v>
      </c>
    </row>
    <row r="8" spans="4:13" hidden="1" x14ac:dyDescent="0.25">
      <c r="D8" s="56"/>
      <c r="E8" s="56"/>
      <c r="F8" s="56"/>
      <c r="G8" s="56"/>
    </row>
    <row r="9" spans="4:13" x14ac:dyDescent="0.25">
      <c r="D9" s="81" t="s">
        <v>46</v>
      </c>
      <c r="E9" s="142">
        <f>1913*10^5</f>
        <v>191300000</v>
      </c>
      <c r="F9" s="197">
        <v>59571000</v>
      </c>
      <c r="G9" s="74">
        <f>E9-F9</f>
        <v>131729000</v>
      </c>
      <c r="I9" s="95">
        <v>1259</v>
      </c>
      <c r="J9" s="96">
        <v>944</v>
      </c>
    </row>
    <row r="10" spans="4:13" ht="30" x14ac:dyDescent="0.25">
      <c r="D10" s="81" t="s">
        <v>191</v>
      </c>
      <c r="E10" s="142">
        <f>395*10^5</f>
        <v>39500000</v>
      </c>
      <c r="F10" s="197"/>
      <c r="G10" s="74">
        <f>E10-F10</f>
        <v>39500000</v>
      </c>
      <c r="I10" s="95">
        <v>1217</v>
      </c>
      <c r="J10" s="96">
        <v>913</v>
      </c>
    </row>
    <row r="11" spans="4:13" ht="30" x14ac:dyDescent="0.25">
      <c r="D11" s="81" t="s">
        <v>192</v>
      </c>
      <c r="E11" s="142">
        <f>133.602739726027*10^5</f>
        <v>13360273.972602701</v>
      </c>
      <c r="F11" s="197"/>
      <c r="G11" s="74">
        <f>E11-F11</f>
        <v>13360273.972602701</v>
      </c>
      <c r="I11" s="95">
        <v>1011</v>
      </c>
      <c r="J11" s="96">
        <v>758</v>
      </c>
    </row>
    <row r="12" spans="4:13" ht="30" x14ac:dyDescent="0.25">
      <c r="D12" s="81" t="s">
        <v>193</v>
      </c>
      <c r="E12" s="142">
        <f>488.58*10^5</f>
        <v>48858000</v>
      </c>
      <c r="F12" s="197"/>
      <c r="G12" s="74">
        <f>E12-F12</f>
        <v>48858000</v>
      </c>
      <c r="I12" s="95">
        <v>968</v>
      </c>
      <c r="J12" s="96">
        <v>727</v>
      </c>
    </row>
    <row r="13" spans="4:13" x14ac:dyDescent="0.25">
      <c r="D13" s="56" t="s">
        <v>14</v>
      </c>
      <c r="E13" s="74">
        <f>SUM(E9:E12)</f>
        <v>293018273.97260273</v>
      </c>
      <c r="F13" s="114">
        <f>SUM(F9)</f>
        <v>59571000</v>
      </c>
      <c r="G13" s="74">
        <f>SUM(G9:G12)</f>
        <v>233447273.9726027</v>
      </c>
      <c r="I13" s="95">
        <v>1316</v>
      </c>
      <c r="J13" s="96">
        <v>987</v>
      </c>
    </row>
    <row r="14" spans="4:13" x14ac:dyDescent="0.25">
      <c r="D14" s="179"/>
      <c r="E14" s="180"/>
      <c r="F14" s="180"/>
      <c r="G14" s="181"/>
      <c r="I14">
        <f>SUM(I9:I13)</f>
        <v>5771</v>
      </c>
      <c r="J14">
        <f>SUM(J9:J13)</f>
        <v>4329</v>
      </c>
    </row>
    <row r="15" spans="4:13" x14ac:dyDescent="0.25">
      <c r="E15" s="39">
        <f>E13/M7</f>
        <v>3659.5263391108119</v>
      </c>
      <c r="G15" s="39">
        <f>G13/M7</f>
        <v>2915.5398273086385</v>
      </c>
      <c r="L15" s="39"/>
    </row>
    <row r="16" spans="4:13" x14ac:dyDescent="0.25">
      <c r="E16" s="39"/>
      <c r="L16" s="39"/>
    </row>
    <row r="17" spans="4:12" x14ac:dyDescent="0.25">
      <c r="D17" s="64"/>
      <c r="E17" s="39"/>
      <c r="F17" s="64"/>
      <c r="G17" s="64"/>
      <c r="L17" s="112"/>
    </row>
    <row r="18" spans="4:12" x14ac:dyDescent="0.25">
      <c r="E18" s="39"/>
      <c r="L18" s="39"/>
    </row>
    <row r="19" spans="4:12" x14ac:dyDescent="0.25">
      <c r="E19" s="39"/>
      <c r="L19" s="39"/>
    </row>
    <row r="20" spans="4:12" x14ac:dyDescent="0.25">
      <c r="E20" s="39"/>
    </row>
    <row r="21" spans="4:12" x14ac:dyDescent="0.25">
      <c r="E21" s="39"/>
    </row>
    <row r="22" spans="4:12" x14ac:dyDescent="0.25">
      <c r="E22" s="39"/>
    </row>
  </sheetData>
  <mergeCells count="2">
    <mergeCell ref="F9:F12"/>
    <mergeCell ref="D14:G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6"/>
  <sheetViews>
    <sheetView zoomScaleNormal="100" workbookViewId="0">
      <selection activeCell="B26" sqref="B26:E26"/>
    </sheetView>
  </sheetViews>
  <sheetFormatPr defaultRowHeight="15" x14ac:dyDescent="0.25"/>
  <cols>
    <col min="2" max="2" width="21.140625" customWidth="1"/>
    <col min="3" max="3" width="33" customWidth="1"/>
    <col min="4" max="4" width="12.85546875" customWidth="1"/>
    <col min="5" max="6" width="14" customWidth="1"/>
    <col min="7" max="7" width="14.5703125" bestFit="1" customWidth="1"/>
    <col min="8" max="8" width="18.28515625" customWidth="1"/>
    <col min="10" max="10" width="16.42578125" bestFit="1" customWidth="1"/>
    <col min="17" max="17" width="12.28515625" customWidth="1"/>
  </cols>
  <sheetData>
    <row r="2" spans="2:10" ht="15.75" x14ac:dyDescent="0.25">
      <c r="B2" s="213" t="s">
        <v>147</v>
      </c>
      <c r="C2" s="213"/>
      <c r="D2" s="213"/>
      <c r="E2" s="213"/>
      <c r="F2" s="213"/>
      <c r="G2" s="213"/>
      <c r="H2" s="213"/>
    </row>
    <row r="3" spans="2:10" x14ac:dyDescent="0.25">
      <c r="B3" s="214"/>
      <c r="C3" s="214"/>
      <c r="D3" s="214"/>
      <c r="E3" s="214"/>
      <c r="F3" s="214"/>
      <c r="G3" s="214"/>
      <c r="H3" s="214"/>
    </row>
    <row r="4" spans="2:10" x14ac:dyDescent="0.25">
      <c r="B4" s="215" t="s">
        <v>3</v>
      </c>
      <c r="C4" s="215" t="s">
        <v>4</v>
      </c>
      <c r="D4" s="143">
        <f>Inflow!E8</f>
        <v>44454</v>
      </c>
      <c r="E4" s="143">
        <f>Inflow!F8</f>
        <v>44819</v>
      </c>
      <c r="F4" s="143">
        <f>Inflow!G8</f>
        <v>45184</v>
      </c>
      <c r="G4" s="143">
        <f>Inflow!H8</f>
        <v>45550</v>
      </c>
      <c r="H4" s="216" t="s">
        <v>83</v>
      </c>
    </row>
    <row r="5" spans="2:10" x14ac:dyDescent="0.25">
      <c r="B5" s="215"/>
      <c r="C5" s="215"/>
      <c r="D5" s="143">
        <f>Inflow!E9</f>
        <v>44818</v>
      </c>
      <c r="E5" s="143">
        <f>Inflow!F9</f>
        <v>45183</v>
      </c>
      <c r="F5" s="143">
        <f>Inflow!G9</f>
        <v>45549</v>
      </c>
      <c r="G5" s="143">
        <f>Inflow!H9</f>
        <v>45730</v>
      </c>
      <c r="H5" s="216"/>
    </row>
    <row r="6" spans="2:10" x14ac:dyDescent="0.25">
      <c r="B6" s="212" t="s">
        <v>84</v>
      </c>
      <c r="C6" s="212"/>
      <c r="D6" s="212"/>
      <c r="E6" s="212"/>
      <c r="F6" s="127"/>
      <c r="G6" s="82"/>
      <c r="H6" s="45"/>
    </row>
    <row r="7" spans="2:10" x14ac:dyDescent="0.25">
      <c r="B7" s="217"/>
      <c r="C7" s="217"/>
      <c r="D7" s="217"/>
      <c r="E7" s="217"/>
      <c r="F7" s="128"/>
      <c r="G7" s="83"/>
      <c r="H7" s="84"/>
    </row>
    <row r="8" spans="2:10" ht="29.25" customHeight="1" x14ac:dyDescent="0.25">
      <c r="B8" s="201" t="s">
        <v>78</v>
      </c>
      <c r="C8" s="201"/>
      <c r="D8" s="32">
        <f>Inflow!E19</f>
        <v>85.584294117647062</v>
      </c>
      <c r="E8" s="32">
        <f>Inflow!F19</f>
        <v>123.15190588235293</v>
      </c>
      <c r="F8" s="32">
        <f>Inflow!G19</f>
        <v>136.01020588235295</v>
      </c>
      <c r="G8" s="32">
        <f>Inflow!H19</f>
        <v>122.49862941176472</v>
      </c>
      <c r="H8" s="32">
        <f>SUM(D8:G8)</f>
        <v>467.24503529411771</v>
      </c>
      <c r="J8" s="57">
        <f>(H8*10^6)/'Inventory Details'!J18</f>
        <v>1316183.198011599</v>
      </c>
    </row>
    <row r="9" spans="2:10" x14ac:dyDescent="0.25">
      <c r="B9" s="201" t="s">
        <v>56</v>
      </c>
      <c r="C9" s="201"/>
      <c r="D9" s="32">
        <f>Recievables!$F$3*20%/10^6</f>
        <v>0</v>
      </c>
      <c r="E9" s="32">
        <f>Recievables!$F$3*35%/10^6</f>
        <v>0</v>
      </c>
      <c r="F9" s="32"/>
      <c r="G9" s="32">
        <f>Recievables!$F$3*35%/10^6</f>
        <v>0</v>
      </c>
      <c r="H9" s="32">
        <f>SUM(D9:G9)</f>
        <v>0</v>
      </c>
    </row>
    <row r="10" spans="2:10" x14ac:dyDescent="0.25">
      <c r="B10" s="219"/>
      <c r="C10" s="219"/>
      <c r="D10" s="219"/>
      <c r="E10" s="219"/>
      <c r="F10" s="219"/>
      <c r="G10" s="219"/>
      <c r="H10" s="219"/>
    </row>
    <row r="11" spans="2:10" x14ac:dyDescent="0.25">
      <c r="B11" s="201" t="s">
        <v>85</v>
      </c>
      <c r="C11" s="201"/>
      <c r="D11" s="32">
        <f>SUM(D8:D9)</f>
        <v>85.584294117647062</v>
      </c>
      <c r="E11" s="32">
        <f t="shared" ref="E11:G11" si="0">SUM(E8:E9)</f>
        <v>123.15190588235293</v>
      </c>
      <c r="F11" s="32">
        <f t="shared" si="0"/>
        <v>136.01020588235295</v>
      </c>
      <c r="G11" s="32">
        <f t="shared" si="0"/>
        <v>122.49862941176472</v>
      </c>
      <c r="H11" s="32">
        <f>SUM(H8:H9)</f>
        <v>467.24503529411771</v>
      </c>
    </row>
    <row r="12" spans="2:10" x14ac:dyDescent="0.25">
      <c r="B12" s="218"/>
      <c r="C12" s="218"/>
      <c r="D12" s="218"/>
      <c r="E12" s="218"/>
      <c r="F12" s="129"/>
      <c r="G12" s="84"/>
      <c r="H12" s="46"/>
    </row>
    <row r="13" spans="2:10" x14ac:dyDescent="0.25">
      <c r="B13" s="212" t="s">
        <v>5</v>
      </c>
      <c r="C13" s="212"/>
      <c r="D13" s="212"/>
      <c r="E13" s="212"/>
      <c r="F13" s="212"/>
      <c r="G13" s="212"/>
      <c r="H13" s="212"/>
    </row>
    <row r="14" spans="2:10" x14ac:dyDescent="0.25">
      <c r="B14" s="164"/>
      <c r="C14" s="164"/>
      <c r="D14" s="164"/>
      <c r="E14" s="164"/>
      <c r="F14" s="164"/>
      <c r="G14" s="164"/>
      <c r="H14" s="85"/>
    </row>
    <row r="15" spans="2:10" x14ac:dyDescent="0.25">
      <c r="B15" s="209" t="s">
        <v>6</v>
      </c>
      <c r="C15" s="210"/>
      <c r="D15" s="210"/>
      <c r="E15" s="210"/>
      <c r="F15" s="210"/>
      <c r="G15" s="211"/>
      <c r="H15" s="85"/>
    </row>
    <row r="16" spans="2:10" x14ac:dyDescent="0.25">
      <c r="B16" s="201" t="s">
        <v>74</v>
      </c>
      <c r="C16" s="201"/>
      <c r="D16" s="32">
        <f>-('Total Outflow'!$G$9*30%)/10^6</f>
        <v>-39.518700000000003</v>
      </c>
      <c r="E16" s="32">
        <f>-('Total Outflow'!$G$9*28%*(1+3%))/10^6</f>
        <v>-37.990643599999999</v>
      </c>
      <c r="F16" s="32">
        <f>-('Total Outflow'!$G$9*27%*(1+3%))/10^6</f>
        <v>-36.633834899999997</v>
      </c>
      <c r="G16" s="32">
        <f>-('Total Outflow'!$G$9*15%*(1+3%))/10^6</f>
        <v>-20.352130500000001</v>
      </c>
      <c r="H16" s="32">
        <f>SUM(D16:G16)</f>
        <v>-134.49530899999999</v>
      </c>
    </row>
    <row r="17" spans="2:20" x14ac:dyDescent="0.25">
      <c r="B17" s="208" t="s">
        <v>75</v>
      </c>
      <c r="C17" s="208"/>
      <c r="D17" s="32">
        <v>0</v>
      </c>
      <c r="E17" s="32"/>
      <c r="F17" s="32"/>
      <c r="G17" s="32">
        <f>-('Total Outflow'!G10*100%)/10^6</f>
        <v>-39.5</v>
      </c>
      <c r="H17" s="32">
        <f>SUM(D17:G17)</f>
        <v>-39.5</v>
      </c>
      <c r="J17" s="235"/>
    </row>
    <row r="18" spans="2:20" x14ac:dyDescent="0.25">
      <c r="B18" s="164"/>
      <c r="C18" s="164"/>
      <c r="D18" s="164"/>
      <c r="E18" s="164"/>
      <c r="F18" s="164"/>
      <c r="G18" s="164"/>
      <c r="H18" s="46"/>
    </row>
    <row r="19" spans="2:20" x14ac:dyDescent="0.25">
      <c r="B19" s="209" t="s">
        <v>7</v>
      </c>
      <c r="C19" s="210"/>
      <c r="D19" s="210"/>
      <c r="E19" s="210"/>
      <c r="F19" s="210"/>
      <c r="G19" s="211"/>
      <c r="H19" s="85"/>
    </row>
    <row r="20" spans="2:20" x14ac:dyDescent="0.25">
      <c r="B20" s="201" t="s">
        <v>194</v>
      </c>
      <c r="C20" s="202"/>
      <c r="D20" s="32">
        <f>-('Total Outflow'!$G$11*30%)/10^6</f>
        <v>-4.0080821917808098</v>
      </c>
      <c r="E20" s="32">
        <f>-('Total Outflow'!$G$11*28%)/10^6</f>
        <v>-3.7408767123287565</v>
      </c>
      <c r="F20" s="32">
        <f>-('Total Outflow'!$G$11*27%)/10^6</f>
        <v>-3.6072739726027296</v>
      </c>
      <c r="G20" s="32">
        <f>-('Total Outflow'!$G$11*15%)/10^6</f>
        <v>-2.0040410958904049</v>
      </c>
      <c r="H20" s="32">
        <f>SUM(D20:G20)</f>
        <v>-13.360273972602702</v>
      </c>
      <c r="K20" s="32"/>
    </row>
    <row r="21" spans="2:20" x14ac:dyDescent="0.25">
      <c r="B21" s="201" t="s">
        <v>73</v>
      </c>
      <c r="C21" s="202"/>
      <c r="D21" s="32">
        <f>-D11*2%</f>
        <v>-1.7116858823529413</v>
      </c>
      <c r="E21" s="32">
        <f t="shared" ref="E21:G21" si="1">-E11*2%</f>
        <v>-2.4630381176470588</v>
      </c>
      <c r="F21" s="32">
        <f t="shared" si="1"/>
        <v>-2.7202041176470591</v>
      </c>
      <c r="G21" s="32">
        <f t="shared" si="1"/>
        <v>-2.4499725882352945</v>
      </c>
      <c r="H21" s="32">
        <f>SUM(D21:G21)</f>
        <v>-9.3449007058823543</v>
      </c>
      <c r="N21" s="6"/>
      <c r="O21" s="6"/>
    </row>
    <row r="22" spans="2:20" x14ac:dyDescent="0.25">
      <c r="B22" s="164"/>
      <c r="C22" s="164"/>
      <c r="D22" s="164"/>
      <c r="E22" s="164"/>
      <c r="F22" s="164"/>
      <c r="G22" s="164"/>
      <c r="H22" s="46"/>
      <c r="N22" s="6"/>
      <c r="O22" s="7"/>
    </row>
    <row r="23" spans="2:20" x14ac:dyDescent="0.25">
      <c r="B23" s="203" t="s">
        <v>86</v>
      </c>
      <c r="C23" s="203"/>
      <c r="D23" s="32">
        <f>D16+D17+D20+D21</f>
        <v>-45.238468074133749</v>
      </c>
      <c r="E23" s="32">
        <f t="shared" ref="E23:H23" si="2">E16+E17+E20+E21</f>
        <v>-44.194558429975814</v>
      </c>
      <c r="F23" s="32">
        <f t="shared" si="2"/>
        <v>-42.96131299024978</v>
      </c>
      <c r="G23" s="32">
        <f t="shared" si="2"/>
        <v>-64.306144184125699</v>
      </c>
      <c r="H23" s="32">
        <f t="shared" si="2"/>
        <v>-196.70048367848506</v>
      </c>
      <c r="P23">
        <v>2930.1827397260272</v>
      </c>
    </row>
    <row r="24" spans="2:20" x14ac:dyDescent="0.25">
      <c r="B24" s="164"/>
      <c r="C24" s="164"/>
      <c r="D24" s="164"/>
      <c r="E24" s="164"/>
      <c r="F24" s="164"/>
      <c r="G24" s="164"/>
      <c r="H24" s="46"/>
      <c r="N24" s="8"/>
    </row>
    <row r="25" spans="2:20" x14ac:dyDescent="0.25">
      <c r="B25" s="204" t="s">
        <v>87</v>
      </c>
      <c r="C25" s="204"/>
      <c r="D25" s="76">
        <f>D11+D23</f>
        <v>40.345826043513313</v>
      </c>
      <c r="E25" s="76">
        <f>E11+E23</f>
        <v>78.957347452377121</v>
      </c>
      <c r="F25" s="76">
        <f>F11+F23</f>
        <v>93.048892892103169</v>
      </c>
      <c r="G25" s="76">
        <f>G11+G23</f>
        <v>58.192485227639025</v>
      </c>
      <c r="H25" s="76">
        <f>H11+H23</f>
        <v>270.54455161563266</v>
      </c>
    </row>
    <row r="26" spans="2:20" x14ac:dyDescent="0.25">
      <c r="B26" s="202"/>
      <c r="C26" s="202"/>
      <c r="D26" s="202"/>
      <c r="E26" s="202"/>
      <c r="F26" s="126"/>
      <c r="G26" s="85"/>
      <c r="H26" s="84"/>
      <c r="N26" t="s">
        <v>53</v>
      </c>
      <c r="O26" s="7">
        <v>0.22</v>
      </c>
      <c r="P26" s="6">
        <f>Q26</f>
        <v>0.67578813869853638</v>
      </c>
      <c r="Q26" s="8">
        <f>T26/P23</f>
        <v>0.67578813869853638</v>
      </c>
      <c r="R26">
        <v>1700.1827397260299</v>
      </c>
      <c r="S26">
        <v>280</v>
      </c>
      <c r="T26">
        <f>R26+S26</f>
        <v>1980.1827397260299</v>
      </c>
    </row>
    <row r="27" spans="2:20" x14ac:dyDescent="0.25">
      <c r="B27" s="204" t="s">
        <v>57</v>
      </c>
      <c r="C27" s="204"/>
      <c r="D27" s="47">
        <f>XNPV(D29,D25:G25,D5:G5)</f>
        <v>210.6483460361419</v>
      </c>
      <c r="E27" s="205"/>
      <c r="F27" s="205"/>
      <c r="G27" s="205"/>
      <c r="H27" s="205"/>
      <c r="I27" s="23"/>
      <c r="J27" s="57"/>
      <c r="N27" t="s">
        <v>52</v>
      </c>
      <c r="O27" s="7">
        <v>0.12</v>
      </c>
      <c r="P27" s="6">
        <f>Q27</f>
        <v>0.32421186130146451</v>
      </c>
      <c r="Q27" s="8">
        <f>T27/P23</f>
        <v>0.32421186130146451</v>
      </c>
      <c r="R27">
        <v>950</v>
      </c>
      <c r="T27">
        <f>R27+S27</f>
        <v>950</v>
      </c>
    </row>
    <row r="28" spans="2:20" x14ac:dyDescent="0.25">
      <c r="B28" s="206"/>
      <c r="C28" s="206"/>
      <c r="D28" s="206"/>
      <c r="E28" s="205"/>
      <c r="F28" s="205"/>
      <c r="G28" s="205"/>
      <c r="H28" s="205"/>
      <c r="J28" s="57"/>
    </row>
    <row r="29" spans="2:20" x14ac:dyDescent="0.25">
      <c r="B29" s="207" t="s">
        <v>8</v>
      </c>
      <c r="C29" s="207"/>
      <c r="D29" s="48">
        <f>P29</f>
        <v>0.18757881386985376</v>
      </c>
      <c r="E29" s="205"/>
      <c r="F29" s="205"/>
      <c r="G29" s="205"/>
      <c r="H29" s="205"/>
      <c r="O29" t="s">
        <v>55</v>
      </c>
      <c r="P29" s="8">
        <f>SUMPRODUCT(O26:O27,P26:P27)</f>
        <v>0.18757881386985376</v>
      </c>
    </row>
    <row r="30" spans="2:20" x14ac:dyDescent="0.25">
      <c r="B30" s="200"/>
      <c r="C30" s="200"/>
      <c r="D30" s="200"/>
      <c r="E30" s="200"/>
      <c r="F30" s="200"/>
      <c r="G30" s="200"/>
      <c r="H30" s="200"/>
    </row>
    <row r="31" spans="2:20" x14ac:dyDescent="0.25">
      <c r="B31" s="199" t="s">
        <v>20</v>
      </c>
      <c r="C31" s="199"/>
      <c r="D31" s="199"/>
      <c r="E31" s="199"/>
      <c r="F31" s="199"/>
      <c r="G31" s="199"/>
      <c r="H31" s="199"/>
    </row>
    <row r="32" spans="2:20" x14ac:dyDescent="0.25">
      <c r="B32" s="198" t="s">
        <v>196</v>
      </c>
      <c r="C32" s="198"/>
      <c r="D32" s="198"/>
      <c r="E32" s="198"/>
      <c r="F32" s="198"/>
      <c r="G32" s="198"/>
      <c r="H32" s="198"/>
    </row>
    <row r="33" spans="2:13" ht="30" customHeight="1" x14ac:dyDescent="0.25">
      <c r="B33" s="198" t="s">
        <v>195</v>
      </c>
      <c r="C33" s="198"/>
      <c r="D33" s="198"/>
      <c r="E33" s="198"/>
      <c r="F33" s="198"/>
      <c r="G33" s="198"/>
      <c r="H33" s="198"/>
      <c r="L33">
        <f>D27*(1-17.5%)</f>
        <v>173.78488547981706</v>
      </c>
      <c r="M33">
        <f>L33*60%</f>
        <v>104.27093128789024</v>
      </c>
    </row>
    <row r="34" spans="2:13" ht="29.25" customHeight="1" x14ac:dyDescent="0.25">
      <c r="B34" s="198" t="s">
        <v>34</v>
      </c>
      <c r="C34" s="198"/>
      <c r="D34" s="198"/>
      <c r="E34" s="198"/>
      <c r="F34" s="198"/>
      <c r="G34" s="198"/>
      <c r="H34" s="198"/>
    </row>
    <row r="35" spans="2:13" ht="138" customHeight="1" x14ac:dyDescent="0.25">
      <c r="B35" s="198" t="s">
        <v>198</v>
      </c>
      <c r="C35" s="198"/>
      <c r="D35" s="198"/>
      <c r="E35" s="198"/>
      <c r="F35" s="198"/>
      <c r="G35" s="198"/>
      <c r="H35" s="198"/>
    </row>
    <row r="36" spans="2:13" ht="29.25" customHeight="1" x14ac:dyDescent="0.25">
      <c r="B36" s="198" t="s">
        <v>88</v>
      </c>
      <c r="C36" s="198"/>
      <c r="D36" s="198"/>
      <c r="E36" s="198"/>
      <c r="F36" s="198"/>
      <c r="G36" s="198"/>
      <c r="H36" s="198"/>
    </row>
  </sheetData>
  <mergeCells count="37">
    <mergeCell ref="B14:G14"/>
    <mergeCell ref="B13:H13"/>
    <mergeCell ref="B2:H2"/>
    <mergeCell ref="B3:H3"/>
    <mergeCell ref="B4:B5"/>
    <mergeCell ref="C4:C5"/>
    <mergeCell ref="H4:H5"/>
    <mergeCell ref="B6:E6"/>
    <mergeCell ref="B7:E7"/>
    <mergeCell ref="B8:C8"/>
    <mergeCell ref="B9:C9"/>
    <mergeCell ref="B11:C11"/>
    <mergeCell ref="B12:E12"/>
    <mergeCell ref="B10:H10"/>
    <mergeCell ref="B16:C16"/>
    <mergeCell ref="B17:C17"/>
    <mergeCell ref="B18:G18"/>
    <mergeCell ref="B19:G19"/>
    <mergeCell ref="B15:G15"/>
    <mergeCell ref="B30:H30"/>
    <mergeCell ref="B20:C20"/>
    <mergeCell ref="B21:C21"/>
    <mergeCell ref="B23:C23"/>
    <mergeCell ref="B25:C25"/>
    <mergeCell ref="B26:E26"/>
    <mergeCell ref="B27:C27"/>
    <mergeCell ref="E27:H29"/>
    <mergeCell ref="B28:D28"/>
    <mergeCell ref="B29:C29"/>
    <mergeCell ref="B24:G24"/>
    <mergeCell ref="B22:G22"/>
    <mergeCell ref="B36:H36"/>
    <mergeCell ref="B31:H31"/>
    <mergeCell ref="B32:H32"/>
    <mergeCell ref="B33:H33"/>
    <mergeCell ref="B34:H34"/>
    <mergeCell ref="B35:H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6"/>
  <sheetViews>
    <sheetView showGridLines="0" workbookViewId="0">
      <selection activeCell="E15" sqref="E15"/>
    </sheetView>
  </sheetViews>
  <sheetFormatPr defaultRowHeight="15" x14ac:dyDescent="0.25"/>
  <cols>
    <col min="1" max="2" width="9.140625" style="25"/>
    <col min="3" max="3" width="17.7109375" style="25" customWidth="1"/>
    <col min="4" max="4" width="22.5703125" style="25" customWidth="1"/>
    <col min="5" max="5" width="12.5703125" style="26" customWidth="1"/>
    <col min="6" max="7" width="11.7109375" style="26" customWidth="1"/>
    <col min="8" max="8" width="11.28515625" style="26" customWidth="1"/>
    <col min="9" max="9" width="24.140625" style="25" bestFit="1" customWidth="1"/>
    <col min="10" max="16384" width="9.140625" style="25"/>
  </cols>
  <sheetData>
    <row r="3" spans="1:10" ht="30.75" customHeight="1" x14ac:dyDescent="0.25">
      <c r="A3" s="27" t="s">
        <v>24</v>
      </c>
      <c r="B3" s="27" t="s">
        <v>25</v>
      </c>
      <c r="C3" s="177" t="s">
        <v>163</v>
      </c>
      <c r="D3" s="177"/>
      <c r="E3" s="177"/>
      <c r="F3" s="177"/>
      <c r="G3" s="177"/>
      <c r="H3" s="177"/>
      <c r="I3" s="177"/>
    </row>
    <row r="4" spans="1:10" x14ac:dyDescent="0.25">
      <c r="A4" s="28"/>
      <c r="B4" s="28"/>
      <c r="C4" s="222"/>
      <c r="D4" s="222"/>
      <c r="E4" s="222"/>
      <c r="F4" s="222"/>
      <c r="G4" s="222"/>
      <c r="H4" s="222"/>
      <c r="I4" s="222"/>
    </row>
    <row r="5" spans="1:10" ht="27.75" x14ac:dyDescent="0.25">
      <c r="A5" s="29"/>
      <c r="B5" s="29"/>
      <c r="C5" s="20" t="s">
        <v>3</v>
      </c>
      <c r="D5" s="20" t="s">
        <v>4</v>
      </c>
      <c r="E5" s="30">
        <f>DCF!D5</f>
        <v>44818</v>
      </c>
      <c r="F5" s="30">
        <f>DCF!E5</f>
        <v>45183</v>
      </c>
      <c r="G5" s="30">
        <f>DCF!F5</f>
        <v>45549</v>
      </c>
      <c r="H5" s="30">
        <f>DCF!G5</f>
        <v>45730</v>
      </c>
      <c r="I5" s="49" t="s">
        <v>26</v>
      </c>
    </row>
    <row r="6" spans="1:10" x14ac:dyDescent="0.25">
      <c r="A6" s="29"/>
      <c r="B6" s="29"/>
      <c r="C6" s="223" t="s">
        <v>27</v>
      </c>
      <c r="D6" s="223"/>
      <c r="E6" s="31">
        <f>DCF!D11</f>
        <v>85.584294117647062</v>
      </c>
      <c r="F6" s="31">
        <f>DCF!E11</f>
        <v>123.15190588235293</v>
      </c>
      <c r="G6" s="31">
        <f>DCF!F11</f>
        <v>136.01020588235295</v>
      </c>
      <c r="H6" s="31">
        <f>DCF!G11</f>
        <v>122.49862941176472</v>
      </c>
      <c r="I6" s="31">
        <f>SUM(E6:H6)</f>
        <v>467.24503529411771</v>
      </c>
    </row>
    <row r="7" spans="1:10" x14ac:dyDescent="0.25">
      <c r="A7" s="29"/>
      <c r="B7" s="29"/>
      <c r="C7" s="224" t="s">
        <v>28</v>
      </c>
      <c r="D7" s="224"/>
      <c r="E7" s="32">
        <f>DCF!D23</f>
        <v>-45.238468074133749</v>
      </c>
      <c r="F7" s="32">
        <f>DCF!E23</f>
        <v>-44.194558429975814</v>
      </c>
      <c r="G7" s="32">
        <f>DCF!F23</f>
        <v>-42.96131299024978</v>
      </c>
      <c r="H7" s="32">
        <f>DCF!G23</f>
        <v>-64.306144184125699</v>
      </c>
      <c r="I7" s="32">
        <f>SUM(E7:H7)</f>
        <v>-196.70048367848506</v>
      </c>
    </row>
    <row r="8" spans="1:10" x14ac:dyDescent="0.25">
      <c r="A8" s="29"/>
      <c r="B8" s="29"/>
      <c r="C8" s="225"/>
      <c r="D8" s="225"/>
      <c r="E8" s="225"/>
      <c r="F8" s="225"/>
      <c r="G8" s="225"/>
      <c r="H8" s="225"/>
      <c r="I8" s="225"/>
    </row>
    <row r="9" spans="1:10" x14ac:dyDescent="0.25">
      <c r="A9" s="29"/>
      <c r="B9" s="29"/>
      <c r="C9" s="223" t="s">
        <v>29</v>
      </c>
      <c r="D9" s="223"/>
      <c r="E9" s="31">
        <f>SUM(E6,E7)</f>
        <v>40.345826043513313</v>
      </c>
      <c r="F9" s="31">
        <f>SUM(F6,F7)</f>
        <v>78.957347452377121</v>
      </c>
      <c r="G9" s="31"/>
      <c r="H9" s="31">
        <f>SUM(H6,H7)</f>
        <v>58.192485227639025</v>
      </c>
      <c r="I9" s="31">
        <f>SUM(I6,I7)</f>
        <v>270.54455161563266</v>
      </c>
    </row>
    <row r="10" spans="1:10" x14ac:dyDescent="0.25">
      <c r="A10" s="29"/>
      <c r="B10" s="29"/>
      <c r="C10" s="225"/>
      <c r="D10" s="225"/>
      <c r="E10" s="225"/>
      <c r="F10" s="225"/>
      <c r="G10" s="225"/>
      <c r="H10" s="225"/>
      <c r="I10" s="225"/>
    </row>
    <row r="11" spans="1:10" x14ac:dyDescent="0.25">
      <c r="A11" s="29"/>
      <c r="B11" s="29"/>
      <c r="C11" s="223" t="s">
        <v>30</v>
      </c>
      <c r="D11" s="223"/>
      <c r="E11" s="33">
        <f>DCF!$D$27</f>
        <v>210.6483460361419</v>
      </c>
      <c r="F11" s="227"/>
      <c r="G11" s="227"/>
      <c r="H11" s="227"/>
      <c r="I11" s="227"/>
    </row>
    <row r="12" spans="1:10" x14ac:dyDescent="0.25">
      <c r="A12" s="29"/>
      <c r="B12" s="29"/>
      <c r="C12" s="223" t="s">
        <v>31</v>
      </c>
      <c r="D12" s="223"/>
      <c r="E12" s="33">
        <f>ROUND(E11,-1)</f>
        <v>210</v>
      </c>
      <c r="F12" s="227"/>
      <c r="G12" s="227"/>
      <c r="H12" s="227"/>
      <c r="I12" s="227"/>
    </row>
    <row r="13" spans="1:10" x14ac:dyDescent="0.25">
      <c r="C13" s="222"/>
      <c r="D13" s="222"/>
      <c r="E13" s="222"/>
      <c r="F13" s="222"/>
      <c r="G13" s="222"/>
      <c r="H13" s="222"/>
      <c r="I13" s="222"/>
    </row>
    <row r="14" spans="1:10" ht="30" customHeight="1" x14ac:dyDescent="0.25">
      <c r="C14" s="208" t="s">
        <v>32</v>
      </c>
      <c r="D14" s="208"/>
      <c r="E14" s="24">
        <f>E12*(1-15%)</f>
        <v>178.5</v>
      </c>
      <c r="F14" s="226"/>
      <c r="G14" s="226"/>
      <c r="H14" s="226"/>
      <c r="I14" s="226"/>
      <c r="J14" s="77">
        <f>E14*60%</f>
        <v>107.1</v>
      </c>
    </row>
    <row r="15" spans="1:10" ht="30" customHeight="1" x14ac:dyDescent="0.25">
      <c r="C15" s="208" t="s">
        <v>33</v>
      </c>
      <c r="D15" s="208"/>
      <c r="E15" s="24">
        <f>E12*(1-25%)</f>
        <v>157.5</v>
      </c>
      <c r="F15" s="226"/>
      <c r="G15" s="226"/>
      <c r="H15" s="226"/>
      <c r="I15" s="226"/>
    </row>
    <row r="16" spans="1:10" ht="28.5" customHeight="1" x14ac:dyDescent="0.25">
      <c r="C16" s="220" t="s">
        <v>89</v>
      </c>
      <c r="D16" s="221"/>
      <c r="E16" s="221"/>
      <c r="F16" s="221"/>
      <c r="G16" s="221"/>
      <c r="H16" s="221"/>
      <c r="I16" s="221"/>
    </row>
  </sheetData>
  <mergeCells count="15">
    <mergeCell ref="C16:I16"/>
    <mergeCell ref="C3:I3"/>
    <mergeCell ref="C4:I4"/>
    <mergeCell ref="C6:D6"/>
    <mergeCell ref="C7:D7"/>
    <mergeCell ref="C9:D9"/>
    <mergeCell ref="C8:I8"/>
    <mergeCell ref="C13:I13"/>
    <mergeCell ref="C14:D14"/>
    <mergeCell ref="F14:I15"/>
    <mergeCell ref="C15:D15"/>
    <mergeCell ref="C10:I10"/>
    <mergeCell ref="F11:I12"/>
    <mergeCell ref="C11:D11"/>
    <mergeCell ref="C12:D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F12"/>
    </sheetView>
  </sheetViews>
  <sheetFormatPr defaultRowHeight="15" x14ac:dyDescent="0.25"/>
  <cols>
    <col min="1" max="1" width="21.85546875" customWidth="1"/>
    <col min="2" max="2" width="24" customWidth="1"/>
    <col min="3" max="3" width="23" customWidth="1"/>
    <col min="4" max="4" width="24.7109375" customWidth="1"/>
    <col min="5" max="6" width="19" customWidth="1"/>
  </cols>
  <sheetData>
    <row r="1" spans="1:6" ht="28.5" customHeight="1" x14ac:dyDescent="0.25">
      <c r="A1" s="230" t="s">
        <v>167</v>
      </c>
      <c r="B1" s="230"/>
      <c r="C1" s="230"/>
      <c r="D1" s="230"/>
      <c r="E1" s="230"/>
      <c r="F1" s="230"/>
    </row>
    <row r="2" spans="1:6" ht="33" customHeight="1" x14ac:dyDescent="0.25">
      <c r="A2" s="119"/>
      <c r="B2" s="120" t="s">
        <v>179</v>
      </c>
      <c r="C2" s="120" t="s">
        <v>170</v>
      </c>
      <c r="D2" s="120" t="s">
        <v>168</v>
      </c>
      <c r="E2" s="120" t="s">
        <v>169</v>
      </c>
      <c r="F2" s="118" t="s">
        <v>165</v>
      </c>
    </row>
    <row r="3" spans="1:6" ht="30" x14ac:dyDescent="0.25">
      <c r="A3" s="118" t="s">
        <v>21</v>
      </c>
      <c r="B3" s="130" t="s">
        <v>177</v>
      </c>
      <c r="C3" s="119" t="s">
        <v>180</v>
      </c>
      <c r="D3" s="130" t="s">
        <v>182</v>
      </c>
      <c r="E3" s="131" t="s">
        <v>181</v>
      </c>
      <c r="F3" s="33">
        <f>41.775*3000000</f>
        <v>125325000</v>
      </c>
    </row>
    <row r="4" spans="1:6" ht="30" x14ac:dyDescent="0.25">
      <c r="A4" s="118" t="s">
        <v>166</v>
      </c>
      <c r="B4" s="130" t="s">
        <v>177</v>
      </c>
      <c r="C4" s="119" t="s">
        <v>180</v>
      </c>
      <c r="D4" s="119" t="s">
        <v>199</v>
      </c>
      <c r="E4" s="119" t="s">
        <v>199</v>
      </c>
      <c r="F4" s="33">
        <v>55503066</v>
      </c>
    </row>
    <row r="5" spans="1:6" x14ac:dyDescent="0.25">
      <c r="A5" s="231"/>
      <c r="B5" s="231"/>
      <c r="C5" s="231"/>
      <c r="D5" s="231"/>
      <c r="E5" s="231"/>
      <c r="F5" s="231"/>
    </row>
    <row r="6" spans="1:6" x14ac:dyDescent="0.25">
      <c r="A6" s="232" t="s">
        <v>171</v>
      </c>
      <c r="B6" s="232"/>
      <c r="C6" s="233">
        <f>F3</f>
        <v>125325000</v>
      </c>
      <c r="D6" s="68"/>
      <c r="E6" s="68"/>
      <c r="F6" s="68"/>
    </row>
    <row r="7" spans="1:6" x14ac:dyDescent="0.25">
      <c r="A7" s="232" t="s">
        <v>172</v>
      </c>
      <c r="B7" s="232"/>
      <c r="C7" s="233">
        <f>0.85*C6</f>
        <v>106526250</v>
      </c>
      <c r="D7" s="68"/>
      <c r="E7" s="68"/>
      <c r="F7" s="68"/>
    </row>
    <row r="8" spans="1:6" x14ac:dyDescent="0.25">
      <c r="A8" s="232" t="s">
        <v>173</v>
      </c>
      <c r="B8" s="232"/>
      <c r="C8" s="233">
        <f>0.75*C6</f>
        <v>93993750</v>
      </c>
      <c r="D8" s="68"/>
      <c r="E8" s="68"/>
      <c r="F8" s="68"/>
    </row>
    <row r="9" spans="1:6" x14ac:dyDescent="0.25">
      <c r="A9" s="232" t="s">
        <v>174</v>
      </c>
      <c r="B9" s="232"/>
      <c r="C9" s="233">
        <f>F4</f>
        <v>55503066</v>
      </c>
      <c r="D9" s="68"/>
      <c r="E9" s="68"/>
      <c r="F9" s="68"/>
    </row>
    <row r="10" spans="1:6" x14ac:dyDescent="0.25">
      <c r="A10" s="228" t="s">
        <v>175</v>
      </c>
      <c r="B10" s="228"/>
      <c r="C10" s="68"/>
      <c r="D10" s="68"/>
      <c r="E10" s="68"/>
      <c r="F10" s="68"/>
    </row>
    <row r="11" spans="1:6" x14ac:dyDescent="0.25">
      <c r="A11" s="228" t="s">
        <v>176</v>
      </c>
      <c r="B11" s="228"/>
      <c r="C11" s="228"/>
      <c r="D11" s="228"/>
      <c r="E11" s="228"/>
      <c r="F11" s="228"/>
    </row>
    <row r="12" spans="1:6" ht="78" customHeight="1" x14ac:dyDescent="0.25">
      <c r="A12" s="229" t="s">
        <v>197</v>
      </c>
      <c r="B12" s="229"/>
      <c r="C12" s="229"/>
      <c r="D12" s="229"/>
      <c r="E12" s="229"/>
      <c r="F12" s="229"/>
    </row>
  </sheetData>
  <mergeCells count="9">
    <mergeCell ref="A10:B10"/>
    <mergeCell ref="A11:F11"/>
    <mergeCell ref="A12:F12"/>
    <mergeCell ref="A1:F1"/>
    <mergeCell ref="A5:F5"/>
    <mergeCell ref="A6:B6"/>
    <mergeCell ref="A7:B7"/>
    <mergeCell ref="A8:B8"/>
    <mergeCell ref="A9:B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7"/>
  <sheetViews>
    <sheetView workbookViewId="0">
      <selection activeCell="A6" sqref="A6:D7"/>
    </sheetView>
  </sheetViews>
  <sheetFormatPr defaultRowHeight="15" x14ac:dyDescent="0.25"/>
  <cols>
    <col min="1" max="1" width="20.28515625" customWidth="1"/>
    <col min="2" max="2" width="24.85546875" customWidth="1"/>
    <col min="3" max="3" width="23.28515625" customWidth="1"/>
    <col min="4" max="4" width="19.28515625" customWidth="1"/>
  </cols>
  <sheetData>
    <row r="6" spans="1:4" ht="60" customHeight="1" x14ac:dyDescent="0.25">
      <c r="A6" s="121" t="s">
        <v>80</v>
      </c>
      <c r="B6" s="121" t="s">
        <v>79</v>
      </c>
      <c r="C6" s="122" t="s">
        <v>178</v>
      </c>
      <c r="D6" s="121" t="s">
        <v>82</v>
      </c>
    </row>
    <row r="7" spans="1:4" x14ac:dyDescent="0.25">
      <c r="A7" s="116" t="s">
        <v>46</v>
      </c>
      <c r="B7" s="117">
        <f>'Total Outflow'!E9</f>
        <v>191300000</v>
      </c>
      <c r="C7" s="117">
        <f>'Total Outflow'!F9</f>
        <v>59571000</v>
      </c>
      <c r="D7" s="117">
        <f>B7-C7</f>
        <v>131729000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Data Provided (Inventory List)</vt:lpstr>
      <vt:lpstr>Data Provided (Summary)</vt:lpstr>
      <vt:lpstr>Inventory Details</vt:lpstr>
      <vt:lpstr>Recievables</vt:lpstr>
      <vt:lpstr>Flat Details</vt:lpstr>
      <vt:lpstr>Absorption Rate</vt:lpstr>
      <vt:lpstr>Residential Inflow</vt:lpstr>
      <vt:lpstr>Inflow</vt:lpstr>
      <vt:lpstr>Total Outflow</vt:lpstr>
      <vt:lpstr>DCF</vt:lpstr>
      <vt:lpstr>Consolidated Summary</vt:lpstr>
      <vt:lpstr>Valuation of Land</vt:lpstr>
      <vt:lpstr>cONSTRUCTION rATE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Garg - Corporate Finance</dc:creator>
  <cp:lastModifiedBy>Vibhanshu Vaibhav</cp:lastModifiedBy>
  <dcterms:created xsi:type="dcterms:W3CDTF">2020-02-03T05:38:58Z</dcterms:created>
  <dcterms:modified xsi:type="dcterms:W3CDTF">2021-08-25T13:49:04Z</dcterms:modified>
</cp:coreProperties>
</file>