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uditassociates1\Desktop\Umair Desktop 13092021\BRG CURRENT ASSETS\Draft Valution 29092021\Edited\"/>
    </mc:Choice>
  </mc:AlternateContent>
  <bookViews>
    <workbookView xWindow="0" yWindow="0" windowWidth="17970" windowHeight="6120" tabRatio="741" activeTab="3"/>
  </bookViews>
  <sheets>
    <sheet name="Land" sheetId="26" r:id="rId1"/>
    <sheet name="Factory Building- Unit 1" sheetId="20" r:id="rId2"/>
    <sheet name="Factory Building-Unit 2" sheetId="44" r:id="rId3"/>
    <sheet name="Factory Building-Unit 3" sheetId="45" r:id="rId4"/>
    <sheet name="Building-Summary" sheetId="19" r:id="rId5"/>
    <sheet name="P&amp;M-Unit 1" sheetId="47" r:id="rId6"/>
    <sheet name="P&amp;M-Unit 2" sheetId="48" r:id="rId7"/>
    <sheet name="P&amp;M-Unit 3" sheetId="49" r:id="rId8"/>
    <sheet name="WPI Index" sheetId="50" r:id="rId9"/>
    <sheet name="office Equipment." sheetId="5" r:id="rId10"/>
    <sheet name="furniture &amp; Fixture" sheetId="12" r:id="rId11"/>
    <sheet name="Vehicles" sheetId="6" r:id="rId12"/>
    <sheet name="Computers" sheetId="7" r:id="rId13"/>
    <sheet name="Software" sheetId="46" r:id="rId14"/>
    <sheet name="P&amp;M-Summary" sheetId="17" r:id="rId15"/>
    <sheet name="Summary" sheetId="2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S">#REF!</definedName>
    <definedName name="_____DAT3">#REF!</definedName>
    <definedName name="_____DAT4">#REF!</definedName>
    <definedName name="____DAT1">#REF!</definedName>
    <definedName name="____DAT10">'[1]detail exp'!#REF!</definedName>
    <definedName name="____DAT11">'[1]detail exp'!#REF!</definedName>
    <definedName name="____DAT12">'[1]detail exp'!#REF!</definedName>
    <definedName name="____DAT2">#REF!</definedName>
    <definedName name="____DAT5">'[1]detail exp'!#REF!</definedName>
    <definedName name="____DAT6">'[1]detail exp'!#REF!</definedName>
    <definedName name="____DAT7">'[1]detail exp'!#REF!</definedName>
    <definedName name="____DAT8">'[1]detail exp'!#REF!</definedName>
    <definedName name="____DAT9">'[1]detail exp'!#REF!</definedName>
    <definedName name="____E405120">#REF!</definedName>
    <definedName name="___DAT1">#REF!</definedName>
    <definedName name="___DAT2">#REF!</definedName>
    <definedName name="___DAT3">#REF!</definedName>
    <definedName name="___DAT4">#REF!</definedName>
    <definedName name="___E405120">#REF!</definedName>
    <definedName name="___SEP03">#REF!</definedName>
    <definedName name="___usd1">'[2]cash budget'!#REF!</definedName>
    <definedName name="___usd2">'[2]cash budget'!#REF!</definedName>
    <definedName name="___usd3">'[2]cash budget'!#REF!</definedName>
    <definedName name="___usd4">'[2]cash budget'!#REF!</definedName>
    <definedName name="__DAT1">#REF!</definedName>
    <definedName name="__DAT10">'[1]detail exp'!#REF!</definedName>
    <definedName name="__DAT11">'[1]detail exp'!#REF!</definedName>
    <definedName name="__DAT12">'[1]detail exp'!#REF!</definedName>
    <definedName name="__DAT2">#REF!</definedName>
    <definedName name="__DAT3">#REF!</definedName>
    <definedName name="__DAT4">#REF!</definedName>
    <definedName name="__DAT5">'[1]detail exp'!#REF!</definedName>
    <definedName name="__DAT6">'[1]detail exp'!#REF!</definedName>
    <definedName name="__DAT7">'[1]detail exp'!#REF!</definedName>
    <definedName name="__DAT8">'[1]detail exp'!#REF!</definedName>
    <definedName name="__DAT9">'[1]detail exp'!#REF!</definedName>
    <definedName name="__E405120">#REF!</definedName>
    <definedName name="__SEP03">#REF!</definedName>
    <definedName name="__usd1">'[3]cash budget'!#REF!</definedName>
    <definedName name="__usd2">'[3]cash budget'!#REF!</definedName>
    <definedName name="__usd3">'[3]cash budget'!#REF!</definedName>
    <definedName name="__usd4">'[3]cash budget'!#REF!</definedName>
    <definedName name="_DAT1">#REF!</definedName>
    <definedName name="_DAT10">'[1]detail exp'!#REF!</definedName>
    <definedName name="_DAT11">'[1]detail exp'!#REF!</definedName>
    <definedName name="_DAT12">'[1]detail exp'!#REF!</definedName>
    <definedName name="_DAT2">#REF!</definedName>
    <definedName name="_DAT3">#REF!</definedName>
    <definedName name="_DAT4">#REF!</definedName>
    <definedName name="_DAT5">'[1]detail exp'!#REF!</definedName>
    <definedName name="_DAT6">'[1]detail exp'!#REF!</definedName>
    <definedName name="_DAT7">'[1]detail exp'!#REF!</definedName>
    <definedName name="_DAT8">'[1]detail exp'!#REF!</definedName>
    <definedName name="_DAT9">'[1]detail exp'!#REF!</definedName>
    <definedName name="_E405120">#REF!</definedName>
    <definedName name="_xlnm._FilterDatabase" localSheetId="12" hidden="1">Computers!$B$4:$R$4</definedName>
    <definedName name="_xlnm._FilterDatabase" localSheetId="1" hidden="1">'Factory Building- Unit 1'!$C$6:$Y$49</definedName>
    <definedName name="_xlnm._FilterDatabase" localSheetId="2" hidden="1">'Factory Building-Unit 2'!$C$6:$X$6</definedName>
    <definedName name="_xlnm._FilterDatabase" localSheetId="0" hidden="1">Land!#REF!</definedName>
    <definedName name="_xlnm._FilterDatabase" localSheetId="9" hidden="1">'office Equipment.'!$B$4:$Q$272</definedName>
    <definedName name="_xlnm._FilterDatabase" localSheetId="5" hidden="1">'P&amp;M-Unit 1'!$B$2:$S$22</definedName>
    <definedName name="_xlnm._FilterDatabase" localSheetId="11" hidden="1">Vehicles!$B$3:$Q$21</definedName>
    <definedName name="_Order2" hidden="1">255</definedName>
    <definedName name="_SEP03">#REF!</definedName>
    <definedName name="_usd1">'[4]cash budget'!#REF!</definedName>
    <definedName name="_usd2">'[4]cash budget'!#REF!</definedName>
    <definedName name="_usd3">'[4]cash budget'!#REF!</definedName>
    <definedName name="_usd4">'[4]cash budget'!#REF!</definedName>
    <definedName name="A">#REF!</definedName>
    <definedName name="aaa">#REF!</definedName>
    <definedName name="abc">#REF!</definedName>
    <definedName name="Add__Donations">#REF!</definedName>
    <definedName name="ahjjkh">#REF!</definedName>
    <definedName name="annx">[5]cashflow!#REF!</definedName>
    <definedName name="b">#REF!</definedName>
    <definedName name="BALSHEETCON">#REF!</definedName>
    <definedName name="Base_Yr">'[6]Setup Variables'!$D$11</definedName>
    <definedName name="BC_SCH">#REF!</definedName>
    <definedName name="BC_SCH_CON">#REF!</definedName>
    <definedName name="CERT">#REF!</definedName>
    <definedName name="CON_PL_SCH">#REF!</definedName>
    <definedName name="CONC_ASSET">#REF!</definedName>
    <definedName name="CONS_BALSHEET">#REF!</definedName>
    <definedName name="CONS_INVEST">#REF!</definedName>
    <definedName name="CONSTRIAL">#REF!</definedName>
    <definedName name="CONSTRIAL1">'[7]APRIL08-JUN08-CONSOLIDATED'!#REF!</definedName>
    <definedName name="D">#REF!</definedName>
    <definedName name="data">'[8]employee security'!$A$4:$A$22</definedName>
    <definedName name="_xlnm.Database">#REF!</definedName>
    <definedName name="dollars">#REF!</definedName>
    <definedName name="e">#REF!</definedName>
    <definedName name="EQUIPSTAT25_08_2003">#REF!</definedName>
    <definedName name="Fixed">[9]cashflow!#REF!</definedName>
    <definedName name="INDO_COUNT_INDUSTRIES_LIMITED">#REF!</definedName>
    <definedName name="lanco">#REF!</definedName>
    <definedName name="LANCO_BABAND_POWER_P">[10]WORKINGS!#REF!</definedName>
    <definedName name="margin">[11]Wkgs!$J$275</definedName>
    <definedName name="millions">[12]Inputs!$B$10</definedName>
    <definedName name="notes1">#REF!</definedName>
    <definedName name="notes2">#REF!</definedName>
    <definedName name="page_1">#REF!</definedName>
    <definedName name="page_2">#REF!</definedName>
    <definedName name="page_3">#REF!</definedName>
    <definedName name="page_4">#REF!</definedName>
    <definedName name="page_5">#REF!</definedName>
    <definedName name="page_6">#REF!</definedName>
    <definedName name="pfcusd">#REF!</definedName>
    <definedName name="_xlnm.Print_Area">#REF!</definedName>
    <definedName name="Print_Area_MI">#REF!</definedName>
    <definedName name="PRINT_CATEGS">'[13]3:40'!$A$1:$I$62</definedName>
    <definedName name="_xlnm.Print_Titles" localSheetId="1">'Factory Building- Unit 1'!$5:$6</definedName>
    <definedName name="_xlnm.Print_Titles" localSheetId="2">'Factory Building-Unit 2'!$5:$6</definedName>
    <definedName name="_xlnm.Print_Titles" localSheetId="5">'P&amp;M-Unit 1'!$1:$2</definedName>
    <definedName name="_xlnm.Print_Titles">#REF!</definedName>
    <definedName name="PRINT_TITLES_MI">#REF!</definedName>
    <definedName name="PRO_LOSS">#REF!</definedName>
    <definedName name="PRO_LOSS1">'[7]APRIL08-JUN08-CONSOLIDATED'!$B$3:$J$82</definedName>
    <definedName name="rk">#REF!</definedName>
    <definedName name="rs">[14]variance!#REF!</definedName>
    <definedName name="Rupees">#REF!</definedName>
    <definedName name="sa">#REF!</definedName>
    <definedName name="sal">#REF!</definedName>
    <definedName name="SPINNING_DIVISION">#REF!</definedName>
    <definedName name="TEST0">#REF!</definedName>
    <definedName name="TESTHKEY">#REF!</definedName>
    <definedName name="TESTKEYS">#REF!</definedName>
    <definedName name="TESTVKEY">#REF!</definedName>
    <definedName name="u">#REF!</definedName>
    <definedName name="unit_total">#REF!</definedName>
    <definedName name="ur">[15]allocation!$D$4</definedName>
    <definedName name="usd">#REF!</definedName>
    <definedName name="ut">[15]allocation!$D$5</definedName>
    <definedName name="v">'[16]Offshore Equipment'!#REF!</definedName>
  </definedNames>
  <calcPr calcId="152511"/>
</workbook>
</file>

<file path=xl/calcChain.xml><?xml version="1.0" encoding="utf-8"?>
<calcChain xmlns="http://schemas.openxmlformats.org/spreadsheetml/2006/main">
  <c r="U44" i="45" l="1"/>
  <c r="M21" i="28" l="1"/>
  <c r="N8" i="19"/>
  <c r="J8" i="19"/>
  <c r="U31" i="45"/>
  <c r="U30" i="45"/>
  <c r="U29" i="45"/>
  <c r="U28" i="45"/>
  <c r="U27" i="45"/>
  <c r="U26" i="45"/>
  <c r="U25" i="45"/>
  <c r="U24" i="45"/>
  <c r="U23" i="45"/>
  <c r="U22" i="45"/>
  <c r="U21" i="45"/>
  <c r="U20" i="45"/>
  <c r="U19" i="45"/>
  <c r="U18" i="45"/>
  <c r="U17" i="45"/>
  <c r="U16" i="45"/>
  <c r="U15" i="45"/>
  <c r="U14" i="45"/>
  <c r="U13" i="45"/>
  <c r="U12" i="45"/>
  <c r="U11" i="45"/>
  <c r="U10" i="45"/>
  <c r="U9" i="45"/>
  <c r="U8" i="45"/>
  <c r="U7" i="45"/>
  <c r="I8" i="19"/>
  <c r="L5" i="26" l="1"/>
  <c r="J9" i="19" l="1"/>
  <c r="J7" i="19"/>
  <c r="J5" i="19"/>
  <c r="L24" i="19"/>
  <c r="L25" i="19" s="1"/>
  <c r="K31" i="28"/>
  <c r="K30" i="28"/>
  <c r="R20" i="44" l="1"/>
  <c r="L7" i="26"/>
  <c r="L6" i="26"/>
  <c r="J20" i="28" l="1"/>
  <c r="O36" i="45"/>
  <c r="O37" i="45"/>
  <c r="O38" i="45"/>
  <c r="O39" i="45"/>
  <c r="O40" i="45"/>
  <c r="O41" i="45"/>
  <c r="O35" i="45"/>
  <c r="O42" i="45" s="1"/>
  <c r="O8" i="45"/>
  <c r="O9" i="45"/>
  <c r="O10" i="45"/>
  <c r="O11" i="45"/>
  <c r="O12" i="45"/>
  <c r="O13" i="45"/>
  <c r="O14" i="45"/>
  <c r="O15" i="45"/>
  <c r="O16" i="45"/>
  <c r="O17" i="45"/>
  <c r="O18" i="45"/>
  <c r="O19" i="45"/>
  <c r="O20" i="45"/>
  <c r="O21" i="45"/>
  <c r="O22" i="45"/>
  <c r="O23" i="45"/>
  <c r="O24" i="45"/>
  <c r="O25" i="45"/>
  <c r="O26" i="45"/>
  <c r="O27" i="45"/>
  <c r="O28" i="45"/>
  <c r="O29" i="45"/>
  <c r="O30" i="45"/>
  <c r="O31" i="45"/>
  <c r="O7" i="45"/>
  <c r="F7" i="44"/>
  <c r="O8" i="44"/>
  <c r="O9" i="44"/>
  <c r="O10" i="44"/>
  <c r="O11" i="44"/>
  <c r="O12" i="44"/>
  <c r="O13" i="44"/>
  <c r="O14" i="44"/>
  <c r="O15" i="44"/>
  <c r="O16" i="44"/>
  <c r="O17" i="44"/>
  <c r="O18" i="44"/>
  <c r="O19" i="44"/>
  <c r="O20" i="44"/>
  <c r="O21" i="44"/>
  <c r="O22" i="44"/>
  <c r="O7" i="44"/>
  <c r="J21" i="28"/>
  <c r="N7" i="20" l="1"/>
  <c r="O18" i="6"/>
  <c r="P42" i="45" l="1"/>
  <c r="P32" i="45"/>
  <c r="P44" i="45" s="1"/>
  <c r="S37" i="45"/>
  <c r="T37" i="45" s="1"/>
  <c r="U37" i="45" s="1"/>
  <c r="S10" i="45"/>
  <c r="T10" i="45" s="1"/>
  <c r="S14" i="45"/>
  <c r="T14" i="45" s="1"/>
  <c r="S18" i="45"/>
  <c r="T18" i="45" s="1"/>
  <c r="S22" i="45"/>
  <c r="T22" i="45" s="1"/>
  <c r="S26" i="45"/>
  <c r="T26" i="45" s="1"/>
  <c r="S30" i="45"/>
  <c r="T30" i="45" s="1"/>
  <c r="R36" i="45"/>
  <c r="R37" i="45"/>
  <c r="R38" i="45"/>
  <c r="R39" i="45"/>
  <c r="R40" i="45"/>
  <c r="R41" i="45"/>
  <c r="R35" i="45"/>
  <c r="K41" i="45"/>
  <c r="K40" i="45"/>
  <c r="K39" i="45"/>
  <c r="K38" i="45"/>
  <c r="K37" i="45"/>
  <c r="K36" i="45"/>
  <c r="K35" i="45"/>
  <c r="K8" i="45"/>
  <c r="K9" i="45"/>
  <c r="K10" i="45"/>
  <c r="K11" i="45"/>
  <c r="K12" i="45"/>
  <c r="K13" i="45"/>
  <c r="K14" i="45"/>
  <c r="K15" i="45"/>
  <c r="K16" i="45"/>
  <c r="K17" i="45"/>
  <c r="K18" i="45"/>
  <c r="K19" i="45"/>
  <c r="K20" i="45"/>
  <c r="K21" i="45"/>
  <c r="K22" i="45"/>
  <c r="K23" i="45"/>
  <c r="K24" i="45"/>
  <c r="K25" i="45"/>
  <c r="K26" i="45"/>
  <c r="K27" i="45"/>
  <c r="K28" i="45"/>
  <c r="K29" i="45"/>
  <c r="K30" i="45"/>
  <c r="K31" i="45"/>
  <c r="K7" i="44"/>
  <c r="K7" i="45"/>
  <c r="N30" i="44"/>
  <c r="R31" i="45"/>
  <c r="R8" i="45"/>
  <c r="R9" i="45"/>
  <c r="R10" i="45"/>
  <c r="R11" i="45"/>
  <c r="R12" i="45"/>
  <c r="R13" i="45"/>
  <c r="R14" i="45"/>
  <c r="R15" i="45"/>
  <c r="R16" i="45"/>
  <c r="R17" i="45"/>
  <c r="R18" i="45"/>
  <c r="R19" i="45"/>
  <c r="R20" i="45"/>
  <c r="R21" i="45"/>
  <c r="R22" i="45"/>
  <c r="R23" i="45"/>
  <c r="R24" i="45"/>
  <c r="R25" i="45"/>
  <c r="R26" i="45"/>
  <c r="R27" i="45"/>
  <c r="R28" i="45"/>
  <c r="R29" i="45"/>
  <c r="R30" i="45"/>
  <c r="R7" i="45"/>
  <c r="R7" i="44"/>
  <c r="F25" i="45"/>
  <c r="F24" i="45"/>
  <c r="F31" i="45"/>
  <c r="N36" i="45"/>
  <c r="N37" i="45"/>
  <c r="N38" i="45"/>
  <c r="N39" i="45"/>
  <c r="N40" i="45"/>
  <c r="N41" i="45"/>
  <c r="N8" i="45"/>
  <c r="S8" i="45" s="1"/>
  <c r="T8" i="45" s="1"/>
  <c r="N9" i="45"/>
  <c r="S9" i="45" s="1"/>
  <c r="T9" i="45" s="1"/>
  <c r="N10" i="45"/>
  <c r="N11" i="45"/>
  <c r="N12" i="45"/>
  <c r="S12" i="45" s="1"/>
  <c r="T12" i="45" s="1"/>
  <c r="N13" i="45"/>
  <c r="S13" i="45" s="1"/>
  <c r="T13" i="45" s="1"/>
  <c r="N14" i="45"/>
  <c r="N15" i="45"/>
  <c r="N16" i="45"/>
  <c r="S16" i="45" s="1"/>
  <c r="T16" i="45" s="1"/>
  <c r="N17" i="45"/>
  <c r="S17" i="45" s="1"/>
  <c r="T17" i="45" s="1"/>
  <c r="N18" i="45"/>
  <c r="N19" i="45"/>
  <c r="N20" i="45"/>
  <c r="S20" i="45" s="1"/>
  <c r="T20" i="45" s="1"/>
  <c r="N21" i="45"/>
  <c r="S21" i="45" s="1"/>
  <c r="T21" i="45" s="1"/>
  <c r="N22" i="45"/>
  <c r="N23" i="45"/>
  <c r="N24" i="45"/>
  <c r="S24" i="45" s="1"/>
  <c r="T24" i="45" s="1"/>
  <c r="N25" i="45"/>
  <c r="S25" i="45" s="1"/>
  <c r="T25" i="45" s="1"/>
  <c r="N26" i="45"/>
  <c r="N27" i="45"/>
  <c r="N28" i="45"/>
  <c r="S28" i="45" s="1"/>
  <c r="T28" i="45" s="1"/>
  <c r="N29" i="45"/>
  <c r="S29" i="45" s="1"/>
  <c r="T29" i="45" s="1"/>
  <c r="N30" i="45"/>
  <c r="N31" i="45"/>
  <c r="N7" i="45"/>
  <c r="N7" i="44"/>
  <c r="K8" i="44"/>
  <c r="F8" i="45"/>
  <c r="F9" i="45"/>
  <c r="F10" i="45"/>
  <c r="F11" i="45"/>
  <c r="F12" i="45"/>
  <c r="F13" i="45"/>
  <c r="F14" i="45"/>
  <c r="F15" i="45"/>
  <c r="F16" i="45"/>
  <c r="F17" i="45"/>
  <c r="F18" i="45"/>
  <c r="F19" i="45"/>
  <c r="F20" i="45"/>
  <c r="F21" i="45"/>
  <c r="F22" i="45"/>
  <c r="F23" i="45"/>
  <c r="F26" i="45"/>
  <c r="F27" i="45"/>
  <c r="F28" i="45"/>
  <c r="F29" i="45"/>
  <c r="F30" i="45"/>
  <c r="F35" i="45"/>
  <c r="F36" i="45"/>
  <c r="F37" i="45"/>
  <c r="F38" i="45"/>
  <c r="F39" i="45"/>
  <c r="F40" i="45"/>
  <c r="F41" i="45"/>
  <c r="F7" i="45"/>
  <c r="G10" i="19"/>
  <c r="H11" i="28" s="1"/>
  <c r="H10" i="19"/>
  <c r="I11" i="28" s="1"/>
  <c r="T36" i="45" l="1"/>
  <c r="U36" i="45" s="1"/>
  <c r="T39" i="45"/>
  <c r="U39" i="45" s="1"/>
  <c r="R32" i="45"/>
  <c r="T7" i="45"/>
  <c r="S7" i="45"/>
  <c r="S27" i="45"/>
  <c r="T27" i="45" s="1"/>
  <c r="T23" i="45"/>
  <c r="S23" i="45"/>
  <c r="S19" i="45"/>
  <c r="T19" i="45" s="1"/>
  <c r="T15" i="45"/>
  <c r="S15" i="45"/>
  <c r="S11" i="45"/>
  <c r="T11" i="45" s="1"/>
  <c r="T31" i="45"/>
  <c r="S31" i="45"/>
  <c r="R42" i="45"/>
  <c r="S41" i="45"/>
  <c r="T41" i="45" s="1"/>
  <c r="U41" i="45" s="1"/>
  <c r="S40" i="45"/>
  <c r="T40" i="45" s="1"/>
  <c r="U40" i="45" s="1"/>
  <c r="S36" i="45"/>
  <c r="S39" i="45"/>
  <c r="S35" i="45"/>
  <c r="S38" i="45"/>
  <c r="T38" i="45" s="1"/>
  <c r="U38" i="45" s="1"/>
  <c r="S7" i="44"/>
  <c r="T7" i="44" s="1"/>
  <c r="U7" i="44" s="1"/>
  <c r="L12" i="17"/>
  <c r="J12" i="17"/>
  <c r="I12" i="17"/>
  <c r="K12" i="17" s="1"/>
  <c r="U32" i="45" l="1"/>
  <c r="S42" i="45"/>
  <c r="T32" i="45"/>
  <c r="R44" i="45"/>
  <c r="S32" i="45"/>
  <c r="T35" i="45"/>
  <c r="U35" i="45" s="1"/>
  <c r="U42" i="45" s="1"/>
  <c r="J8" i="26"/>
  <c r="S44" i="45" l="1"/>
  <c r="T42" i="45"/>
  <c r="T44" i="45" s="1"/>
  <c r="O31" i="44"/>
  <c r="O23" i="44"/>
  <c r="O33" i="44" s="1"/>
  <c r="P30" i="44"/>
  <c r="R30" i="44" s="1"/>
  <c r="K30" i="44"/>
  <c r="F30" i="44"/>
  <c r="P28" i="44"/>
  <c r="R28" i="44" s="1"/>
  <c r="N28" i="44"/>
  <c r="K28" i="44"/>
  <c r="F28" i="44"/>
  <c r="P27" i="44"/>
  <c r="R27" i="44" s="1"/>
  <c r="N27" i="44"/>
  <c r="K27" i="44"/>
  <c r="F27" i="44"/>
  <c r="R22" i="44"/>
  <c r="N22" i="44"/>
  <c r="K22" i="44"/>
  <c r="F22" i="44"/>
  <c r="R21" i="44"/>
  <c r="N21" i="44"/>
  <c r="K21" i="44"/>
  <c r="F21" i="44"/>
  <c r="N20" i="44"/>
  <c r="K20" i="44"/>
  <c r="F20" i="44"/>
  <c r="R19" i="44"/>
  <c r="N19" i="44"/>
  <c r="K19" i="44"/>
  <c r="F19" i="44"/>
  <c r="R18" i="44"/>
  <c r="N18" i="44"/>
  <c r="K18" i="44"/>
  <c r="F18" i="44"/>
  <c r="R17" i="44"/>
  <c r="N17" i="44"/>
  <c r="K17" i="44"/>
  <c r="F17" i="44"/>
  <c r="R16" i="44"/>
  <c r="N16" i="44"/>
  <c r="K16" i="44"/>
  <c r="F16" i="44"/>
  <c r="R15" i="44"/>
  <c r="N15" i="44"/>
  <c r="K15" i="44"/>
  <c r="F15" i="44"/>
  <c r="R14" i="44"/>
  <c r="N14" i="44"/>
  <c r="K14" i="44"/>
  <c r="F14" i="44"/>
  <c r="R13" i="44"/>
  <c r="N13" i="44"/>
  <c r="K13" i="44"/>
  <c r="F13" i="44"/>
  <c r="R12" i="44"/>
  <c r="N12" i="44"/>
  <c r="K12" i="44"/>
  <c r="F12" i="44"/>
  <c r="R11" i="44"/>
  <c r="N11" i="44"/>
  <c r="K11" i="44"/>
  <c r="F11" i="44"/>
  <c r="R10" i="44"/>
  <c r="N10" i="44"/>
  <c r="K10" i="44"/>
  <c r="F10" i="44"/>
  <c r="R9" i="44"/>
  <c r="N9" i="44"/>
  <c r="K9" i="44"/>
  <c r="F9" i="44"/>
  <c r="R8" i="44"/>
  <c r="N8" i="44"/>
  <c r="F8" i="44"/>
  <c r="O62" i="20"/>
  <c r="P61" i="20"/>
  <c r="R61" i="20" s="1"/>
  <c r="N61" i="20"/>
  <c r="K61" i="20"/>
  <c r="F61" i="20"/>
  <c r="P60" i="20"/>
  <c r="R60" i="20" s="1"/>
  <c r="N60" i="20"/>
  <c r="K60" i="20"/>
  <c r="F60" i="20"/>
  <c r="P59" i="20"/>
  <c r="R59" i="20" s="1"/>
  <c r="N59" i="20"/>
  <c r="K59" i="20"/>
  <c r="F59" i="20"/>
  <c r="P58" i="20"/>
  <c r="R58" i="20" s="1"/>
  <c r="N58" i="20"/>
  <c r="K58" i="20"/>
  <c r="F58" i="20"/>
  <c r="P57" i="20"/>
  <c r="R57" i="20" s="1"/>
  <c r="N57" i="20"/>
  <c r="K57" i="20"/>
  <c r="F57" i="20"/>
  <c r="P56" i="20"/>
  <c r="R56" i="20" s="1"/>
  <c r="N56" i="20"/>
  <c r="K56" i="20"/>
  <c r="F56" i="20"/>
  <c r="P53" i="20"/>
  <c r="R53" i="20" s="1"/>
  <c r="N53" i="20"/>
  <c r="K53" i="20"/>
  <c r="F53" i="20"/>
  <c r="O49" i="20"/>
  <c r="O64" i="20" s="1"/>
  <c r="P48" i="20"/>
  <c r="R48" i="20" s="1"/>
  <c r="N48" i="20"/>
  <c r="K48" i="20"/>
  <c r="F48" i="20"/>
  <c r="P47" i="20"/>
  <c r="R47" i="20" s="1"/>
  <c r="N47" i="20"/>
  <c r="K47" i="20"/>
  <c r="F47" i="20"/>
  <c r="P46" i="20"/>
  <c r="R46" i="20" s="1"/>
  <c r="N46" i="20"/>
  <c r="K46" i="20"/>
  <c r="F46" i="20"/>
  <c r="P45" i="20"/>
  <c r="R45" i="20" s="1"/>
  <c r="N45" i="20"/>
  <c r="K45" i="20"/>
  <c r="F45" i="20"/>
  <c r="P44" i="20"/>
  <c r="R44" i="20" s="1"/>
  <c r="N44" i="20"/>
  <c r="K44" i="20"/>
  <c r="F44" i="20"/>
  <c r="P43" i="20"/>
  <c r="R43" i="20" s="1"/>
  <c r="N43" i="20"/>
  <c r="K43" i="20"/>
  <c r="F43" i="20"/>
  <c r="P42" i="20"/>
  <c r="R42" i="20" s="1"/>
  <c r="N42" i="20"/>
  <c r="K42" i="20"/>
  <c r="F42" i="20"/>
  <c r="P41" i="20"/>
  <c r="R41" i="20" s="1"/>
  <c r="N41" i="20"/>
  <c r="K41" i="20"/>
  <c r="F41" i="20"/>
  <c r="P40" i="20"/>
  <c r="R40" i="20" s="1"/>
  <c r="N40" i="20"/>
  <c r="K40" i="20"/>
  <c r="F40" i="20"/>
  <c r="P39" i="20"/>
  <c r="R39" i="20" s="1"/>
  <c r="N39" i="20"/>
  <c r="K39" i="20"/>
  <c r="F39" i="20"/>
  <c r="P38" i="20"/>
  <c r="R38" i="20" s="1"/>
  <c r="N38" i="20"/>
  <c r="K38" i="20"/>
  <c r="F38" i="20"/>
  <c r="P37" i="20"/>
  <c r="R37" i="20" s="1"/>
  <c r="N37" i="20"/>
  <c r="K37" i="20"/>
  <c r="F37" i="20"/>
  <c r="P36" i="20"/>
  <c r="R36" i="20" s="1"/>
  <c r="N36" i="20"/>
  <c r="K36" i="20"/>
  <c r="F36" i="20"/>
  <c r="P35" i="20"/>
  <c r="R35" i="20" s="1"/>
  <c r="N35" i="20"/>
  <c r="K35" i="20"/>
  <c r="F35" i="20"/>
  <c r="P34" i="20"/>
  <c r="R34" i="20" s="1"/>
  <c r="N34" i="20"/>
  <c r="K34" i="20"/>
  <c r="F34" i="20"/>
  <c r="P33" i="20"/>
  <c r="R33" i="20" s="1"/>
  <c r="N33" i="20"/>
  <c r="K33" i="20"/>
  <c r="F33" i="20"/>
  <c r="P32" i="20"/>
  <c r="R32" i="20" s="1"/>
  <c r="N32" i="20"/>
  <c r="K32" i="20"/>
  <c r="F32" i="20"/>
  <c r="P31" i="20"/>
  <c r="R31" i="20" s="1"/>
  <c r="N31" i="20"/>
  <c r="K31" i="20"/>
  <c r="F31" i="20"/>
  <c r="P30" i="20"/>
  <c r="R30" i="20" s="1"/>
  <c r="N30" i="20"/>
  <c r="K30" i="20"/>
  <c r="F30" i="20"/>
  <c r="P29" i="20"/>
  <c r="R29" i="20" s="1"/>
  <c r="N29" i="20"/>
  <c r="K29" i="20"/>
  <c r="F29" i="20"/>
  <c r="P28" i="20"/>
  <c r="R28" i="20" s="1"/>
  <c r="N28" i="20"/>
  <c r="K28" i="20"/>
  <c r="F28" i="20"/>
  <c r="P27" i="20"/>
  <c r="R27" i="20" s="1"/>
  <c r="N27" i="20"/>
  <c r="K27" i="20"/>
  <c r="F27" i="20"/>
  <c r="P26" i="20"/>
  <c r="R26" i="20" s="1"/>
  <c r="N26" i="20"/>
  <c r="K26" i="20"/>
  <c r="F26" i="20"/>
  <c r="P25" i="20"/>
  <c r="R25" i="20" s="1"/>
  <c r="N25" i="20"/>
  <c r="K25" i="20"/>
  <c r="F25" i="20"/>
  <c r="P24" i="20"/>
  <c r="R24" i="20" s="1"/>
  <c r="N24" i="20"/>
  <c r="K24" i="20"/>
  <c r="F24" i="20"/>
  <c r="P23" i="20"/>
  <c r="R23" i="20" s="1"/>
  <c r="N23" i="20"/>
  <c r="K23" i="20"/>
  <c r="F23" i="20"/>
  <c r="P22" i="20"/>
  <c r="R22" i="20" s="1"/>
  <c r="N22" i="20"/>
  <c r="K22" i="20"/>
  <c r="F22" i="20"/>
  <c r="P21" i="20"/>
  <c r="R21" i="20" s="1"/>
  <c r="N21" i="20"/>
  <c r="K21" i="20"/>
  <c r="F21" i="20"/>
  <c r="P20" i="20"/>
  <c r="R20" i="20" s="1"/>
  <c r="N20" i="20"/>
  <c r="K20" i="20"/>
  <c r="F20" i="20"/>
  <c r="P19" i="20"/>
  <c r="R19" i="20" s="1"/>
  <c r="N19" i="20"/>
  <c r="K19" i="20"/>
  <c r="F19" i="20"/>
  <c r="P18" i="20"/>
  <c r="R18" i="20" s="1"/>
  <c r="N18" i="20"/>
  <c r="K18" i="20"/>
  <c r="F18" i="20"/>
  <c r="P17" i="20"/>
  <c r="R17" i="20" s="1"/>
  <c r="N17" i="20"/>
  <c r="K17" i="20"/>
  <c r="F17" i="20"/>
  <c r="P16" i="20"/>
  <c r="R16" i="20" s="1"/>
  <c r="N16" i="20"/>
  <c r="K16" i="20"/>
  <c r="F16" i="20"/>
  <c r="P15" i="20"/>
  <c r="R15" i="20" s="1"/>
  <c r="N15" i="20"/>
  <c r="K15" i="20"/>
  <c r="F15" i="20"/>
  <c r="P14" i="20"/>
  <c r="R14" i="20" s="1"/>
  <c r="N14" i="20"/>
  <c r="K14" i="20"/>
  <c r="F14" i="20"/>
  <c r="P13" i="20"/>
  <c r="R13" i="20" s="1"/>
  <c r="N13" i="20"/>
  <c r="K13" i="20"/>
  <c r="F13" i="20"/>
  <c r="P12" i="20"/>
  <c r="R12" i="20" s="1"/>
  <c r="N12" i="20"/>
  <c r="K12" i="20"/>
  <c r="F12" i="20"/>
  <c r="P11" i="20"/>
  <c r="R11" i="20" s="1"/>
  <c r="N11" i="20"/>
  <c r="K11" i="20"/>
  <c r="F11" i="20"/>
  <c r="P10" i="20"/>
  <c r="R10" i="20" s="1"/>
  <c r="N10" i="20"/>
  <c r="K10" i="20"/>
  <c r="F10" i="20"/>
  <c r="P9" i="20"/>
  <c r="R9" i="20" s="1"/>
  <c r="N9" i="20"/>
  <c r="K9" i="20"/>
  <c r="F9" i="20"/>
  <c r="P8" i="20"/>
  <c r="R8" i="20" s="1"/>
  <c r="N8" i="20"/>
  <c r="K8" i="20"/>
  <c r="F8" i="20"/>
  <c r="P7" i="20"/>
  <c r="K7" i="20"/>
  <c r="F7" i="20"/>
  <c r="P31" i="44" l="1"/>
  <c r="S40" i="20"/>
  <c r="T40" i="20" s="1"/>
  <c r="U40" i="20" s="1"/>
  <c r="S43" i="20"/>
  <c r="T43" i="20" s="1"/>
  <c r="U43" i="20" s="1"/>
  <c r="S44" i="20"/>
  <c r="T44" i="20" s="1"/>
  <c r="U44" i="20" s="1"/>
  <c r="S45" i="20"/>
  <c r="T45" i="20" s="1"/>
  <c r="U45" i="20" s="1"/>
  <c r="S41" i="20"/>
  <c r="T41" i="20" s="1"/>
  <c r="U41" i="20" s="1"/>
  <c r="S46" i="20"/>
  <c r="T46" i="20" s="1"/>
  <c r="U46" i="20" s="1"/>
  <c r="S47" i="20"/>
  <c r="T47" i="20" s="1"/>
  <c r="U47" i="20" s="1"/>
  <c r="S48" i="20"/>
  <c r="T48" i="20" s="1"/>
  <c r="U48" i="20" s="1"/>
  <c r="S11" i="20"/>
  <c r="T11" i="20" s="1"/>
  <c r="U11" i="20" s="1"/>
  <c r="S15" i="20"/>
  <c r="T15" i="20" s="1"/>
  <c r="U15" i="20" s="1"/>
  <c r="S19" i="20"/>
  <c r="T19" i="20" s="1"/>
  <c r="U19" i="20" s="1"/>
  <c r="S23" i="20"/>
  <c r="T23" i="20" s="1"/>
  <c r="U23" i="20" s="1"/>
  <c r="S27" i="20"/>
  <c r="T27" i="20" s="1"/>
  <c r="U27" i="20" s="1"/>
  <c r="S35" i="20"/>
  <c r="T35" i="20" s="1"/>
  <c r="U35" i="20" s="1"/>
  <c r="R62" i="20"/>
  <c r="S8" i="20"/>
  <c r="T8" i="20" s="1"/>
  <c r="U8" i="20" s="1"/>
  <c r="S12" i="20"/>
  <c r="T12" i="20" s="1"/>
  <c r="U12" i="20" s="1"/>
  <c r="S16" i="20"/>
  <c r="T16" i="20" s="1"/>
  <c r="U16" i="20" s="1"/>
  <c r="S20" i="20"/>
  <c r="T20" i="20" s="1"/>
  <c r="U20" i="20" s="1"/>
  <c r="S24" i="20"/>
  <c r="T24" i="20" s="1"/>
  <c r="U24" i="20" s="1"/>
  <c r="S28" i="20"/>
  <c r="T28" i="20" s="1"/>
  <c r="U28" i="20" s="1"/>
  <c r="S36" i="20"/>
  <c r="T36" i="20" s="1"/>
  <c r="U36" i="20" s="1"/>
  <c r="P49" i="20"/>
  <c r="R7" i="20"/>
  <c r="S9" i="20"/>
  <c r="T9" i="20" s="1"/>
  <c r="U9" i="20" s="1"/>
  <c r="S13" i="20"/>
  <c r="T13" i="20" s="1"/>
  <c r="U13" i="20" s="1"/>
  <c r="S17" i="20"/>
  <c r="T17" i="20" s="1"/>
  <c r="U17" i="20" s="1"/>
  <c r="S21" i="20"/>
  <c r="T21" i="20" s="1"/>
  <c r="U21" i="20" s="1"/>
  <c r="S25" i="20"/>
  <c r="T25" i="20" s="1"/>
  <c r="U25" i="20" s="1"/>
  <c r="S33" i="20"/>
  <c r="T33" i="20" s="1"/>
  <c r="U33" i="20" s="1"/>
  <c r="S37" i="20"/>
  <c r="T37" i="20" s="1"/>
  <c r="U37" i="20" s="1"/>
  <c r="S42" i="20"/>
  <c r="T42" i="20" s="1"/>
  <c r="U42" i="20" s="1"/>
  <c r="S10" i="20"/>
  <c r="T10" i="20" s="1"/>
  <c r="U10" i="20" s="1"/>
  <c r="S14" i="20"/>
  <c r="T14" i="20" s="1"/>
  <c r="U14" i="20" s="1"/>
  <c r="S18" i="20"/>
  <c r="T18" i="20" s="1"/>
  <c r="U18" i="20" s="1"/>
  <c r="S22" i="20"/>
  <c r="T22" i="20" s="1"/>
  <c r="U22" i="20" s="1"/>
  <c r="S26" i="20"/>
  <c r="T26" i="20" s="1"/>
  <c r="U26" i="20" s="1"/>
  <c r="S34" i="20"/>
  <c r="T34" i="20" s="1"/>
  <c r="U34" i="20" s="1"/>
  <c r="S38" i="20"/>
  <c r="T38" i="20" s="1"/>
  <c r="U38" i="20" s="1"/>
  <c r="P62" i="20"/>
  <c r="R31" i="44"/>
  <c r="P23" i="44"/>
  <c r="P33" i="44" s="1"/>
  <c r="S8" i="44"/>
  <c r="T8" i="44" s="1"/>
  <c r="U8" i="44" s="1"/>
  <c r="S13" i="44"/>
  <c r="T13" i="44" s="1"/>
  <c r="U13" i="44" s="1"/>
  <c r="S19" i="44"/>
  <c r="T19" i="44" s="1"/>
  <c r="U19" i="44" s="1"/>
  <c r="S10" i="44"/>
  <c r="T10" i="44" s="1"/>
  <c r="U10" i="44" s="1"/>
  <c r="S14" i="44"/>
  <c r="T14" i="44" s="1"/>
  <c r="U14" i="44" s="1"/>
  <c r="S21" i="44"/>
  <c r="T21" i="44" s="1"/>
  <c r="U21" i="44" s="1"/>
  <c r="S11" i="44"/>
  <c r="T11" i="44" s="1"/>
  <c r="U11" i="44" s="1"/>
  <c r="S16" i="44"/>
  <c r="T16" i="44" s="1"/>
  <c r="U16" i="44" s="1"/>
  <c r="S17" i="44"/>
  <c r="T17" i="44" s="1"/>
  <c r="U17" i="44" s="1"/>
  <c r="S20" i="44"/>
  <c r="T20" i="44" s="1"/>
  <c r="U20" i="44" s="1"/>
  <c r="S27" i="44"/>
  <c r="S28" i="44"/>
  <c r="T28" i="44" s="1"/>
  <c r="U28" i="44" s="1"/>
  <c r="S30" i="44"/>
  <c r="T30" i="44" s="1"/>
  <c r="U30" i="44" s="1"/>
  <c r="S9" i="44"/>
  <c r="T9" i="44" s="1"/>
  <c r="U9" i="44" s="1"/>
  <c r="S12" i="44"/>
  <c r="T12" i="44" s="1"/>
  <c r="U12" i="44" s="1"/>
  <c r="S15" i="44"/>
  <c r="T15" i="44" s="1"/>
  <c r="U15" i="44" s="1"/>
  <c r="S18" i="44"/>
  <c r="T18" i="44" s="1"/>
  <c r="U18" i="44" s="1"/>
  <c r="S22" i="44"/>
  <c r="T22" i="44" s="1"/>
  <c r="U22" i="44" s="1"/>
  <c r="R23" i="44"/>
  <c r="R33" i="44" s="1"/>
  <c r="I6" i="19" s="1"/>
  <c r="S39" i="20"/>
  <c r="T39" i="20"/>
  <c r="U39" i="20" s="1"/>
  <c r="S29" i="20"/>
  <c r="S30" i="20"/>
  <c r="T30" i="20" s="1"/>
  <c r="U30" i="20" s="1"/>
  <c r="S31" i="20"/>
  <c r="T31" i="20" s="1"/>
  <c r="U31" i="20" s="1"/>
  <c r="S32" i="20"/>
  <c r="T32" i="20" s="1"/>
  <c r="U32" i="20" s="1"/>
  <c r="S53" i="20"/>
  <c r="T53" i="20" s="1"/>
  <c r="S56" i="20"/>
  <c r="T56" i="20" s="1"/>
  <c r="U56" i="20" s="1"/>
  <c r="S57" i="20"/>
  <c r="T57" i="20" s="1"/>
  <c r="U57" i="20" s="1"/>
  <c r="S58" i="20"/>
  <c r="T58" i="20" s="1"/>
  <c r="U58" i="20" s="1"/>
  <c r="S59" i="20"/>
  <c r="T59" i="20" s="1"/>
  <c r="U59" i="20" s="1"/>
  <c r="S60" i="20"/>
  <c r="T60" i="20" s="1"/>
  <c r="U60" i="20" s="1"/>
  <c r="S61" i="20"/>
  <c r="T61" i="20" s="1"/>
  <c r="U61" i="20" s="1"/>
  <c r="J11" i="17"/>
  <c r="I11" i="17"/>
  <c r="J10" i="17"/>
  <c r="I10" i="17"/>
  <c r="S7" i="20" l="1"/>
  <c r="S49" i="20" s="1"/>
  <c r="R49" i="20"/>
  <c r="R64" i="20" s="1"/>
  <c r="I4" i="19" s="1"/>
  <c r="I10" i="19" s="1"/>
  <c r="P64" i="20"/>
  <c r="T29" i="20"/>
  <c r="U29" i="20" s="1"/>
  <c r="T27" i="44"/>
  <c r="S31" i="44"/>
  <c r="U53" i="20"/>
  <c r="U62" i="20" s="1"/>
  <c r="T62" i="20"/>
  <c r="S62" i="20"/>
  <c r="Q18" i="5"/>
  <c r="T31" i="50"/>
  <c r="T30" i="50"/>
  <c r="T29" i="50"/>
  <c r="T28" i="50"/>
  <c r="T27" i="50"/>
  <c r="T26" i="50"/>
  <c r="T25" i="50"/>
  <c r="T24" i="50"/>
  <c r="T23" i="50"/>
  <c r="N31" i="50"/>
  <c r="N30" i="50"/>
  <c r="N29" i="50"/>
  <c r="N28" i="50"/>
  <c r="N27" i="50"/>
  <c r="N26" i="50"/>
  <c r="N25" i="50"/>
  <c r="N24" i="50"/>
  <c r="N23" i="50"/>
  <c r="N11" i="50"/>
  <c r="N12" i="50"/>
  <c r="N13" i="50"/>
  <c r="N14" i="50"/>
  <c r="N15" i="50"/>
  <c r="N16" i="50"/>
  <c r="N17" i="50"/>
  <c r="N18" i="50"/>
  <c r="N10" i="50"/>
  <c r="O15" i="5"/>
  <c r="N15" i="5"/>
  <c r="N6" i="5"/>
  <c r="O6" i="5" s="1"/>
  <c r="Q6" i="5" s="1"/>
  <c r="N7" i="5"/>
  <c r="O7" i="5" s="1"/>
  <c r="Q7" i="5" s="1"/>
  <c r="N8" i="5"/>
  <c r="O8" i="5"/>
  <c r="Q8" i="5" s="1"/>
  <c r="N9" i="5"/>
  <c r="O9" i="5"/>
  <c r="Q9" i="5"/>
  <c r="N10" i="5"/>
  <c r="O10" i="5" s="1"/>
  <c r="Q10" i="5" s="1"/>
  <c r="N11" i="5"/>
  <c r="O11" i="5" s="1"/>
  <c r="Q11" i="5" s="1"/>
  <c r="N12" i="5"/>
  <c r="O12" i="5"/>
  <c r="Q12" i="5" s="1"/>
  <c r="N13" i="5"/>
  <c r="O13" i="5"/>
  <c r="Q13" i="5"/>
  <c r="N14" i="5"/>
  <c r="O14" i="5" s="1"/>
  <c r="Q14" i="5" s="1"/>
  <c r="N5" i="5"/>
  <c r="O5" i="5" s="1"/>
  <c r="Q5" i="5" s="1"/>
  <c r="H6" i="5"/>
  <c r="K6" i="5"/>
  <c r="H7" i="5"/>
  <c r="K7" i="5"/>
  <c r="H8" i="5"/>
  <c r="K8" i="5"/>
  <c r="H9" i="5"/>
  <c r="K9" i="5"/>
  <c r="H10" i="5"/>
  <c r="K10" i="5"/>
  <c r="H11" i="5"/>
  <c r="K11" i="5"/>
  <c r="H12" i="5"/>
  <c r="K12" i="5"/>
  <c r="H13" i="5"/>
  <c r="K13" i="5"/>
  <c r="H14" i="5"/>
  <c r="K14" i="5"/>
  <c r="K5" i="5"/>
  <c r="H5" i="5"/>
  <c r="M15" i="5"/>
  <c r="L15" i="5"/>
  <c r="N35" i="12"/>
  <c r="O35" i="12" s="1"/>
  <c r="Q35" i="12" s="1"/>
  <c r="H7" i="12"/>
  <c r="K7" i="12"/>
  <c r="N7" i="12" s="1"/>
  <c r="O7" i="12" s="1"/>
  <c r="Q7" i="12" s="1"/>
  <c r="H8" i="12"/>
  <c r="K8" i="12"/>
  <c r="N8" i="12" s="1"/>
  <c r="O8" i="12" s="1"/>
  <c r="Q8" i="12" s="1"/>
  <c r="H9" i="12"/>
  <c r="K9" i="12"/>
  <c r="N9" i="12" s="1"/>
  <c r="O9" i="12" s="1"/>
  <c r="Q9" i="12" s="1"/>
  <c r="H10" i="12"/>
  <c r="K10" i="12"/>
  <c r="N10" i="12" s="1"/>
  <c r="O10" i="12" s="1"/>
  <c r="Q10" i="12" s="1"/>
  <c r="H11" i="12"/>
  <c r="K11" i="12"/>
  <c r="N11" i="12" s="1"/>
  <c r="O11" i="12" s="1"/>
  <c r="Q11" i="12" s="1"/>
  <c r="H12" i="12"/>
  <c r="K12" i="12"/>
  <c r="N12" i="12" s="1"/>
  <c r="O12" i="12" s="1"/>
  <c r="Q12" i="12" s="1"/>
  <c r="H13" i="12"/>
  <c r="K13" i="12"/>
  <c r="N13" i="12" s="1"/>
  <c r="O13" i="12" s="1"/>
  <c r="Q13" i="12" s="1"/>
  <c r="H14" i="12"/>
  <c r="K14" i="12"/>
  <c r="N14" i="12" s="1"/>
  <c r="O14" i="12" s="1"/>
  <c r="Q14" i="12" s="1"/>
  <c r="H15" i="12"/>
  <c r="K15" i="12"/>
  <c r="N15" i="12" s="1"/>
  <c r="O15" i="12" s="1"/>
  <c r="Q15" i="12" s="1"/>
  <c r="H16" i="12"/>
  <c r="K16" i="12"/>
  <c r="N16" i="12" s="1"/>
  <c r="O16" i="12" s="1"/>
  <c r="Q16" i="12" s="1"/>
  <c r="H17" i="12"/>
  <c r="K17" i="12"/>
  <c r="N17" i="12" s="1"/>
  <c r="O17" i="12" s="1"/>
  <c r="Q17" i="12" s="1"/>
  <c r="H18" i="12"/>
  <c r="K18" i="12"/>
  <c r="N18" i="12" s="1"/>
  <c r="O18" i="12" s="1"/>
  <c r="Q18" i="12" s="1"/>
  <c r="H19" i="12"/>
  <c r="K19" i="12"/>
  <c r="N19" i="12" s="1"/>
  <c r="O19" i="12" s="1"/>
  <c r="Q19" i="12" s="1"/>
  <c r="H20" i="12"/>
  <c r="K20" i="12"/>
  <c r="N20" i="12" s="1"/>
  <c r="O20" i="12" s="1"/>
  <c r="Q20" i="12" s="1"/>
  <c r="H21" i="12"/>
  <c r="K21" i="12"/>
  <c r="N21" i="12" s="1"/>
  <c r="O21" i="12" s="1"/>
  <c r="Q21" i="12" s="1"/>
  <c r="H22" i="12"/>
  <c r="K22" i="12"/>
  <c r="N22" i="12" s="1"/>
  <c r="O22" i="12" s="1"/>
  <c r="Q22" i="12" s="1"/>
  <c r="H23" i="12"/>
  <c r="K23" i="12"/>
  <c r="N23" i="12" s="1"/>
  <c r="O23" i="12" s="1"/>
  <c r="Q23" i="12" s="1"/>
  <c r="H24" i="12"/>
  <c r="K24" i="12"/>
  <c r="N24" i="12" s="1"/>
  <c r="O24" i="12" s="1"/>
  <c r="Q24" i="12" s="1"/>
  <c r="H25" i="12"/>
  <c r="K25" i="12"/>
  <c r="N25" i="12" s="1"/>
  <c r="O25" i="12" s="1"/>
  <c r="Q25" i="12" s="1"/>
  <c r="H26" i="12"/>
  <c r="K26" i="12"/>
  <c r="N26" i="12" s="1"/>
  <c r="O26" i="12" s="1"/>
  <c r="Q26" i="12" s="1"/>
  <c r="H27" i="12"/>
  <c r="K27" i="12"/>
  <c r="N27" i="12" s="1"/>
  <c r="O27" i="12" s="1"/>
  <c r="Q27" i="12" s="1"/>
  <c r="H28" i="12"/>
  <c r="K28" i="12"/>
  <c r="N28" i="12" s="1"/>
  <c r="O28" i="12" s="1"/>
  <c r="Q28" i="12" s="1"/>
  <c r="H29" i="12"/>
  <c r="K29" i="12"/>
  <c r="N29" i="12" s="1"/>
  <c r="O29" i="12" s="1"/>
  <c r="Q29" i="12" s="1"/>
  <c r="H30" i="12"/>
  <c r="K30" i="12"/>
  <c r="N30" i="12" s="1"/>
  <c r="O30" i="12" s="1"/>
  <c r="Q30" i="12" s="1"/>
  <c r="H31" i="12"/>
  <c r="K31" i="12"/>
  <c r="N31" i="12" s="1"/>
  <c r="O31" i="12" s="1"/>
  <c r="Q31" i="12" s="1"/>
  <c r="H32" i="12"/>
  <c r="K32" i="12"/>
  <c r="N32" i="12" s="1"/>
  <c r="O32" i="12" s="1"/>
  <c r="Q32" i="12" s="1"/>
  <c r="H33" i="12"/>
  <c r="K33" i="12"/>
  <c r="N33" i="12" s="1"/>
  <c r="O33" i="12" s="1"/>
  <c r="Q33" i="12" s="1"/>
  <c r="H34" i="12"/>
  <c r="K34" i="12"/>
  <c r="N34" i="12" s="1"/>
  <c r="O34" i="12" s="1"/>
  <c r="Q34" i="12" s="1"/>
  <c r="H35" i="12"/>
  <c r="K35" i="12"/>
  <c r="K6" i="12"/>
  <c r="N6" i="12" s="1"/>
  <c r="O6" i="12" s="1"/>
  <c r="Q6" i="12" s="1"/>
  <c r="H6" i="12"/>
  <c r="K5" i="12"/>
  <c r="N5" i="12" s="1"/>
  <c r="O5" i="12" s="1"/>
  <c r="Q5" i="12" s="1"/>
  <c r="H5" i="12"/>
  <c r="M36" i="12"/>
  <c r="L36" i="12"/>
  <c r="M21" i="6"/>
  <c r="L21" i="6"/>
  <c r="N12" i="6"/>
  <c r="O12" i="6"/>
  <c r="Q12" i="6"/>
  <c r="N4" i="6"/>
  <c r="O4" i="6" s="1"/>
  <c r="Q4" i="6" s="1"/>
  <c r="H6" i="6"/>
  <c r="K6" i="6"/>
  <c r="N6" i="6" s="1"/>
  <c r="O6" i="6" s="1"/>
  <c r="Q6" i="6" s="1"/>
  <c r="H7" i="6"/>
  <c r="K7" i="6"/>
  <c r="N7" i="6" s="1"/>
  <c r="O7" i="6" s="1"/>
  <c r="Q7" i="6" s="1"/>
  <c r="H8" i="6"/>
  <c r="K8" i="6"/>
  <c r="N8" i="6" s="1"/>
  <c r="O8" i="6" s="1"/>
  <c r="Q8" i="6" s="1"/>
  <c r="H9" i="6"/>
  <c r="K9" i="6"/>
  <c r="N9" i="6" s="1"/>
  <c r="O9" i="6" s="1"/>
  <c r="Q9" i="6" s="1"/>
  <c r="H10" i="6"/>
  <c r="K10" i="6"/>
  <c r="N10" i="6" s="1"/>
  <c r="O10" i="6" s="1"/>
  <c r="Q10" i="6" s="1"/>
  <c r="H11" i="6"/>
  <c r="K11" i="6"/>
  <c r="N11" i="6" s="1"/>
  <c r="O11" i="6" s="1"/>
  <c r="Q11" i="6" s="1"/>
  <c r="H12" i="6"/>
  <c r="K12" i="6"/>
  <c r="H13" i="6"/>
  <c r="K13" i="6"/>
  <c r="N13" i="6" s="1"/>
  <c r="O13" i="6" s="1"/>
  <c r="Q13" i="6" s="1"/>
  <c r="H14" i="6"/>
  <c r="K14" i="6"/>
  <c r="N14" i="6" s="1"/>
  <c r="O14" i="6" s="1"/>
  <c r="Q14" i="6" s="1"/>
  <c r="H15" i="6"/>
  <c r="K15" i="6"/>
  <c r="N15" i="6" s="1"/>
  <c r="O15" i="6" s="1"/>
  <c r="Q15" i="6" s="1"/>
  <c r="H16" i="6"/>
  <c r="K16" i="6"/>
  <c r="N16" i="6" s="1"/>
  <c r="O16" i="6" s="1"/>
  <c r="Q16" i="6" s="1"/>
  <c r="H17" i="6"/>
  <c r="K17" i="6"/>
  <c r="N17" i="6" s="1"/>
  <c r="O17" i="6" s="1"/>
  <c r="Q17" i="6" s="1"/>
  <c r="H18" i="6"/>
  <c r="K18" i="6"/>
  <c r="N18" i="6" s="1"/>
  <c r="Q18" i="6" s="1"/>
  <c r="H19" i="6"/>
  <c r="K19" i="6"/>
  <c r="N19" i="6" s="1"/>
  <c r="O19" i="6" s="1"/>
  <c r="Q19" i="6" s="1"/>
  <c r="H20" i="6"/>
  <c r="K20" i="6"/>
  <c r="N20" i="6" s="1"/>
  <c r="O20" i="6" s="1"/>
  <c r="Q20" i="6" s="1"/>
  <c r="K5" i="6"/>
  <c r="N5" i="6" s="1"/>
  <c r="O5" i="6" s="1"/>
  <c r="Q5" i="6" s="1"/>
  <c r="H5" i="6"/>
  <c r="H4" i="6"/>
  <c r="K4" i="6"/>
  <c r="J11" i="28" l="1"/>
  <c r="L12" i="19"/>
  <c r="S64" i="20"/>
  <c r="T7" i="20"/>
  <c r="T23" i="44"/>
  <c r="U23" i="44"/>
  <c r="S23" i="44"/>
  <c r="S33" i="44" s="1"/>
  <c r="U27" i="44"/>
  <c r="U31" i="44" s="1"/>
  <c r="T31" i="44"/>
  <c r="Q15" i="5"/>
  <c r="Q36" i="12"/>
  <c r="N36" i="12"/>
  <c r="O36" i="12"/>
  <c r="Q21" i="6"/>
  <c r="N21" i="6"/>
  <c r="O21" i="6"/>
  <c r="N9" i="7"/>
  <c r="O9" i="7" s="1"/>
  <c r="Q9" i="7" s="1"/>
  <c r="N13" i="7"/>
  <c r="O13" i="7" s="1"/>
  <c r="Q13" i="7" s="1"/>
  <c r="N17" i="7"/>
  <c r="O17" i="7" s="1"/>
  <c r="Q17" i="7" s="1"/>
  <c r="N21" i="7"/>
  <c r="N25" i="7"/>
  <c r="O25" i="7" s="1"/>
  <c r="Q25" i="7" s="1"/>
  <c r="N6" i="46"/>
  <c r="N5" i="46"/>
  <c r="N4" i="46"/>
  <c r="O21" i="7"/>
  <c r="Q21" i="7" s="1"/>
  <c r="H7" i="7"/>
  <c r="K7" i="7"/>
  <c r="N7" i="7" s="1"/>
  <c r="O7" i="7" s="1"/>
  <c r="Q7" i="7" s="1"/>
  <c r="H8" i="7"/>
  <c r="K8" i="7"/>
  <c r="N8" i="7" s="1"/>
  <c r="O8" i="7" s="1"/>
  <c r="Q8" i="7" s="1"/>
  <c r="H9" i="7"/>
  <c r="K9" i="7"/>
  <c r="H10" i="7"/>
  <c r="K10" i="7"/>
  <c r="N10" i="7" s="1"/>
  <c r="O10" i="7" s="1"/>
  <c r="Q10" i="7" s="1"/>
  <c r="H11" i="7"/>
  <c r="K11" i="7"/>
  <c r="N11" i="7" s="1"/>
  <c r="O11" i="7" s="1"/>
  <c r="Q11" i="7" s="1"/>
  <c r="H12" i="7"/>
  <c r="K12" i="7"/>
  <c r="N12" i="7" s="1"/>
  <c r="O12" i="7" s="1"/>
  <c r="Q12" i="7" s="1"/>
  <c r="H13" i="7"/>
  <c r="K13" i="7"/>
  <c r="H14" i="7"/>
  <c r="K14" i="7"/>
  <c r="N14" i="7" s="1"/>
  <c r="O14" i="7" s="1"/>
  <c r="Q14" i="7" s="1"/>
  <c r="H15" i="7"/>
  <c r="K15" i="7"/>
  <c r="N15" i="7" s="1"/>
  <c r="O15" i="7" s="1"/>
  <c r="Q15" i="7" s="1"/>
  <c r="H16" i="7"/>
  <c r="K16" i="7"/>
  <c r="N16" i="7" s="1"/>
  <c r="O16" i="7" s="1"/>
  <c r="Q16" i="7" s="1"/>
  <c r="H17" i="7"/>
  <c r="K17" i="7"/>
  <c r="H18" i="7"/>
  <c r="K18" i="7"/>
  <c r="N18" i="7" s="1"/>
  <c r="O18" i="7" s="1"/>
  <c r="Q18" i="7" s="1"/>
  <c r="H19" i="7"/>
  <c r="K19" i="7"/>
  <c r="N19" i="7" s="1"/>
  <c r="O19" i="7" s="1"/>
  <c r="Q19" i="7" s="1"/>
  <c r="H20" i="7"/>
  <c r="K20" i="7"/>
  <c r="N20" i="7" s="1"/>
  <c r="O20" i="7" s="1"/>
  <c r="Q20" i="7" s="1"/>
  <c r="H21" i="7"/>
  <c r="K21" i="7"/>
  <c r="H22" i="7"/>
  <c r="K22" i="7"/>
  <c r="N22" i="7" s="1"/>
  <c r="O22" i="7" s="1"/>
  <c r="Q22" i="7" s="1"/>
  <c r="H23" i="7"/>
  <c r="K23" i="7"/>
  <c r="N23" i="7" s="1"/>
  <c r="O23" i="7" s="1"/>
  <c r="Q23" i="7" s="1"/>
  <c r="H24" i="7"/>
  <c r="K24" i="7"/>
  <c r="N24" i="7" s="1"/>
  <c r="O24" i="7" s="1"/>
  <c r="Q24" i="7" s="1"/>
  <c r="H25" i="7"/>
  <c r="K25" i="7"/>
  <c r="H5" i="7"/>
  <c r="K5" i="7"/>
  <c r="N5" i="7" s="1"/>
  <c r="O5" i="7" s="1"/>
  <c r="Q6" i="46"/>
  <c r="O6" i="46"/>
  <c r="O5" i="46"/>
  <c r="Q5" i="46" s="1"/>
  <c r="O4" i="46"/>
  <c r="Q4" i="46" s="1"/>
  <c r="H6" i="7"/>
  <c r="K6" i="7"/>
  <c r="N6" i="7" s="1"/>
  <c r="O6" i="7" s="1"/>
  <c r="Q6" i="7" s="1"/>
  <c r="M26" i="7"/>
  <c r="L26" i="7"/>
  <c r="H5" i="46"/>
  <c r="K5" i="46"/>
  <c r="H6" i="46"/>
  <c r="K6" i="46"/>
  <c r="K4" i="46"/>
  <c r="H4" i="46"/>
  <c r="M7" i="46"/>
  <c r="L7" i="46"/>
  <c r="G3" i="47"/>
  <c r="O4" i="47"/>
  <c r="O5" i="47"/>
  <c r="O6" i="47"/>
  <c r="O7" i="47"/>
  <c r="O8" i="47"/>
  <c r="O9" i="47"/>
  <c r="O10" i="47"/>
  <c r="O11" i="47"/>
  <c r="O12" i="47"/>
  <c r="O13" i="47"/>
  <c r="O14" i="47"/>
  <c r="O15" i="47"/>
  <c r="O16" i="47"/>
  <c r="O17" i="47"/>
  <c r="O18" i="47"/>
  <c r="O19" i="47"/>
  <c r="O20" i="47"/>
  <c r="O21" i="47"/>
  <c r="O3" i="47"/>
  <c r="G4" i="47"/>
  <c r="K4" i="47"/>
  <c r="G5" i="47"/>
  <c r="K5" i="47"/>
  <c r="G6" i="47"/>
  <c r="K6" i="47"/>
  <c r="G7" i="47"/>
  <c r="K7" i="47"/>
  <c r="G8" i="47"/>
  <c r="K8" i="47"/>
  <c r="G9" i="47"/>
  <c r="K9" i="47"/>
  <c r="G10" i="47"/>
  <c r="K10" i="47"/>
  <c r="G11" i="47"/>
  <c r="K11" i="47"/>
  <c r="G12" i="47"/>
  <c r="K12" i="47"/>
  <c r="G13" i="47"/>
  <c r="K13" i="47"/>
  <c r="G14" i="47"/>
  <c r="K14" i="47"/>
  <c r="G15" i="47"/>
  <c r="K15" i="47"/>
  <c r="G16" i="47"/>
  <c r="K16" i="47"/>
  <c r="G17" i="47"/>
  <c r="K17" i="47"/>
  <c r="G18" i="47"/>
  <c r="K18" i="47"/>
  <c r="G19" i="47"/>
  <c r="K19" i="47"/>
  <c r="G20" i="47"/>
  <c r="K20" i="47"/>
  <c r="G21" i="47"/>
  <c r="K21" i="47"/>
  <c r="K3" i="47"/>
  <c r="O4" i="48"/>
  <c r="O5" i="48"/>
  <c r="O6" i="48"/>
  <c r="O3" i="48"/>
  <c r="K6" i="48"/>
  <c r="G6" i="48"/>
  <c r="K5" i="48"/>
  <c r="G5" i="48"/>
  <c r="K4" i="48"/>
  <c r="G4" i="48"/>
  <c r="K3" i="48"/>
  <c r="G3" i="48"/>
  <c r="O4" i="49"/>
  <c r="O5" i="49"/>
  <c r="O6" i="49"/>
  <c r="O3" i="49"/>
  <c r="P21" i="47" l="1"/>
  <c r="P19" i="47"/>
  <c r="Q19" i="47" s="1"/>
  <c r="S19" i="47" s="1"/>
  <c r="P13" i="47"/>
  <c r="Q13" i="47" s="1"/>
  <c r="S13" i="47" s="1"/>
  <c r="P11" i="47"/>
  <c r="U7" i="20"/>
  <c r="U49" i="20" s="1"/>
  <c r="U64" i="20" s="1"/>
  <c r="J4" i="19" s="1"/>
  <c r="T49" i="20"/>
  <c r="T64" i="20" s="1"/>
  <c r="T33" i="44"/>
  <c r="U33" i="44"/>
  <c r="J6" i="19" s="1"/>
  <c r="P4" i="48"/>
  <c r="Q4" i="48" s="1"/>
  <c r="S4" i="48" s="1"/>
  <c r="O7" i="49"/>
  <c r="K11" i="17" s="1"/>
  <c r="P6" i="48"/>
  <c r="Q6" i="48" s="1"/>
  <c r="S6" i="48" s="1"/>
  <c r="P5" i="48"/>
  <c r="Q5" i="48" s="1"/>
  <c r="S5" i="48" s="1"/>
  <c r="O7" i="48"/>
  <c r="K10" i="17" s="1"/>
  <c r="P15" i="47"/>
  <c r="Q15" i="47" s="1"/>
  <c r="S15" i="47" s="1"/>
  <c r="P7" i="47"/>
  <c r="Q7" i="47" s="1"/>
  <c r="S7" i="47" s="1"/>
  <c r="Q11" i="47"/>
  <c r="S11" i="47" s="1"/>
  <c r="P20" i="47"/>
  <c r="P18" i="47"/>
  <c r="Q18" i="47" s="1"/>
  <c r="S18" i="47" s="1"/>
  <c r="P16" i="47"/>
  <c r="Q16" i="47" s="1"/>
  <c r="S16" i="47" s="1"/>
  <c r="P14" i="47"/>
  <c r="Q14" i="47" s="1"/>
  <c r="S14" i="47" s="1"/>
  <c r="P12" i="47"/>
  <c r="Q12" i="47" s="1"/>
  <c r="S12" i="47" s="1"/>
  <c r="P10" i="47"/>
  <c r="Q10" i="47" s="1"/>
  <c r="S10" i="47" s="1"/>
  <c r="P8" i="47"/>
  <c r="Q8" i="47" s="1"/>
  <c r="S8" i="47" s="1"/>
  <c r="P6" i="47"/>
  <c r="Q6" i="47" s="1"/>
  <c r="S6" i="47" s="1"/>
  <c r="P4" i="47"/>
  <c r="Q4" i="47" s="1"/>
  <c r="S4" i="47" s="1"/>
  <c r="Q21" i="47"/>
  <c r="S21" i="47" s="1"/>
  <c r="P17" i="47"/>
  <c r="Q17" i="47" s="1"/>
  <c r="S17" i="47" s="1"/>
  <c r="P9" i="47"/>
  <c r="Q9" i="47" s="1"/>
  <c r="S9" i="47" s="1"/>
  <c r="P5" i="47"/>
  <c r="Q5" i="47" s="1"/>
  <c r="S5" i="47" s="1"/>
  <c r="Q20" i="47"/>
  <c r="S20" i="47" s="1"/>
  <c r="O22" i="47"/>
  <c r="K9" i="17" s="1"/>
  <c r="Q5" i="7"/>
  <c r="Q26" i="7" s="1"/>
  <c r="O26" i="7"/>
  <c r="N26" i="7"/>
  <c r="Q7" i="46"/>
  <c r="O7" i="46"/>
  <c r="N7" i="46"/>
  <c r="P3" i="47"/>
  <c r="P3" i="48"/>
  <c r="K17" i="17" l="1"/>
  <c r="J10" i="19"/>
  <c r="J11" i="19" s="1"/>
  <c r="K11" i="28" s="1"/>
  <c r="P22" i="47"/>
  <c r="Q3" i="47"/>
  <c r="S3" i="47" s="1"/>
  <c r="S22" i="47" s="1"/>
  <c r="L9" i="17" s="1"/>
  <c r="Q3" i="48"/>
  <c r="P7" i="48"/>
  <c r="J12" i="28" l="1"/>
  <c r="P17" i="17"/>
  <c r="L10" i="19"/>
  <c r="Q22" i="47"/>
  <c r="S3" i="48"/>
  <c r="S7" i="48" s="1"/>
  <c r="L10" i="17" s="1"/>
  <c r="Q7" i="48"/>
  <c r="K4" i="49" l="1"/>
  <c r="K5" i="49"/>
  <c r="K6" i="49"/>
  <c r="K3" i="49"/>
  <c r="G4" i="49"/>
  <c r="G5" i="49"/>
  <c r="G6" i="49"/>
  <c r="G3" i="49"/>
  <c r="M7" i="49"/>
  <c r="L7" i="49"/>
  <c r="M7" i="48"/>
  <c r="L7" i="48"/>
  <c r="M22" i="47"/>
  <c r="J9" i="17" s="1"/>
  <c r="J17" i="17" s="1"/>
  <c r="I12" i="28" s="1"/>
  <c r="L22" i="47"/>
  <c r="I9" i="17" s="1"/>
  <c r="I17" i="17" s="1"/>
  <c r="H12" i="28" l="1"/>
  <c r="O17" i="17"/>
  <c r="P3" i="49"/>
  <c r="P6" i="49"/>
  <c r="Q6" i="49" s="1"/>
  <c r="S6" i="49" s="1"/>
  <c r="P5" i="49"/>
  <c r="Q5" i="49" s="1"/>
  <c r="S5" i="49" s="1"/>
  <c r="P4" i="49"/>
  <c r="Q4" i="49" s="1"/>
  <c r="S4" i="49" s="1"/>
  <c r="M5" i="26"/>
  <c r="P7" i="49" l="1"/>
  <c r="Q3" i="49"/>
  <c r="S3" i="49" l="1"/>
  <c r="S7" i="49" s="1"/>
  <c r="Q7" i="49"/>
  <c r="L11" i="17" l="1"/>
  <c r="L17" i="17" s="1"/>
  <c r="K12" i="28" s="1"/>
  <c r="M7" i="26" l="1"/>
  <c r="N7" i="26" s="1"/>
  <c r="M6" i="26"/>
  <c r="N6" i="26" s="1"/>
  <c r="K6" i="26"/>
  <c r="H8" i="26"/>
  <c r="I7" i="26"/>
  <c r="I6" i="26"/>
  <c r="I5" i="26"/>
  <c r="K5" i="26" l="1"/>
  <c r="K7" i="26"/>
  <c r="I8" i="26"/>
  <c r="H10" i="28" l="1"/>
  <c r="I10" i="28" s="1"/>
  <c r="I14" i="28" l="1"/>
  <c r="N5" i="26" l="1"/>
  <c r="N8" i="26" s="1"/>
  <c r="J10" i="28" l="1"/>
  <c r="K10" i="28" s="1"/>
  <c r="D14" i="28"/>
  <c r="H14" i="28" l="1"/>
  <c r="K14" i="28" l="1"/>
  <c r="M19" i="28" l="1"/>
  <c r="J19" i="28" s="1"/>
  <c r="M18" i="28"/>
  <c r="J18" i="28" s="1"/>
  <c r="M17" i="28"/>
  <c r="J17" i="28" s="1"/>
  <c r="J14" i="28"/>
  <c r="R17" i="17"/>
  <c r="M16" i="28" l="1"/>
  <c r="J16" i="28" s="1"/>
  <c r="M23" i="28" l="1"/>
</calcChain>
</file>

<file path=xl/comments1.xml><?xml version="1.0" encoding="utf-8"?>
<comments xmlns="http://schemas.openxmlformats.org/spreadsheetml/2006/main">
  <authors>
    <author>Mohd.Umair</author>
  </authors>
  <commentList>
    <comment ref="J5" authorId="0" shapeId="0">
      <text>
        <r>
          <rPr>
            <b/>
            <sz val="9"/>
            <color indexed="81"/>
            <rFont val="Tahoma"/>
            <charset val="1"/>
          </rPr>
          <t>Mohd.Umair:</t>
        </r>
        <r>
          <rPr>
            <sz val="9"/>
            <color indexed="81"/>
            <rFont val="Tahoma"/>
            <charset val="1"/>
          </rPr>
          <t xml:space="preserve">
should we need to take the value or ignore the cost of land</t>
        </r>
      </text>
    </comment>
  </commentList>
</comments>
</file>

<file path=xl/sharedStrings.xml><?xml version="1.0" encoding="utf-8"?>
<sst xmlns="http://schemas.openxmlformats.org/spreadsheetml/2006/main" count="989" uniqueCount="398">
  <si>
    <t>Office Equipment</t>
  </si>
  <si>
    <t>Vehicles</t>
  </si>
  <si>
    <t>Sr. No.</t>
  </si>
  <si>
    <t>Description of Assets</t>
  </si>
  <si>
    <t>Date of Capitalization</t>
  </si>
  <si>
    <t>Date of Valuation</t>
  </si>
  <si>
    <t>Life Consumed                    (Years)</t>
  </si>
  <si>
    <t>Depreciation Factor</t>
  </si>
  <si>
    <t>Cost of Capitalization</t>
  </si>
  <si>
    <t>% Inflation</t>
  </si>
  <si>
    <t>Depreciation</t>
  </si>
  <si>
    <t>Current Depreciated Market Value</t>
  </si>
  <si>
    <t>Total</t>
  </si>
  <si>
    <t>Estimated Economic life of the Assets                                     (Years)</t>
  </si>
  <si>
    <t>Items</t>
  </si>
  <si>
    <t>Notes:</t>
  </si>
  <si>
    <t>2. Asset items of different classes are grouped together and summarized seperately. Detailed valuation sheet with calculation can be referred in attached annexures.</t>
  </si>
  <si>
    <t>Sr.No</t>
  </si>
  <si>
    <t>Particulars</t>
  </si>
  <si>
    <t>Note:</t>
  </si>
  <si>
    <t>1.All the details related to the Buildings and civil work has been provided by Company and all the details are relied upon for the assessent.</t>
  </si>
  <si>
    <t>3. Building Area Statement has been provided to us by the company management. On the provided details we have inspected through sample measurement which was found to be approximately same.</t>
  </si>
  <si>
    <t>Salvage Value</t>
  </si>
  <si>
    <t>Depreciated Value</t>
  </si>
  <si>
    <t>Annexure</t>
  </si>
  <si>
    <t>B</t>
  </si>
  <si>
    <t>CONSOLIDATED VALUATION ASSESSMENT OF ASSETS OF THE PROJECT</t>
  </si>
  <si>
    <t>Sr. No</t>
  </si>
  <si>
    <t xml:space="preserve">Particulars </t>
  </si>
  <si>
    <t>Cost of Capitalization as per FAR (INR)</t>
  </si>
  <si>
    <t>Land (A)</t>
  </si>
  <si>
    <t>Buildings &amp; Civil Structure (B)</t>
  </si>
  <si>
    <t>Plant &amp; Machinery ( C)</t>
  </si>
  <si>
    <t>Total Prospective Fair Market Value# (A+B+C)</t>
  </si>
  <si>
    <t>ROUND OFF VALUE</t>
  </si>
  <si>
    <t xml:space="preserve"> - </t>
  </si>
  <si>
    <t>LIQUIDATION VALUE OF CURRENT ASSETS</t>
  </si>
  <si>
    <t>LIQUIDATION VALUE OF PROJECT INCLUDING CURRENT ASSETS</t>
  </si>
  <si>
    <t>Total Fair Market Value</t>
  </si>
  <si>
    <t>1. The land area details of the subject project has been taken on the basis of information provided by the company.</t>
  </si>
  <si>
    <t>EV</t>
  </si>
  <si>
    <t>Net Block</t>
  </si>
  <si>
    <t>Obselence Factor</t>
  </si>
  <si>
    <t>Gross Current Reproduction Cost (GCRC)</t>
  </si>
  <si>
    <r>
      <t xml:space="preserve">Area
</t>
    </r>
    <r>
      <rPr>
        <b/>
        <i/>
        <sz val="10"/>
        <rFont val="Calibri"/>
        <family val="2"/>
        <scheme val="minor"/>
      </rPr>
      <t>(in Acres)</t>
    </r>
  </si>
  <si>
    <r>
      <t xml:space="preserve">Area
</t>
    </r>
    <r>
      <rPr>
        <b/>
        <i/>
        <sz val="10"/>
        <rFont val="Calibri"/>
        <family val="2"/>
        <scheme val="minor"/>
      </rPr>
      <t>(in sq.mtr.)</t>
    </r>
  </si>
  <si>
    <r>
      <t xml:space="preserve">10% Premium for cost &amp; effort consideration to cover administrative cost, effort toward land consilidation &amp; land conversation Charges
</t>
    </r>
    <r>
      <rPr>
        <b/>
        <i/>
        <sz val="10"/>
        <rFont val="Calibri"/>
        <family val="2"/>
        <scheme val="minor"/>
      </rPr>
      <t>(in per acres)</t>
    </r>
  </si>
  <si>
    <t>AIR COMPRESSOR</t>
  </si>
  <si>
    <t>FORK LIFT</t>
  </si>
  <si>
    <t>Printer</t>
  </si>
  <si>
    <t>Computer</t>
  </si>
  <si>
    <t>Steel Almirah</t>
  </si>
  <si>
    <t>Plastic Chair</t>
  </si>
  <si>
    <t>CHAIR</t>
  </si>
  <si>
    <t>TOTAL</t>
  </si>
  <si>
    <t>Total Cost Paid by the company</t>
  </si>
  <si>
    <t>Value by adopting</t>
  </si>
  <si>
    <t xml:space="preserve"> Description</t>
  </si>
  <si>
    <t>Airconditioner</t>
  </si>
  <si>
    <t>30/04/2016</t>
  </si>
  <si>
    <t>Category</t>
  </si>
  <si>
    <t>Unit</t>
  </si>
  <si>
    <t>4A CAT SITE</t>
  </si>
  <si>
    <t>Lenova HandSet</t>
  </si>
  <si>
    <t>2 &amp; 3</t>
  </si>
  <si>
    <t>01/04/2010</t>
  </si>
  <si>
    <t>14/06/2012</t>
  </si>
  <si>
    <t>02/09/2015</t>
  </si>
  <si>
    <t>SPLIT AC</t>
  </si>
  <si>
    <t xml:space="preserve">WINDOW AC 2 TONS  </t>
  </si>
  <si>
    <t>WindowAC 1.5 ton</t>
  </si>
  <si>
    <t>03/06/2010</t>
  </si>
  <si>
    <t>21/06/2010</t>
  </si>
  <si>
    <t>16/09/2010</t>
  </si>
  <si>
    <t>18/01/2011</t>
  </si>
  <si>
    <t>Opening Balance</t>
  </si>
  <si>
    <t>ROLLER</t>
  </si>
  <si>
    <t>ALTUS</t>
  </si>
  <si>
    <t>False Ceiling</t>
  </si>
  <si>
    <t>HARDWARE ITEMS</t>
  </si>
  <si>
    <t>OFFICE CHAIR</t>
  </si>
  <si>
    <t>DECORATIVE LITE</t>
  </si>
  <si>
    <t>PLASTIC CHAIR &amp; DINING TABLE</t>
  </si>
  <si>
    <t>Furniture &amp; Fixtures</t>
  </si>
  <si>
    <t>01/07/2010</t>
  </si>
  <si>
    <t>23/01/2011</t>
  </si>
  <si>
    <t>31/03/2013</t>
  </si>
  <si>
    <t>08/10/2013</t>
  </si>
  <si>
    <t>25/11/2013</t>
  </si>
  <si>
    <t>-</t>
  </si>
  <si>
    <t>Chairs &amp; Tables</t>
  </si>
  <si>
    <t>Ceiling Fan 48"</t>
  </si>
  <si>
    <t>Chair with and without handle</t>
  </si>
  <si>
    <t>Table</t>
  </si>
  <si>
    <t>Executive &amp; Plastic Chairs</t>
  </si>
  <si>
    <t>Pedestal Fan</t>
  </si>
  <si>
    <t>Flood Light Fittings &amp; Choke</t>
  </si>
  <si>
    <t>FURNITURE</t>
  </si>
  <si>
    <t>NIKON CAMERA</t>
  </si>
  <si>
    <t>27/10/2010</t>
  </si>
  <si>
    <t>24/03/2013</t>
  </si>
  <si>
    <t>17/05/2017</t>
  </si>
  <si>
    <t>ACQUIRED AS PER SCHEME OF ARRANGEMENT(ii &amp; iii)</t>
  </si>
  <si>
    <t>HONDA CITY (REG.NO:OR-02B5-6049)</t>
  </si>
  <si>
    <t>TATA INDICA VISTA (REG.NO:OR-061-7349)</t>
  </si>
  <si>
    <t>PURCHASE OF TATA INDICA VISTA (REG.NO:OR-06J-7249)</t>
  </si>
  <si>
    <t>HONDA CITY (REG.NO:OR-02BS- 6049)</t>
  </si>
  <si>
    <t>TATA INDICA VISTA (REG.NO:OR-061-7449,CH.NO:73234 &amp; ENG.N0:45531)</t>
  </si>
  <si>
    <t>HONDA CITY (REG.NO:OR-02BS-6049)</t>
  </si>
  <si>
    <t>HONDA CITY 1.5 SMT (REG.NO:OR-02BT-1449,CH. NO: 209943,ENG.N0:72229943)</t>
  </si>
  <si>
    <t>BICYCLE</t>
  </si>
  <si>
    <t>TRACTOR (275 DI BP MKM DLX)</t>
  </si>
  <si>
    <t>TATA INDICA VISTA FOR MR THAKUR</t>
  </si>
  <si>
    <t>AUDI A4 PREMIUM PLUS CAR</t>
  </si>
  <si>
    <t>ACE DICOR</t>
  </si>
  <si>
    <t>30/09/2011</t>
  </si>
  <si>
    <t>10/10/2011</t>
  </si>
  <si>
    <t>31/03/2012</t>
  </si>
  <si>
    <t>04/04/2012</t>
  </si>
  <si>
    <t>29/01/2013</t>
  </si>
  <si>
    <t>07/11/2015</t>
  </si>
  <si>
    <t>12/08/2015</t>
  </si>
  <si>
    <t>ACQUIRED AS PER SCHEME OF ARRANGEMENT Unit II</t>
  </si>
  <si>
    <t>STAR 81.15(0R-19J-3214)</t>
  </si>
  <si>
    <t>TATA STAR BUS &amp; ACE MAGIC</t>
  </si>
  <si>
    <t>15/06/2010</t>
  </si>
  <si>
    <t>20/08/2010</t>
  </si>
  <si>
    <t>ACQUIRED AS PER SCHEME OF ARRANGEMENT Unit III</t>
  </si>
  <si>
    <t>FIREPRO 5 PORT 10/100 MBPS ETHER ROUTER</t>
  </si>
  <si>
    <t>LOGITECH K/B+MSE USB,SEAGATE HDD</t>
  </si>
  <si>
    <t>PRINTER LASER BOOKED</t>
  </si>
  <si>
    <t>BARCODE PRINTER AND BARCODE SCANNER</t>
  </si>
  <si>
    <t>LOGITECH K/B+MSE USB,SEAGATE HDD SATA</t>
  </si>
  <si>
    <t>LAPTOP HP ENVY 14LM TS SE 17-J102TX.</t>
  </si>
  <si>
    <t>HP LASER PRINTER</t>
  </si>
  <si>
    <t>Printer HP1020</t>
  </si>
  <si>
    <t>COMPUTER ( 2 SET)</t>
  </si>
  <si>
    <t>COMPUTER,SERVER &amp; PRINTERS</t>
  </si>
  <si>
    <t>PRINTERS</t>
  </si>
  <si>
    <t>STORES &amp; SPARES TO COMPUTER</t>
  </si>
  <si>
    <t>HP PRINTER</t>
  </si>
  <si>
    <t>PRINTER CUM SCANNER</t>
  </si>
  <si>
    <t>COMPUTER SERVER &amp; PRINTERS</t>
  </si>
  <si>
    <t>31/10/2012</t>
  </si>
  <si>
    <t>06/06/2015</t>
  </si>
  <si>
    <t>19/06/2015</t>
  </si>
  <si>
    <t>25/06/2015</t>
  </si>
  <si>
    <t>18/07/2015</t>
  </si>
  <si>
    <t>30/07/2015</t>
  </si>
  <si>
    <t>15/09/2015</t>
  </si>
  <si>
    <t>19/09/2015</t>
  </si>
  <si>
    <t>23/09/2015</t>
  </si>
  <si>
    <t>28/09/2015</t>
  </si>
  <si>
    <t>28/10/2015</t>
  </si>
  <si>
    <t>05/11/2015</t>
  </si>
  <si>
    <t>Desktop Computer</t>
  </si>
  <si>
    <t>Desktop Computer and UPS</t>
  </si>
  <si>
    <t>Desk Top Computer</t>
  </si>
  <si>
    <t>20/05/2010</t>
  </si>
  <si>
    <t>21/05/2010</t>
  </si>
  <si>
    <t>27/08/2010</t>
  </si>
  <si>
    <t>18/09/2010</t>
  </si>
  <si>
    <t>18/12/2010</t>
  </si>
  <si>
    <t>FIBRE NETWORK COMMISSIONING</t>
  </si>
  <si>
    <t>SARAL XBRL</t>
  </si>
  <si>
    <t>PUR OF PAYROLL SOFTWARE</t>
  </si>
  <si>
    <t>Computer Software</t>
  </si>
  <si>
    <t>07/03/2012</t>
  </si>
  <si>
    <t>08/08/2015</t>
  </si>
  <si>
    <t>STEEL MELT SHOP MACHINES &amp; ITS INSTALATION</t>
  </si>
  <si>
    <t>PLANT &amp; MACHINERY</t>
  </si>
  <si>
    <t>IMS X-Ray Thickness Gauge</t>
  </si>
  <si>
    <t>LINE DUST PARTICULATE</t>
  </si>
  <si>
    <t>AEMS &amp; AC DRIVES</t>
  </si>
  <si>
    <t>RT-DAS FOR STACKS</t>
  </si>
  <si>
    <t>Plant &amp; Machinery</t>
  </si>
  <si>
    <t>3DX SUPER JCB</t>
  </si>
  <si>
    <t>Installation</t>
  </si>
  <si>
    <t>Commissioninng</t>
  </si>
  <si>
    <t>ACQUIRED AS PER SCHEME OF ARRANGEMENT</t>
  </si>
  <si>
    <t>HOT ROLLING DIVISION MACHINES &amp; ITS ,INSTALATION</t>
  </si>
  <si>
    <t>HOT ROLLING DIVISION MACHINES &amp; ITS INSTALATION</t>
  </si>
  <si>
    <t>CRM Complex Machines &amp; Its Instalation &amp; Trial Exp</t>
  </si>
  <si>
    <r>
      <t xml:space="preserve">Life Consumed                    </t>
    </r>
    <r>
      <rPr>
        <i/>
        <sz val="10"/>
        <color theme="1"/>
        <rFont val="Calibri"/>
        <family val="2"/>
        <scheme val="minor"/>
      </rPr>
      <t>(Years)</t>
    </r>
  </si>
  <si>
    <r>
      <t xml:space="preserve">Estimated Economic life of the Assets                                     </t>
    </r>
    <r>
      <rPr>
        <i/>
        <sz val="10"/>
        <color theme="1"/>
        <rFont val="Calibri"/>
        <family val="2"/>
        <scheme val="minor"/>
      </rPr>
      <t>(Years)</t>
    </r>
  </si>
  <si>
    <r>
      <t xml:space="preserve">Estimated Reproduction Cost of the Asset
</t>
    </r>
    <r>
      <rPr>
        <b/>
        <i/>
        <sz val="11"/>
        <color theme="1"/>
        <rFont val="Calibri"/>
        <family val="2"/>
        <scheme val="minor"/>
      </rPr>
      <t>(as per WPI Index)</t>
    </r>
  </si>
  <si>
    <r>
      <t xml:space="preserve">Estimated Reproduction Cost of the Asset
</t>
    </r>
    <r>
      <rPr>
        <i/>
        <sz val="10"/>
        <color theme="1"/>
        <rFont val="Calibri"/>
        <family val="2"/>
        <scheme val="minor"/>
      </rPr>
      <t>(as per WPI Index)</t>
    </r>
  </si>
  <si>
    <t>ACQUIRED AS PER SCHEME OF ARRANGEMENT UNITII</t>
  </si>
  <si>
    <t>Financial Year</t>
  </si>
  <si>
    <t>Index</t>
  </si>
  <si>
    <t>2020-21</t>
  </si>
  <si>
    <t>2019-20</t>
  </si>
  <si>
    <t>2018-19</t>
  </si>
  <si>
    <t>2017-18</t>
  </si>
  <si>
    <t>2016-17</t>
  </si>
  <si>
    <t>2015-16</t>
  </si>
  <si>
    <t>2014-15</t>
  </si>
  <si>
    <t>2013-14</t>
  </si>
  <si>
    <t>2012-13</t>
  </si>
  <si>
    <t>Compressor</t>
  </si>
  <si>
    <t>Motor</t>
  </si>
  <si>
    <t>Plant &amp; Machinery of Unit-1</t>
  </si>
  <si>
    <t>Plant &amp; Machinery of Unit-2</t>
  </si>
  <si>
    <t>Plant &amp; Machinery of Unit-3</t>
  </si>
  <si>
    <t>INDUCTION MOTOR</t>
  </si>
  <si>
    <t>Sr.No.</t>
  </si>
  <si>
    <t>Description</t>
  </si>
  <si>
    <r>
      <t xml:space="preserve">Height
</t>
    </r>
    <r>
      <rPr>
        <i/>
        <sz val="11"/>
        <color theme="1"/>
        <rFont val="Calibri"/>
        <family val="2"/>
        <scheme val="minor"/>
      </rPr>
      <t>(in mtr.)</t>
    </r>
  </si>
  <si>
    <r>
      <t xml:space="preserve">Height
</t>
    </r>
    <r>
      <rPr>
        <i/>
        <sz val="11"/>
        <color theme="1"/>
        <rFont val="Calibri"/>
        <family val="2"/>
        <scheme val="minor"/>
      </rPr>
      <t>(in ft.)</t>
    </r>
  </si>
  <si>
    <t>Year of construction</t>
  </si>
  <si>
    <t>Type of Structure</t>
  </si>
  <si>
    <t>Structure Condition</t>
  </si>
  <si>
    <t>Life Consumed</t>
  </si>
  <si>
    <t>Economic Life</t>
  </si>
  <si>
    <r>
      <t xml:space="preserve">Covered Area
</t>
    </r>
    <r>
      <rPr>
        <i/>
        <sz val="11"/>
        <color theme="1"/>
        <rFont val="Calibri"/>
        <family val="2"/>
        <scheme val="minor"/>
      </rPr>
      <t>(in sq.mtr.)</t>
    </r>
  </si>
  <si>
    <r>
      <t xml:space="preserve">Covered Area
</t>
    </r>
    <r>
      <rPr>
        <i/>
        <sz val="11"/>
        <color theme="1"/>
        <rFont val="Calibri"/>
        <family val="2"/>
        <scheme val="minor"/>
      </rPr>
      <t>(in sq.ft)</t>
    </r>
  </si>
  <si>
    <r>
      <t xml:space="preserve">Replacement Market Value 
</t>
    </r>
    <r>
      <rPr>
        <i/>
        <sz val="11"/>
        <color theme="1"/>
        <rFont val="Calibri"/>
        <family val="2"/>
        <scheme val="minor"/>
      </rPr>
      <t>(in per sq.ft.)</t>
    </r>
  </si>
  <si>
    <t>Replacement Market Value</t>
  </si>
  <si>
    <t>Depreciated Market Value</t>
  </si>
  <si>
    <t>LRF Control room &amp; transformer room</t>
  </si>
  <si>
    <t>RCC</t>
  </si>
  <si>
    <t>Average</t>
  </si>
  <si>
    <t>Slab Caster office room</t>
  </si>
  <si>
    <t>Slab caster Hydrolic Control room</t>
  </si>
  <si>
    <t>slab caster Electrical control room</t>
  </si>
  <si>
    <t>slab caster operating room</t>
  </si>
  <si>
    <t>AOD‐1 Control Room</t>
  </si>
  <si>
    <t>AOD‐2 Control Room</t>
  </si>
  <si>
    <t>132 KV Sub Station Control Room</t>
  </si>
  <si>
    <t>132 KV Sub Station office Room</t>
  </si>
  <si>
    <t>Electrical Maintainance Room</t>
  </si>
  <si>
    <t>I/FLato &amp; office</t>
  </si>
  <si>
    <t>Arc Furnace Control Room</t>
  </si>
  <si>
    <t>Civil office</t>
  </si>
  <si>
    <t>overhead tank</t>
  </si>
  <si>
    <t>Rs. 8000/- per ltr</t>
  </si>
  <si>
    <t>Weighing bridge Control Room</t>
  </si>
  <si>
    <t>Canteen Room</t>
  </si>
  <si>
    <t>Adm Building (G+3)</t>
  </si>
  <si>
    <t xml:space="preserve">3.5 each </t>
  </si>
  <si>
    <t>Time office &amp; project office</t>
  </si>
  <si>
    <t>DRI Weighing bridge room &amp; Rest Room</t>
  </si>
  <si>
    <t>Dri Mech.Ment &amp; Motor Room</t>
  </si>
  <si>
    <t>DRI control Room /office</t>
  </si>
  <si>
    <t>DRI ROOM</t>
  </si>
  <si>
    <t>DRI Lab/DG room</t>
  </si>
  <si>
    <t>Ferro office room</t>
  </si>
  <si>
    <t>Dri shed</t>
  </si>
  <si>
    <t>Iron truss &amp; GI Shed</t>
  </si>
  <si>
    <t>DRI hopper</t>
  </si>
  <si>
    <t>Crusher Shed</t>
  </si>
  <si>
    <t>GAS Plant shed</t>
  </si>
  <si>
    <t>Gas Plant office</t>
  </si>
  <si>
    <t>RMHS charging shed</t>
  </si>
  <si>
    <t>SMS FES</t>
  </si>
  <si>
    <t>Billet yard office</t>
  </si>
  <si>
    <t>SMS‐II ECR</t>
  </si>
  <si>
    <t>SMS‐II Caster</t>
  </si>
  <si>
    <t>SMS‐II Scale pit</t>
  </si>
  <si>
    <t>Transport office</t>
  </si>
  <si>
    <t>Transport shed</t>
  </si>
  <si>
    <t>Ferro Chrome Stock SHED</t>
  </si>
  <si>
    <t>Carbon paste shed</t>
  </si>
  <si>
    <t>FERRO shed</t>
  </si>
  <si>
    <t>FERRO FES</t>
  </si>
  <si>
    <t>FERRO hopper</t>
  </si>
  <si>
    <t>TOTAL (A)</t>
  </si>
  <si>
    <t>Sheds&amp; Structures</t>
  </si>
  <si>
    <r>
      <rPr>
        <i/>
        <u/>
        <sz val="11"/>
        <rFont val="Calibri"/>
        <family val="2"/>
        <scheme val="minor"/>
      </rPr>
      <t>Major Sheds.</t>
    </r>
  </si>
  <si>
    <t>AB, BC, CD, DE, EF Bays</t>
  </si>
  <si>
    <r>
      <rPr>
        <i/>
        <u/>
        <sz val="11"/>
        <rFont val="Calibri"/>
        <family val="2"/>
        <scheme val="minor"/>
      </rPr>
      <t>Minor Sheds / Storage yards etc</t>
    </r>
  </si>
  <si>
    <t>SMS Material store‐1</t>
  </si>
  <si>
    <t>SMS Material store‐2</t>
  </si>
  <si>
    <t>Mech store room</t>
  </si>
  <si>
    <t>Lime Dolomite storage building</t>
  </si>
  <si>
    <t>Softner material storage building</t>
  </si>
  <si>
    <t>DRI main store</t>
  </si>
  <si>
    <t>TOTAL (B)</t>
  </si>
  <si>
    <t>GRAND TOTAL (A+B)</t>
  </si>
  <si>
    <r>
      <t xml:space="preserve">Cost of Capitalization/Gross Block 
</t>
    </r>
    <r>
      <rPr>
        <i/>
        <sz val="10"/>
        <rFont val="Calibri"/>
        <family val="2"/>
        <scheme val="minor"/>
      </rPr>
      <t>(INR)</t>
    </r>
  </si>
  <si>
    <r>
      <t xml:space="preserve">Net Block
</t>
    </r>
    <r>
      <rPr>
        <i/>
        <sz val="10"/>
        <rFont val="Calibri"/>
        <family val="2"/>
        <scheme val="minor"/>
      </rPr>
      <t>(INR)</t>
    </r>
  </si>
  <si>
    <t>Factory Building-1</t>
  </si>
  <si>
    <t>Factory Building-2</t>
  </si>
  <si>
    <t>Factory Building-3</t>
  </si>
  <si>
    <r>
      <t xml:space="preserve">Prospective Fair Market Value (PFMV)
</t>
    </r>
    <r>
      <rPr>
        <i/>
        <sz val="10"/>
        <rFont val="Calibri"/>
        <family val="2"/>
        <scheme val="minor"/>
      </rPr>
      <t>(INR)</t>
    </r>
  </si>
  <si>
    <t>Admin Building (G+1)</t>
  </si>
  <si>
    <t>Control Room for panels etc</t>
  </si>
  <si>
    <t>Transformer room</t>
  </si>
  <si>
    <t>Control Room for water complex</t>
  </si>
  <si>
    <t>ETP area, ECR, Security Pit</t>
  </si>
  <si>
    <t>Office Bulding</t>
  </si>
  <si>
    <t>Store Building</t>
  </si>
  <si>
    <t>Water Complex</t>
  </si>
  <si>
    <t>New Canteen Building</t>
  </si>
  <si>
    <t>Time office</t>
  </si>
  <si>
    <t>Weigh Bridge and Control room (G+1)</t>
  </si>
  <si>
    <t>Stackle mill ECR</t>
  </si>
  <si>
    <t>Over head tank</t>
  </si>
  <si>
    <t>Lab</t>
  </si>
  <si>
    <t>160T furnace control room</t>
  </si>
  <si>
    <t>BRG croup's colony</t>
  </si>
  <si>
    <t>Major Sheds.</t>
  </si>
  <si>
    <t>I</t>
  </si>
  <si>
    <t>II</t>
  </si>
  <si>
    <t>Minor Sheds</t>
  </si>
  <si>
    <t>Propane Storage, Storage, Store House,
Blower Shed, Flooring etc</t>
  </si>
  <si>
    <t>Steel Truss GI
 shed</t>
  </si>
  <si>
    <t>Sheds &amp; Structures</t>
  </si>
  <si>
    <t>2.Gross Replacement cost of the assets has been calculated on the basis of Industry Benchmark cost considering the type of structure and quality.</t>
  </si>
  <si>
    <t xml:space="preserve">Units </t>
  </si>
  <si>
    <t>Land Area of Unit#1</t>
  </si>
  <si>
    <t>Land Area of Unit#2</t>
  </si>
  <si>
    <t>Land Area of Unit#3</t>
  </si>
  <si>
    <t>2. The market rate of the subject property has been taken on the basis 'Market Comparable Sales Approach'</t>
  </si>
  <si>
    <r>
      <t xml:space="preserve">Captalized Cost of Land 
</t>
    </r>
    <r>
      <rPr>
        <i/>
        <sz val="10"/>
        <rFont val="Calibri"/>
        <family val="2"/>
        <scheme val="minor"/>
      </rPr>
      <t>(in per Acres)</t>
    </r>
    <r>
      <rPr>
        <sz val="11"/>
        <rFont val="Calibri"/>
        <family val="2"/>
        <scheme val="minor"/>
      </rPr>
      <t xml:space="preserve"> </t>
    </r>
  </si>
  <si>
    <r>
      <t xml:space="preserve">Market Rate 
</t>
    </r>
    <r>
      <rPr>
        <i/>
        <sz val="10"/>
        <rFont val="Calibri"/>
        <family val="2"/>
        <scheme val="minor"/>
      </rPr>
      <t>(in per acres)</t>
    </r>
  </si>
  <si>
    <t>Weigh Bridge</t>
  </si>
  <si>
    <t>ADM Building (2stories)</t>
  </si>
  <si>
    <t>Boiler House</t>
  </si>
  <si>
    <t>Exit Ecr</t>
  </si>
  <si>
    <t>Hydrofloric Acid Building</t>
  </si>
  <si>
    <t>Security Pit</t>
  </si>
  <si>
    <t>West Acid Pit</t>
  </si>
  <si>
    <t>HRAP Treat</t>
  </si>
  <si>
    <t>CRAP Treat</t>
  </si>
  <si>
    <t>ETP Building</t>
  </si>
  <si>
    <t>Filter Press</t>
  </si>
  <si>
    <t>Lime Mix</t>
  </si>
  <si>
    <t>ACID Storage Area</t>
  </si>
  <si>
    <t>Propen Yard</t>
  </si>
  <si>
    <t>Main ECR ( entry)</t>
  </si>
  <si>
    <t>Pump House</t>
  </si>
  <si>
    <t>Mill (ii) Blower</t>
  </si>
  <si>
    <t>Bearing House</t>
  </si>
  <si>
    <t>Mill (ii) ECR &amp; Transformer</t>
  </si>
  <si>
    <t>Mill (i)  Transformer</t>
  </si>
  <si>
    <t>Mill (i)  Blower</t>
  </si>
  <si>
    <t>Scale Shed Area</t>
  </si>
  <si>
    <t>ABCD Shed</t>
  </si>
  <si>
    <t>GHIJ SHED</t>
  </si>
  <si>
    <t>IJKL Shed</t>
  </si>
  <si>
    <t>Old RGM</t>
  </si>
  <si>
    <t>Filter Press (Mill)</t>
  </si>
  <si>
    <t>CRAP Boiler Shed</t>
  </si>
  <si>
    <t>Iron Truss GI shed</t>
  </si>
  <si>
    <t>Gate Building (G+1)</t>
  </si>
  <si>
    <t>Canteen Building (G+1)</t>
  </si>
  <si>
    <t xml:space="preserve">   </t>
  </si>
  <si>
    <t>1. Asset items pertaining to M/S. BRG Iron &amp; Steel Co.Pvt.Ltd., Mangalpur,  Village- Kurunthi,District- Dhenkanal, Orissa Plant is only considered in this report.</t>
  </si>
  <si>
    <t>3. BRGISL has provided us the Fixed Asset Register (FAR) for the purpose of Valuation. This FAR has the capitalization of the items based on the capex incurred under various heads and shown it in under various phases.Hence, for the purpose of Valuation we have taken the FAR having capex incurred.</t>
  </si>
  <si>
    <t>Computers</t>
  </si>
  <si>
    <t>Software</t>
  </si>
  <si>
    <t>C</t>
  </si>
  <si>
    <t>D</t>
  </si>
  <si>
    <t>E</t>
  </si>
  <si>
    <t>F</t>
  </si>
  <si>
    <t>G</t>
  </si>
  <si>
    <t>H</t>
  </si>
  <si>
    <t>J</t>
  </si>
  <si>
    <t>K</t>
  </si>
  <si>
    <t>L</t>
  </si>
  <si>
    <t>SUMMARY- VALUATION OF BUILDING/ CIVIL STRUCTURE CAPITALIZED IN STEEL PLANT | BRG IRON &amp; STEEL CO. PRIVATE LIMITED | VILL.-KURUNTI, MANGALPUR DIST- DHENKANAL, ODISHA</t>
  </si>
  <si>
    <t>SUMMARY- VALUATION OF PLANT &amp; MACHINERY AND OTHER FIXED ASSETS OF INTEGRATED STEEL PLANT | BRG IRON &amp; STEEL CO. PRIVATE LIMITED | VILL.-KURUNTI, MANGALPUR, DIST- DHENKANAL, ODISHA</t>
  </si>
  <si>
    <t>5. For evaluating useful life for calculation of depreciation, Chart of Companies Act-2013 is referred.</t>
  </si>
  <si>
    <t>6. Useful life of Primary machines of the Plant like DRI, SMS, Ferro Chrome, Blast Furnace &amp; Rolling Mill  etc. is taken as 20 years.For other auxiliary machinery &amp; equipment average life varies from 5-20 years.</t>
  </si>
  <si>
    <t xml:space="preserve">7. For evaluating the Gross current replacement cost of the machines and equipments, we have adopted the inflation rate occurred in the manufacturing of that respective commodity. For which we have used the whole sale price index  provided the Government through www.eaindustry.nic.in </t>
  </si>
  <si>
    <t>8. As per the comperable data available with us for the integrated steel plant set up cost is ranges in between Rs.40,000 TPA to 70,000 per TPA depending upon the size, specification &amp; other factors. 
Our Reproduction cost comes around Rs.56,000/- per TPA by applying WPI index on individual machines/ components which appeares to be reasonable based on the data available to us since this is a small plant and also having Ferro chrome unit.</t>
  </si>
  <si>
    <t>9. $ rate fluctuation is not considered separately in our assessment since the adjustment of this fluctuation in the overall cost of the Project is already capitalized by the company in FAR.</t>
  </si>
  <si>
    <t>10. Civil/Structures related to Plant &amp; Machinery are not shown separately under buildings since these are the part of main Plant &amp; Machinery and is capitalized in the Plant &amp; Machinery head in the Fixed Asset Register provided to us by the company and accordingly Valuation is considered only in Plant &amp; Machinery head.</t>
  </si>
  <si>
    <t xml:space="preserve">11. Our engineering team visited all the sections and manually inspected the machines and equipments on the basis of their physical existence. </t>
  </si>
  <si>
    <t>12. Final valuation includes Design, erection, procurement, installation &amp; commissioning charges as well.</t>
  </si>
  <si>
    <t>Comments</t>
  </si>
  <si>
    <t xml:space="preserve">Machines req-
uires thorough 
maintenance
and overhauling. Some parts of 
machine has to be changed for its operation like rollers etc.
The condition of induction 
furnace is also not good. </t>
  </si>
  <si>
    <t>Average 
condition</t>
  </si>
  <si>
    <t>Average
Condition</t>
  </si>
  <si>
    <t>The condition of the Shed is poor but truss and coloum are seems ok</t>
  </si>
  <si>
    <r>
      <t xml:space="preserve">Gross Current Replacement Cost (GCRC) 
</t>
    </r>
    <r>
      <rPr>
        <i/>
        <sz val="10"/>
        <rFont val="Calibri"/>
        <family val="2"/>
        <scheme val="minor"/>
      </rPr>
      <t>(INR)</t>
    </r>
  </si>
  <si>
    <t>Grand Total</t>
  </si>
  <si>
    <t>Additional cost for internal development (i.e. Road, Drainage, Boundary Wall and Civil Foundation work) on lumpsum basis</t>
  </si>
  <si>
    <t xml:space="preserve">Adding </t>
  </si>
  <si>
    <r>
      <t xml:space="preserve">Prospective Fair Market Value 
</t>
    </r>
    <r>
      <rPr>
        <i/>
        <sz val="9"/>
        <color theme="1"/>
        <rFont val="Calibri"/>
        <family val="2"/>
        <scheme val="minor"/>
      </rPr>
      <t>(INR)</t>
    </r>
  </si>
  <si>
    <r>
      <t xml:space="preserve">Estimated Reproduction Cost of the Assets as on date 
</t>
    </r>
    <r>
      <rPr>
        <i/>
        <sz val="10"/>
        <color theme="1"/>
        <rFont val="Calibri"/>
        <family val="2"/>
        <scheme val="minor"/>
      </rPr>
      <t>(INR)</t>
    </r>
  </si>
  <si>
    <t>4. In the provided FAR, company has captalised the facility wise cummulative cost. In spite of our request, we didn't received the detailed FAR comprising assest wise details. Therefore, for the Valuation assessment, we have taken cost as facilty wise only as provided by the company.</t>
  </si>
  <si>
    <t>EXPECTED REALIZABLE VALUE^(@ ~15% less)</t>
  </si>
  <si>
    <t>EXPECTED FORCED/ DISTRESS SALE VALUE*(@ ~25less)</t>
  </si>
  <si>
    <t>LIQUIDATION VALUE OF PROJECT EXCLUDING CURRENT ASSETS#(@ ~35% less)</t>
  </si>
  <si>
    <t>(Annexure-D)|BUILDING SHEET FOR UNIT#3 OF M/S. BRG IRON &amp; STEEL LIMITED, DHENKANAL, ODISHA</t>
  </si>
  <si>
    <t>(Annexure-C)|BUILDING SHEET FOR UNIT#2 OF M/S. BRG IRON &amp; STEEL LIMITED, DHENKANAL, ODISHA</t>
  </si>
  <si>
    <t>(Annexure-B)|BUILDING SHEET FOR UNIT#1 OF M/S. BRG IRON &amp; STEEL LIMITED, DHENKANAL, ODISHA</t>
  </si>
  <si>
    <t>(Annexure-A)| VALUATION OF PLANT LAND | M/S. BRG IRON &amp; STEEL CO. LIMITED | DHENKANAL, ORISHA</t>
  </si>
  <si>
    <t>(Annexure -L) | VALUATION OF SOFTWARE CAPITALIZED IN PLANT | M/S. BRG IRON &amp; STEEL CO.PVT.LTD.  | VILL.-KURUNTI, MANGALPUR DIST- DHENKANAL, ODISHA</t>
  </si>
  <si>
    <t>(Annexure-E)| VALUATION OF PLANT &amp; MACHINERY - 1| M/S. BRG IRON &amp; STEEL CO.PVT.LTD.  | VILL.-KURUNTI, MANGALPUR DIST- DHENKANAL, ODISHA</t>
  </si>
  <si>
    <t>(Annexure-F)|VALUATION OF PLANT &amp; MACHINERY - 2| M/S. BRG IRON &amp; STEEL CO.PVT.LTD.  | VILL.-KURUNTI, MANGALPUR DIST- DHENKANAL, ODISHA</t>
  </si>
  <si>
    <t>(Annexure -G)| VALUATION OF PLANT &amp; MACHINERY- 3 | M/S. BRG IRON &amp; STEEL CO.PVT.LTD.  | VILL.-KURUNTI, MANGALPUR DIST- DHENKANAL, ODISHA</t>
  </si>
  <si>
    <t>(Annexure -H)|VALUATION OF OFFICE EQUIPMENTS CAPITALIZED IN PLANT | M/S. BRG IRON &amp; STEEL CO.PVT.LTD.  | VILL.-KURUNTI, MANGALPUR DIST- DHENKANAL, ODISHA</t>
  </si>
  <si>
    <t>(Annexure -I)| VALUATION OF FURNITURE &amp; FIXTURE CAPITALIZED IN PLANT |M/S. BRG IRON &amp; STEEL CO.PVT.LTD.  | VILL.-KURUNTI, MANGALPUR DIST- DHENKANAL, ODISHA</t>
  </si>
  <si>
    <t>(Annexure-J)|VALUATION OF VEHICLES CAPITALIZED IN PLANT | M/S. BRG IRON &amp; STEEL CO.PVT.LTD.  | VILL.-KURUNTI, MANGALPUR DIST- DHENKANAL, ODISHA</t>
  </si>
  <si>
    <t>(Annexure-K) | VALUATION OF COMPUTERS CAPITALIZED IN PLANT | M/S. BRG IRON &amp; STEEL CO.PVT.LTD.  | VILL.-KURUNTI, MANGALPUR DIST- DHENKANAL, ODISHA</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</si>
</sst>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quot;₹&quot;\ * #,##0.00_ ;_ &quot;₹&quot;\ * \-#,##0.00_ ;_ &quot;₹&quot;\ * &quot;-&quot;??_ ;_ @_ "/>
    <numFmt numFmtId="164" formatCode="_(&quot;$&quot;* #,##0.00_);_(&quot;$&quot;* \(#,##0.00\);_(&quot;$&quot;* &quot;-&quot;??_);_(@_)"/>
    <numFmt numFmtId="165" formatCode="_(* #,##0.00_);_(* \(#,##0.00\);_(* &quot;-&quot;??_);_(@_)"/>
    <numFmt numFmtId="166" formatCode="_(* #,##0_);_(* \(#,##0\);_(* &quot;-&quot;??_);_(@_)"/>
    <numFmt numFmtId="167" formatCode="_ [$₹-4009]\ * #,##0.00_ ;_ [$₹-4009]\ * \-#,##0.00_ ;_ [$₹-4009]\ * &quot;-&quot;??_ ;_ @_ "/>
    <numFmt numFmtId="168" formatCode="0.000"/>
    <numFmt numFmtId="169" formatCode="_ &quot;Rs.&quot;\ * #,##0.00_ ;_ &quot;Rs.&quot;\ * \-#,##0.00_ ;_ &quot;Rs.&quot;\ * &quot;-&quot;??_ ;_ @_ "/>
    <numFmt numFmtId="170" formatCode="0.000%"/>
    <numFmt numFmtId="171" formatCode="_ [$₹-4009]\ * #,##0_ ;_ [$₹-4009]\ * \-#,##0_ ;_ [$₹-4009]\ * &quot;-&quot;??_ ;_ @_ "/>
    <numFmt numFmtId="172" formatCode="_ &quot;Rs.&quot;\ * #,##0_ ;_ &quot;Rs.&quot;\ * \-#,##0_ ;_ &quot;Rs.&quot;\ * &quot;-&quot;??_ ;_ @_ "/>
    <numFmt numFmtId="173" formatCode="_ [$₹-445]\ * #,##0.00_ ;_ [$₹-445]\ * \-#,##0.00_ ;_ [$₹-445]\ * &quot;-&quot;??_ ;_ @_ "/>
  </numFmts>
  <fonts count="4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0"/>
      <name val="Calibri"/>
      <family val="2"/>
      <scheme val="minor"/>
    </font>
    <font>
      <b/>
      <i/>
      <sz val="11"/>
      <color theme="1"/>
      <name val="Calibri"/>
      <family val="2"/>
      <scheme val="minor"/>
    </font>
    <font>
      <sz val="11"/>
      <name val="Calibri"/>
      <family val="2"/>
      <scheme val="minor"/>
    </font>
    <font>
      <b/>
      <sz val="11"/>
      <name val="Calibri"/>
      <family val="2"/>
      <scheme val="minor"/>
    </font>
    <font>
      <b/>
      <sz val="12"/>
      <color theme="1"/>
      <name val="Calibri"/>
      <family val="2"/>
      <scheme val="minor"/>
    </font>
    <font>
      <i/>
      <sz val="11"/>
      <color theme="1"/>
      <name val="Calibri"/>
      <family val="2"/>
      <scheme val="minor"/>
    </font>
    <font>
      <sz val="10"/>
      <name val="Arial"/>
      <family val="2"/>
    </font>
    <font>
      <sz val="10"/>
      <name val="Arial"/>
      <family val="2"/>
    </font>
    <font>
      <b/>
      <i/>
      <sz val="10"/>
      <name val="Calibri"/>
      <family val="2"/>
      <scheme val="minor"/>
    </font>
    <font>
      <sz val="11"/>
      <color indexed="8"/>
      <name val="Calibri"/>
      <family val="2"/>
    </font>
    <font>
      <sz val="10"/>
      <color indexed="8"/>
      <name val="MS Sans Serif"/>
      <family val="2"/>
    </font>
    <font>
      <i/>
      <sz val="10"/>
      <color theme="1"/>
      <name val="Calibri"/>
      <family val="2"/>
      <scheme val="minor"/>
    </font>
    <font>
      <sz val="11"/>
      <color indexed="8"/>
      <name val="Calibri"/>
      <family val="2"/>
      <scheme val="minor"/>
    </font>
    <font>
      <b/>
      <sz val="10"/>
      <color rgb="FFFFFFFF"/>
      <name val="Arial"/>
      <family val="2"/>
    </font>
    <font>
      <sz val="10"/>
      <color theme="1"/>
      <name val="Arial"/>
      <family val="2"/>
    </font>
    <font>
      <b/>
      <sz val="10"/>
      <color theme="1"/>
      <name val="Arial"/>
      <family val="2"/>
    </font>
    <font>
      <sz val="16"/>
      <color theme="1"/>
      <name val="Calibri"/>
      <family val="2"/>
      <scheme val="minor"/>
    </font>
    <font>
      <sz val="11"/>
      <color rgb="FF000000"/>
      <name val="Calibri"/>
      <family val="2"/>
      <scheme val="minor"/>
    </font>
    <font>
      <i/>
      <sz val="11"/>
      <name val="Calibri"/>
      <family val="2"/>
      <scheme val="minor"/>
    </font>
    <font>
      <i/>
      <u/>
      <sz val="11"/>
      <name val="Calibri"/>
      <family val="2"/>
      <scheme val="minor"/>
    </font>
    <font>
      <i/>
      <sz val="10"/>
      <name val="Calibri"/>
      <family val="2"/>
      <scheme val="minor"/>
    </font>
    <font>
      <sz val="12"/>
      <name val="Calibri"/>
      <family val="2"/>
      <scheme val="minor"/>
    </font>
    <font>
      <sz val="12"/>
      <color rgb="FF000000"/>
      <name val="Calibri"/>
      <family val="2"/>
      <scheme val="minor"/>
    </font>
    <font>
      <b/>
      <sz val="12"/>
      <name val="Calibri"/>
      <family val="2"/>
      <scheme val="minor"/>
    </font>
    <font>
      <i/>
      <sz val="9"/>
      <color theme="1"/>
      <name val="Calibri"/>
      <family val="2"/>
      <scheme val="minor"/>
    </font>
    <font>
      <sz val="9"/>
      <color indexed="81"/>
      <name val="Tahoma"/>
      <charset val="1"/>
    </font>
    <font>
      <b/>
      <sz val="9"/>
      <color indexed="81"/>
      <name val="Tahoma"/>
      <charset val="1"/>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3" tint="-0.499984740745262"/>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002060"/>
        <bgColor indexed="64"/>
      </patternFill>
    </fill>
    <fill>
      <patternFill patternType="solid">
        <fgColor rgb="FF30549E"/>
        <bgColor indexed="64"/>
      </patternFill>
    </fill>
    <fill>
      <patternFill patternType="solid">
        <fgColor rgb="FFDDDDDD"/>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8">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4" fillId="0" borderId="0"/>
    <xf numFmtId="0" fontId="24" fillId="0" borderId="0"/>
    <xf numFmtId="0" fontId="24" fillId="0" borderId="0"/>
    <xf numFmtId="9" fontId="24" fillId="0" borderId="0" applyFont="0" applyFill="0" applyBorder="0" applyAlignment="0" applyProtection="0"/>
    <xf numFmtId="165" fontId="24" fillId="0" borderId="0" applyFont="0" applyFill="0" applyBorder="0" applyAlignment="0" applyProtection="0"/>
    <xf numFmtId="0" fontId="24" fillId="0" borderId="0"/>
    <xf numFmtId="0" fontId="25" fillId="0" borderId="0"/>
    <xf numFmtId="0" fontId="24" fillId="0" borderId="0"/>
    <xf numFmtId="0" fontId="27" fillId="0" borderId="0"/>
    <xf numFmtId="0" fontId="28" fillId="0" borderId="0"/>
    <xf numFmtId="0" fontId="27" fillId="0" borderId="0"/>
    <xf numFmtId="0" fontId="28" fillId="0" borderId="0"/>
    <xf numFmtId="0" fontId="27" fillId="0" borderId="0"/>
    <xf numFmtId="0" fontId="24" fillId="0" borderId="0"/>
    <xf numFmtId="0" fontId="24" fillId="0" borderId="0"/>
    <xf numFmtId="0" fontId="27" fillId="0" borderId="0"/>
    <xf numFmtId="0" fontId="28" fillId="0" borderId="0"/>
    <xf numFmtId="0" fontId="28" fillId="0" borderId="0"/>
    <xf numFmtId="0" fontId="28" fillId="0" borderId="0"/>
    <xf numFmtId="0" fontId="27" fillId="0" borderId="0"/>
    <xf numFmtId="0" fontId="27" fillId="0" borderId="0"/>
    <xf numFmtId="0" fontId="27" fillId="0" borderId="0"/>
    <xf numFmtId="0" fontId="27" fillId="0" borderId="0"/>
  </cellStyleXfs>
  <cellXfs count="353">
    <xf numFmtId="0" fontId="0" fillId="0" borderId="0" xfId="0"/>
    <xf numFmtId="167" fontId="0" fillId="0" borderId="0" xfId="0" applyNumberFormat="1"/>
    <xf numFmtId="0" fontId="16" fillId="36" borderId="10" xfId="0" applyFont="1" applyFill="1" applyBorder="1" applyAlignment="1">
      <alignment horizontal="center" vertical="center" wrapText="1"/>
    </xf>
    <xf numFmtId="164" fontId="16" fillId="36" borderId="10" xfId="43" applyFont="1" applyFill="1" applyBorder="1" applyAlignment="1">
      <alignment horizontal="center" vertical="center" wrapText="1"/>
    </xf>
    <xf numFmtId="0" fontId="16" fillId="36" borderId="10" xfId="43" applyNumberFormat="1" applyFont="1" applyFill="1" applyBorder="1" applyAlignment="1">
      <alignment horizontal="center" vertical="center" wrapText="1"/>
    </xf>
    <xf numFmtId="0" fontId="0" fillId="0" borderId="10" xfId="0" applyBorder="1" applyAlignment="1">
      <alignment horizontal="center" vertical="center"/>
    </xf>
    <xf numFmtId="0" fontId="0" fillId="0" borderId="0" xfId="0" applyAlignment="1">
      <alignment horizontal="center" vertical="center"/>
    </xf>
    <xf numFmtId="167" fontId="0" fillId="0" borderId="10" xfId="0" applyNumberFormat="1" applyBorder="1"/>
    <xf numFmtId="0" fontId="0" fillId="0" borderId="10" xfId="0" applyFill="1" applyBorder="1" applyAlignment="1">
      <alignment horizontal="center" vertical="center"/>
    </xf>
    <xf numFmtId="0" fontId="0" fillId="0" borderId="10" xfId="0" applyFill="1" applyBorder="1"/>
    <xf numFmtId="0" fontId="21" fillId="37" borderId="10" xfId="0" applyFont="1" applyFill="1" applyBorder="1" applyAlignment="1">
      <alignment horizontal="center" vertical="center" wrapText="1"/>
    </xf>
    <xf numFmtId="164" fontId="21" fillId="37" borderId="10" xfId="43" applyFont="1" applyFill="1" applyBorder="1" applyAlignment="1">
      <alignment horizontal="center" vertical="center" wrapText="1"/>
    </xf>
    <xf numFmtId="0" fontId="0" fillId="0" borderId="0" xfId="0" applyAlignment="1">
      <alignment horizontal="left" vertical="center" wrapText="1"/>
    </xf>
    <xf numFmtId="164" fontId="0" fillId="0" borderId="0" xfId="43" applyFont="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wrapText="1"/>
    </xf>
    <xf numFmtId="0" fontId="0" fillId="0" borderId="10" xfId="0" applyBorder="1"/>
    <xf numFmtId="0" fontId="16" fillId="0" borderId="10" xfId="0" applyFont="1" applyFill="1" applyBorder="1" applyAlignment="1">
      <alignment horizontal="center" vertical="center"/>
    </xf>
    <xf numFmtId="0" fontId="16" fillId="38" borderId="10" xfId="0" applyFont="1" applyFill="1" applyBorder="1" applyAlignment="1">
      <alignment horizontal="center" vertical="center"/>
    </xf>
    <xf numFmtId="0" fontId="16" fillId="38" borderId="10" xfId="0" applyFont="1" applyFill="1" applyBorder="1" applyAlignment="1">
      <alignment horizontal="center" vertical="center" wrapText="1"/>
    </xf>
    <xf numFmtId="167" fontId="20" fillId="0" borderId="10" xfId="43" applyNumberFormat="1" applyFont="1" applyFill="1" applyBorder="1" applyAlignment="1">
      <alignment horizontal="center" vertical="center" wrapText="1"/>
    </xf>
    <xf numFmtId="0" fontId="0" fillId="0" borderId="11" xfId="0" applyBorder="1" applyAlignment="1">
      <alignment horizontal="center" vertical="center" wrapText="1"/>
    </xf>
    <xf numFmtId="0" fontId="16" fillId="0" borderId="11" xfId="0" applyFont="1" applyBorder="1" applyAlignment="1">
      <alignment vertical="center" wrapText="1"/>
    </xf>
    <xf numFmtId="169" fontId="16" fillId="0" borderId="10" xfId="0" applyNumberFormat="1" applyFont="1" applyBorder="1" applyAlignment="1">
      <alignment vertical="center"/>
    </xf>
    <xf numFmtId="169" fontId="0" fillId="0" borderId="0" xfId="0" applyNumberFormat="1" applyAlignment="1">
      <alignment horizontal="center" vertical="center"/>
    </xf>
    <xf numFmtId="165" fontId="0" fillId="33" borderId="0" xfId="0" applyNumberFormat="1" applyFill="1"/>
    <xf numFmtId="164" fontId="0" fillId="0" borderId="10" xfId="43" applyFont="1" applyFill="1" applyBorder="1" applyAlignment="1">
      <alignment horizontal="left" vertical="center"/>
    </xf>
    <xf numFmtId="164" fontId="0" fillId="0" borderId="10" xfId="43" applyFont="1" applyFill="1" applyBorder="1" applyAlignment="1">
      <alignment horizontal="center" vertical="center"/>
    </xf>
    <xf numFmtId="167" fontId="0" fillId="0" borderId="10" xfId="43" applyNumberFormat="1" applyFont="1" applyFill="1" applyBorder="1" applyAlignment="1">
      <alignment horizontal="center" vertical="center"/>
    </xf>
    <xf numFmtId="0" fontId="0" fillId="0" borderId="10" xfId="0" applyFill="1" applyBorder="1" applyAlignment="1">
      <alignment horizontal="center" vertical="center" wrapText="1"/>
    </xf>
    <xf numFmtId="0" fontId="0" fillId="0" borderId="14" xfId="0" applyBorder="1" applyAlignment="1">
      <alignment horizontal="center"/>
    </xf>
    <xf numFmtId="170" fontId="0" fillId="0" borderId="0" xfId="44" applyNumberFormat="1" applyFont="1"/>
    <xf numFmtId="167" fontId="0" fillId="0" borderId="18" xfId="0" applyNumberFormat="1" applyBorder="1"/>
    <xf numFmtId="167" fontId="20" fillId="0" borderId="10" xfId="43" applyNumberFormat="1" applyFont="1" applyFill="1" applyBorder="1" applyAlignment="1">
      <alignment horizontal="center" vertical="center" wrapText="1"/>
    </xf>
    <xf numFmtId="9" fontId="0" fillId="0" borderId="10" xfId="44" applyFont="1" applyBorder="1" applyAlignment="1">
      <alignment horizontal="center" vertical="center"/>
    </xf>
    <xf numFmtId="2" fontId="0" fillId="0" borderId="10" xfId="0" applyNumberFormat="1" applyBorder="1" applyAlignment="1">
      <alignment horizontal="center" vertical="center"/>
    </xf>
    <xf numFmtId="165" fontId="0" fillId="0" borderId="0" xfId="1" applyFont="1"/>
    <xf numFmtId="0" fontId="21" fillId="38" borderId="10" xfId="0" applyFont="1" applyFill="1" applyBorder="1" applyAlignment="1">
      <alignment horizontal="center" vertical="center" wrapText="1"/>
    </xf>
    <xf numFmtId="172" fontId="16" fillId="0" borderId="10" xfId="0" applyNumberFormat="1" applyFont="1" applyBorder="1" applyAlignment="1">
      <alignment vertical="center"/>
    </xf>
    <xf numFmtId="0" fontId="0" fillId="0" borderId="10" xfId="0" applyBorder="1" applyAlignment="1">
      <alignment horizontal="center"/>
    </xf>
    <xf numFmtId="0" fontId="0" fillId="0" borderId="12" xfId="0" applyBorder="1" applyAlignment="1">
      <alignment horizontal="right"/>
    </xf>
    <xf numFmtId="167" fontId="20" fillId="0" borderId="10" xfId="43" applyNumberFormat="1" applyFont="1" applyFill="1" applyBorder="1" applyAlignment="1">
      <alignment horizontal="center" vertical="center" wrapText="1"/>
    </xf>
    <xf numFmtId="167" fontId="20" fillId="33" borderId="10" xfId="43" applyNumberFormat="1" applyFont="1" applyFill="1" applyBorder="1" applyAlignment="1">
      <alignment horizontal="center" vertical="center" wrapText="1"/>
    </xf>
    <xf numFmtId="0" fontId="0" fillId="0" borderId="10" xfId="0" applyFont="1" applyFill="1" applyBorder="1" applyAlignment="1">
      <alignment horizontal="center" vertical="center"/>
    </xf>
    <xf numFmtId="0" fontId="0" fillId="0" borderId="10" xfId="0" applyBorder="1" applyAlignment="1">
      <alignment horizontal="center" vertical="center"/>
    </xf>
    <xf numFmtId="0" fontId="0" fillId="0" borderId="10" xfId="0" applyFont="1" applyBorder="1" applyAlignment="1">
      <alignment horizontal="center" vertical="center"/>
    </xf>
    <xf numFmtId="14" fontId="0" fillId="0" borderId="10" xfId="0" applyNumberFormat="1" applyFont="1" applyFill="1" applyBorder="1" applyAlignment="1">
      <alignment horizontal="center" vertical="center"/>
    </xf>
    <xf numFmtId="9" fontId="0" fillId="0" borderId="10" xfId="0" applyNumberFormat="1" applyFont="1" applyBorder="1" applyAlignment="1">
      <alignment horizontal="center" vertical="center"/>
    </xf>
    <xf numFmtId="2" fontId="0" fillId="0" borderId="10" xfId="0" applyNumberFormat="1" applyFont="1" applyBorder="1" applyAlignment="1">
      <alignment horizontal="center" vertical="center"/>
    </xf>
    <xf numFmtId="173" fontId="16" fillId="36" borderId="10" xfId="43" applyNumberFormat="1" applyFont="1" applyFill="1" applyBorder="1" applyAlignment="1">
      <alignment horizontal="center" vertical="center" wrapText="1"/>
    </xf>
    <xf numFmtId="0" fontId="20" fillId="0" borderId="10" xfId="0" applyNumberFormat="1" applyFont="1" applyBorder="1" applyAlignment="1">
      <alignment vertical="top" wrapText="1"/>
    </xf>
    <xf numFmtId="167" fontId="16" fillId="0" borderId="10" xfId="0" applyNumberFormat="1" applyFont="1" applyBorder="1" applyAlignment="1">
      <alignment horizontal="center"/>
    </xf>
    <xf numFmtId="0" fontId="20" fillId="0" borderId="10" xfId="0" applyNumberFormat="1" applyFont="1" applyBorder="1" applyAlignment="1">
      <alignment horizontal="center" vertical="top"/>
    </xf>
    <xf numFmtId="173" fontId="20" fillId="0" borderId="10" xfId="0" applyNumberFormat="1" applyFont="1" applyBorder="1" applyAlignment="1">
      <alignment horizontal="center" vertical="top"/>
    </xf>
    <xf numFmtId="173" fontId="20" fillId="0" borderId="10" xfId="0" applyNumberFormat="1" applyFont="1" applyFill="1" applyBorder="1" applyAlignment="1">
      <alignment horizontal="center" vertical="top"/>
    </xf>
    <xf numFmtId="168" fontId="0" fillId="0" borderId="10" xfId="0" applyNumberFormat="1" applyFont="1" applyBorder="1" applyAlignment="1">
      <alignment horizontal="center" vertical="center"/>
    </xf>
    <xf numFmtId="0" fontId="20" fillId="0" borderId="10" xfId="0" applyNumberFormat="1" applyFont="1" applyFill="1" applyBorder="1" applyAlignment="1">
      <alignment horizontal="center" vertical="top"/>
    </xf>
    <xf numFmtId="173" fontId="20" fillId="0" borderId="10" xfId="0" applyNumberFormat="1" applyFont="1" applyFill="1" applyBorder="1" applyAlignment="1">
      <alignment vertical="top"/>
    </xf>
    <xf numFmtId="1" fontId="20" fillId="0" borderId="10" xfId="0" applyNumberFormat="1" applyFont="1" applyBorder="1" applyAlignment="1">
      <alignment horizontal="center" vertical="top"/>
    </xf>
    <xf numFmtId="173" fontId="20" fillId="0" borderId="10" xfId="0" applyNumberFormat="1" applyFont="1" applyBorder="1" applyAlignment="1">
      <alignment vertical="top"/>
    </xf>
    <xf numFmtId="0" fontId="20" fillId="0" borderId="10" xfId="0" applyNumberFormat="1" applyFont="1" applyBorder="1" applyAlignment="1">
      <alignment vertical="top"/>
    </xf>
    <xf numFmtId="0" fontId="20" fillId="0" borderId="10" xfId="0" quotePrefix="1" applyNumberFormat="1" applyFont="1" applyFill="1" applyBorder="1" applyAlignment="1">
      <alignment horizontal="center" vertical="top"/>
    </xf>
    <xf numFmtId="0" fontId="20" fillId="0" borderId="10" xfId="0" quotePrefix="1" applyNumberFormat="1" applyFont="1" applyBorder="1" applyAlignment="1">
      <alignment horizontal="center" vertical="top"/>
    </xf>
    <xf numFmtId="0" fontId="0" fillId="0" borderId="10" xfId="0" applyFont="1" applyFill="1" applyBorder="1" applyAlignment="1">
      <alignment vertical="top"/>
    </xf>
    <xf numFmtId="173" fontId="16" fillId="0" borderId="10" xfId="1" applyNumberFormat="1" applyFont="1" applyBorder="1"/>
    <xf numFmtId="173" fontId="20" fillId="0" borderId="10" xfId="43" applyNumberFormat="1" applyFont="1" applyFill="1" applyBorder="1" applyAlignment="1">
      <alignment horizontal="center" vertical="center"/>
    </xf>
    <xf numFmtId="0" fontId="0" fillId="0" borderId="10" xfId="0" applyFont="1" applyBorder="1" applyAlignment="1">
      <alignment vertical="top" wrapText="1"/>
    </xf>
    <xf numFmtId="167" fontId="20" fillId="0" borderId="10" xfId="43" applyNumberFormat="1" applyFont="1" applyFill="1" applyBorder="1" applyAlignment="1">
      <alignment vertical="top"/>
    </xf>
    <xf numFmtId="171" fontId="0" fillId="33" borderId="10" xfId="0" applyNumberFormat="1" applyFont="1" applyFill="1" applyBorder="1"/>
    <xf numFmtId="167" fontId="0" fillId="33" borderId="10" xfId="0" applyNumberFormat="1" applyFill="1" applyBorder="1"/>
    <xf numFmtId="0" fontId="0" fillId="0" borderId="0" xfId="0" applyFont="1" applyFill="1" applyBorder="1" applyAlignment="1">
      <alignment horizontal="center"/>
    </xf>
    <xf numFmtId="0" fontId="0" fillId="0" borderId="0" xfId="0" applyFont="1" applyBorder="1" applyAlignment="1">
      <alignment horizontal="center" vertical="center"/>
    </xf>
    <xf numFmtId="14" fontId="0" fillId="0" borderId="0" xfId="0" applyNumberFormat="1" applyFont="1" applyFill="1" applyBorder="1" applyAlignment="1">
      <alignment horizontal="center" vertical="center"/>
    </xf>
    <xf numFmtId="2" fontId="20" fillId="0" borderId="0" xfId="0" applyNumberFormat="1" applyFont="1" applyFill="1" applyBorder="1" applyAlignment="1">
      <alignment horizontal="center" vertical="center"/>
    </xf>
    <xf numFmtId="9" fontId="0" fillId="0" borderId="0" xfId="0" applyNumberFormat="1" applyFont="1" applyBorder="1" applyAlignment="1">
      <alignment horizontal="center" vertical="center"/>
    </xf>
    <xf numFmtId="168" fontId="0" fillId="0" borderId="0" xfId="0" applyNumberFormat="1" applyFont="1" applyBorder="1" applyAlignment="1">
      <alignment horizontal="center" vertical="center"/>
    </xf>
    <xf numFmtId="167" fontId="0" fillId="0" borderId="0" xfId="0" applyNumberFormat="1" applyFont="1" applyBorder="1" applyAlignment="1">
      <alignment horizontal="center"/>
    </xf>
    <xf numFmtId="0" fontId="0" fillId="0" borderId="0" xfId="0" applyFont="1" applyBorder="1" applyAlignment="1">
      <alignment horizontal="center"/>
    </xf>
    <xf numFmtId="0" fontId="0" fillId="0" borderId="0" xfId="0" applyFont="1" applyFill="1" applyBorder="1" applyAlignment="1">
      <alignment horizontal="center" vertical="top" wrapText="1"/>
    </xf>
    <xf numFmtId="173" fontId="0" fillId="0" borderId="0" xfId="0" applyNumberFormat="1" applyFont="1" applyBorder="1" applyAlignment="1">
      <alignment horizontal="center"/>
    </xf>
    <xf numFmtId="167" fontId="21" fillId="0" borderId="0" xfId="0" applyNumberFormat="1" applyFont="1" applyBorder="1" applyAlignment="1">
      <alignment horizontal="center"/>
    </xf>
    <xf numFmtId="166" fontId="0" fillId="0" borderId="0" xfId="0" applyNumberFormat="1" applyFont="1" applyBorder="1" applyAlignment="1">
      <alignment horizontal="center"/>
    </xf>
    <xf numFmtId="0" fontId="0" fillId="0" borderId="0" xfId="0" applyFont="1" applyFill="1" applyBorder="1"/>
    <xf numFmtId="0" fontId="0" fillId="0" borderId="0" xfId="0" applyFont="1" applyBorder="1"/>
    <xf numFmtId="173" fontId="0" fillId="0" borderId="0" xfId="0" applyNumberFormat="1" applyFont="1" applyBorder="1"/>
    <xf numFmtId="173" fontId="16" fillId="0" borderId="10" xfId="0" applyNumberFormat="1" applyFont="1" applyBorder="1"/>
    <xf numFmtId="0" fontId="20" fillId="0" borderId="10" xfId="0" applyNumberFormat="1" applyFont="1" applyBorder="1" applyAlignment="1">
      <alignment horizontal="center" vertical="center"/>
    </xf>
    <xf numFmtId="0" fontId="0" fillId="0" borderId="10" xfId="0" applyFont="1" applyBorder="1" applyAlignment="1">
      <alignment vertical="center"/>
    </xf>
    <xf numFmtId="167" fontId="16" fillId="0" borderId="10" xfId="0" applyNumberFormat="1" applyFont="1" applyBorder="1"/>
    <xf numFmtId="14" fontId="0" fillId="0" borderId="10" xfId="0" applyNumberFormat="1" applyFont="1" applyBorder="1" applyAlignment="1">
      <alignment horizontal="center" vertical="center"/>
    </xf>
    <xf numFmtId="14" fontId="20" fillId="0" borderId="10" xfId="0" applyNumberFormat="1" applyFont="1" applyFill="1" applyBorder="1" applyAlignment="1">
      <alignment horizontal="center" vertical="center"/>
    </xf>
    <xf numFmtId="14" fontId="20" fillId="0" borderId="10" xfId="0" applyNumberFormat="1" applyFont="1" applyBorder="1" applyAlignment="1">
      <alignment horizontal="center" vertical="center"/>
    </xf>
    <xf numFmtId="10" fontId="20" fillId="0" borderId="10" xfId="44" applyNumberFormat="1" applyFont="1" applyFill="1" applyBorder="1" applyAlignment="1">
      <alignment horizontal="center" vertical="center"/>
    </xf>
    <xf numFmtId="167" fontId="20" fillId="0" borderId="10" xfId="43" applyNumberFormat="1" applyFont="1" applyFill="1" applyBorder="1" applyAlignment="1">
      <alignment horizontal="center" vertical="center"/>
    </xf>
    <xf numFmtId="167" fontId="0" fillId="0" borderId="10" xfId="0" applyNumberFormat="1" applyFont="1" applyBorder="1" applyAlignment="1">
      <alignment horizontal="center" vertical="center"/>
    </xf>
    <xf numFmtId="167" fontId="0" fillId="0" borderId="10" xfId="43" applyNumberFormat="1" applyFont="1" applyBorder="1" applyAlignment="1">
      <alignment horizontal="center" vertical="center"/>
    </xf>
    <xf numFmtId="173" fontId="20" fillId="0" borderId="10" xfId="0" applyNumberFormat="1" applyFont="1" applyBorder="1" applyAlignment="1">
      <alignment horizontal="center" vertical="center"/>
    </xf>
    <xf numFmtId="173" fontId="20" fillId="0" borderId="10" xfId="0" applyNumberFormat="1" applyFont="1" applyFill="1" applyBorder="1" applyAlignment="1">
      <alignment horizontal="center" vertical="center"/>
    </xf>
    <xf numFmtId="0" fontId="20" fillId="0" borderId="10" xfId="0" applyNumberFormat="1" applyFont="1" applyFill="1" applyBorder="1" applyAlignment="1">
      <alignment vertical="top" wrapText="1"/>
    </xf>
    <xf numFmtId="0" fontId="20" fillId="0" borderId="10" xfId="0" applyNumberFormat="1" applyFont="1" applyFill="1" applyBorder="1" applyAlignment="1">
      <alignment horizontal="center" vertical="center"/>
    </xf>
    <xf numFmtId="2" fontId="0" fillId="0" borderId="10" xfId="0" applyNumberFormat="1" applyFont="1" applyFill="1" applyBorder="1" applyAlignment="1">
      <alignment horizontal="center" vertical="center"/>
    </xf>
    <xf numFmtId="9" fontId="0" fillId="0" borderId="10" xfId="0" applyNumberFormat="1" applyFont="1" applyFill="1" applyBorder="1" applyAlignment="1">
      <alignment horizontal="center" vertical="center"/>
    </xf>
    <xf numFmtId="168" fontId="0" fillId="0" borderId="10" xfId="0" applyNumberFormat="1" applyFont="1" applyFill="1" applyBorder="1" applyAlignment="1">
      <alignment horizontal="center" vertical="center"/>
    </xf>
    <xf numFmtId="167" fontId="0" fillId="0" borderId="10" xfId="0" applyNumberFormat="1" applyFont="1" applyFill="1" applyBorder="1" applyAlignment="1">
      <alignment horizontal="center" vertical="center"/>
    </xf>
    <xf numFmtId="9" fontId="0" fillId="0" borderId="10" xfId="44" applyFont="1" applyFill="1" applyBorder="1" applyAlignment="1">
      <alignment horizontal="center" vertical="center"/>
    </xf>
    <xf numFmtId="173" fontId="0" fillId="0" borderId="0" xfId="43" applyNumberFormat="1" applyFont="1" applyBorder="1"/>
    <xf numFmtId="1" fontId="20" fillId="0" borderId="10" xfId="0" applyNumberFormat="1" applyFont="1" applyBorder="1" applyAlignment="1">
      <alignment horizontal="center" vertical="center"/>
    </xf>
    <xf numFmtId="0" fontId="20" fillId="0" borderId="10" xfId="0" applyNumberFormat="1" applyFont="1" applyBorder="1" applyAlignment="1">
      <alignment vertical="center"/>
    </xf>
    <xf numFmtId="173" fontId="20" fillId="0" borderId="10" xfId="43" applyNumberFormat="1" applyFont="1" applyBorder="1" applyAlignment="1">
      <alignment vertical="center"/>
    </xf>
    <xf numFmtId="173" fontId="20" fillId="0" borderId="10" xfId="43" applyNumberFormat="1" applyFont="1" applyFill="1" applyBorder="1" applyAlignment="1">
      <alignment vertical="center"/>
    </xf>
    <xf numFmtId="173" fontId="16" fillId="0" borderId="10" xfId="43" applyNumberFormat="1" applyFont="1" applyBorder="1"/>
    <xf numFmtId="166" fontId="0" fillId="0" borderId="0" xfId="0" applyNumberFormat="1" applyFont="1" applyBorder="1"/>
    <xf numFmtId="173" fontId="20" fillId="0" borderId="10" xfId="0" applyNumberFormat="1" applyFont="1" applyFill="1" applyBorder="1" applyAlignment="1">
      <alignment vertical="center"/>
    </xf>
    <xf numFmtId="173" fontId="20" fillId="0" borderId="10" xfId="0" applyNumberFormat="1" applyFont="1" applyBorder="1" applyAlignment="1">
      <alignment vertical="center"/>
    </xf>
    <xf numFmtId="0" fontId="20" fillId="0" borderId="10" xfId="0" quotePrefix="1" applyNumberFormat="1" applyFont="1" applyBorder="1" applyAlignment="1">
      <alignment horizontal="center" vertical="center"/>
    </xf>
    <xf numFmtId="167" fontId="16" fillId="0" borderId="10" xfId="43" applyNumberFormat="1" applyFont="1" applyFill="1" applyBorder="1" applyAlignment="1">
      <alignment horizontal="center" vertical="center"/>
    </xf>
    <xf numFmtId="167" fontId="0" fillId="0" borderId="0" xfId="0" applyNumberFormat="1" applyFont="1" applyBorder="1"/>
    <xf numFmtId="0" fontId="20" fillId="0" borderId="0" xfId="52" applyFont="1" applyFill="1" applyBorder="1" applyAlignment="1">
      <alignment horizontal="left" wrapText="1"/>
    </xf>
    <xf numFmtId="0" fontId="30" fillId="0" borderId="0" xfId="55" applyFont="1" applyFill="1" applyBorder="1" applyAlignment="1">
      <alignment horizontal="left"/>
    </xf>
    <xf numFmtId="0" fontId="20" fillId="0" borderId="0" xfId="53" applyFont="1" applyFill="1" applyBorder="1" applyAlignment="1">
      <alignment vertical="center" wrapText="1"/>
    </xf>
    <xf numFmtId="0" fontId="20" fillId="0" borderId="0" xfId="57" applyFont="1" applyFill="1" applyBorder="1" applyAlignment="1">
      <alignment vertical="center" wrapText="1"/>
    </xf>
    <xf numFmtId="0" fontId="20" fillId="0" borderId="0" xfId="58" applyFont="1" applyFill="1" applyBorder="1" applyAlignment="1">
      <alignment horizontal="left"/>
    </xf>
    <xf numFmtId="0" fontId="20" fillId="0" borderId="0" xfId="59" applyFont="1" applyFill="1" applyBorder="1" applyAlignment="1">
      <alignment horizontal="left"/>
    </xf>
    <xf numFmtId="0" fontId="30" fillId="0" borderId="0" xfId="60" applyFont="1" applyFill="1" applyBorder="1" applyAlignment="1">
      <alignment horizontal="left"/>
    </xf>
    <xf numFmtId="0" fontId="20" fillId="0" borderId="0" xfId="60" applyFont="1" applyFill="1" applyBorder="1" applyAlignment="1">
      <alignment vertical="center" wrapText="1"/>
    </xf>
    <xf numFmtId="0" fontId="30" fillId="0" borderId="0" xfId="61" applyFont="1" applyFill="1" applyBorder="1" applyAlignment="1">
      <alignment horizontal="left"/>
    </xf>
    <xf numFmtId="0" fontId="30" fillId="0" borderId="0" xfId="62" applyFont="1" applyFill="1" applyBorder="1" applyAlignment="1">
      <alignment horizontal="left"/>
    </xf>
    <xf numFmtId="0" fontId="30" fillId="0" borderId="0" xfId="63" applyFont="1" applyFill="1" applyBorder="1" applyAlignment="1">
      <alignment horizontal="left"/>
    </xf>
    <xf numFmtId="0" fontId="20" fillId="0" borderId="0" xfId="61" applyFont="1" applyFill="1" applyBorder="1" applyAlignment="1">
      <alignment horizontal="left"/>
    </xf>
    <xf numFmtId="0" fontId="30" fillId="0" borderId="0" xfId="64" applyFont="1" applyFill="1" applyBorder="1" applyAlignment="1">
      <alignment horizontal="left"/>
    </xf>
    <xf numFmtId="0" fontId="20" fillId="0" borderId="0" xfId="64" applyFont="1" applyFill="1" applyBorder="1" applyAlignment="1">
      <alignment vertical="center" wrapText="1"/>
    </xf>
    <xf numFmtId="0" fontId="30" fillId="0" borderId="0" xfId="64" applyFont="1" applyFill="1" applyBorder="1" applyAlignment="1">
      <alignment horizontal="center"/>
    </xf>
    <xf numFmtId="0" fontId="20" fillId="0" borderId="0" xfId="65" applyFont="1" applyFill="1" applyBorder="1" applyAlignment="1">
      <alignment horizontal="left" vertical="center" wrapText="1"/>
    </xf>
    <xf numFmtId="0" fontId="20" fillId="0" borderId="0" xfId="66" applyFont="1" applyFill="1" applyBorder="1" applyAlignment="1">
      <alignment vertical="center" wrapText="1"/>
    </xf>
    <xf numFmtId="0" fontId="20" fillId="0" borderId="0" xfId="67" applyFont="1" applyFill="1" applyBorder="1" applyAlignment="1">
      <alignment vertical="center" wrapText="1"/>
    </xf>
    <xf numFmtId="167" fontId="21" fillId="0" borderId="0" xfId="0" applyNumberFormat="1" applyFont="1" applyBorder="1"/>
    <xf numFmtId="0" fontId="0" fillId="0" borderId="10" xfId="0" applyNumberFormat="1" applyFont="1" applyFill="1" applyBorder="1" applyAlignment="1">
      <alignment horizontal="center" vertical="center"/>
    </xf>
    <xf numFmtId="0" fontId="20" fillId="0" borderId="10" xfId="0" applyNumberFormat="1" applyFont="1" applyBorder="1" applyAlignment="1">
      <alignment vertical="center" wrapText="1"/>
    </xf>
    <xf numFmtId="0" fontId="0" fillId="0" borderId="0" xfId="0" applyFont="1" applyBorder="1" applyAlignment="1">
      <alignment vertical="center"/>
    </xf>
    <xf numFmtId="0" fontId="20" fillId="0" borderId="10" xfId="0" applyNumberFormat="1" applyFont="1" applyBorder="1" applyAlignment="1">
      <alignment horizontal="left" vertical="top" wrapText="1"/>
    </xf>
    <xf numFmtId="173" fontId="16" fillId="0" borderId="10" xfId="0" applyNumberFormat="1" applyFont="1" applyBorder="1" applyAlignment="1">
      <alignment horizontal="center"/>
    </xf>
    <xf numFmtId="0" fontId="20" fillId="0" borderId="10" xfId="0" applyNumberFormat="1" applyFont="1" applyBorder="1" applyAlignment="1">
      <alignment horizontal="center" vertical="center" wrapText="1"/>
    </xf>
    <xf numFmtId="0" fontId="31" fillId="40" borderId="20" xfId="0" applyFont="1" applyFill="1" applyBorder="1" applyAlignment="1">
      <alignment vertical="center" wrapText="1"/>
    </xf>
    <xf numFmtId="0" fontId="33" fillId="41" borderId="20" xfId="0" applyFont="1" applyFill="1" applyBorder="1" applyAlignment="1">
      <alignment vertical="center" wrapText="1"/>
    </xf>
    <xf numFmtId="0" fontId="32" fillId="41" borderId="20" xfId="0" applyFont="1" applyFill="1" applyBorder="1" applyAlignment="1">
      <alignment vertical="center" wrapText="1"/>
    </xf>
    <xf numFmtId="10" fontId="0" fillId="0" borderId="0" xfId="44" applyNumberFormat="1" applyFont="1"/>
    <xf numFmtId="10" fontId="20" fillId="0" borderId="10" xfId="44" applyNumberFormat="1" applyFont="1" applyBorder="1" applyAlignment="1">
      <alignment horizontal="center" vertical="center"/>
    </xf>
    <xf numFmtId="0" fontId="33" fillId="41" borderId="0" xfId="0" applyFont="1" applyFill="1" applyBorder="1" applyAlignment="1">
      <alignment vertical="center" wrapText="1"/>
    </xf>
    <xf numFmtId="0" fontId="0" fillId="0" borderId="10" xfId="0" applyFont="1" applyFill="1" applyBorder="1" applyAlignment="1">
      <alignment vertical="top" wrapText="1"/>
    </xf>
    <xf numFmtId="164" fontId="0" fillId="0" borderId="10" xfId="43" applyFont="1" applyFill="1" applyBorder="1" applyAlignment="1">
      <alignment vertical="center"/>
    </xf>
    <xf numFmtId="0" fontId="0" fillId="0" borderId="10" xfId="0" applyBorder="1" applyAlignment="1">
      <alignment horizontal="center" vertical="center"/>
    </xf>
    <xf numFmtId="0" fontId="0" fillId="0" borderId="0" xfId="0" applyAlignment="1">
      <alignment horizontal="center"/>
    </xf>
    <xf numFmtId="0" fontId="34" fillId="0" borderId="0" xfId="0" applyFont="1" applyAlignment="1">
      <alignment vertical="center"/>
    </xf>
    <xf numFmtId="165" fontId="34" fillId="0" borderId="0" xfId="1" applyFont="1" applyAlignment="1">
      <alignment vertical="center"/>
    </xf>
    <xf numFmtId="0" fontId="16" fillId="0" borderId="0" xfId="0" applyFont="1" applyAlignment="1">
      <alignment horizontal="center" vertical="center"/>
    </xf>
    <xf numFmtId="9" fontId="16" fillId="0" borderId="0" xfId="0" applyNumberFormat="1" applyFont="1" applyAlignment="1">
      <alignment horizontal="center" vertical="center"/>
    </xf>
    <xf numFmtId="165" fontId="16" fillId="0" borderId="0" xfId="1" applyFont="1" applyAlignment="1">
      <alignment horizontal="center" vertical="center"/>
    </xf>
    <xf numFmtId="0" fontId="20" fillId="0" borderId="10" xfId="0" applyFont="1" applyFill="1" applyBorder="1" applyAlignment="1">
      <alignment horizontal="left" vertical="center" wrapText="1"/>
    </xf>
    <xf numFmtId="0" fontId="0" fillId="0" borderId="10" xfId="0" applyNumberFormat="1" applyFont="1" applyBorder="1" applyAlignment="1">
      <alignment horizontal="center" vertical="center"/>
    </xf>
    <xf numFmtId="0" fontId="35" fillId="0" borderId="10" xfId="0" applyFont="1" applyFill="1" applyBorder="1" applyAlignment="1">
      <alignment horizontal="center" vertical="center" wrapText="1"/>
    </xf>
    <xf numFmtId="14" fontId="0" fillId="0" borderId="10" xfId="0" applyNumberFormat="1" applyBorder="1" applyAlignment="1">
      <alignment horizontal="center" vertical="center"/>
    </xf>
    <xf numFmtId="0" fontId="0" fillId="0" borderId="10" xfId="1" applyNumberFormat="1" applyFont="1" applyBorder="1" applyAlignment="1">
      <alignment horizontal="center" vertical="center"/>
    </xf>
    <xf numFmtId="9" fontId="0" fillId="0" borderId="10" xfId="0" applyNumberFormat="1" applyBorder="1" applyAlignment="1">
      <alignment horizontal="center" vertical="center"/>
    </xf>
    <xf numFmtId="167" fontId="0" fillId="0" borderId="10" xfId="43" applyNumberFormat="1" applyFont="1" applyBorder="1" applyAlignment="1">
      <alignment vertical="center"/>
    </xf>
    <xf numFmtId="167" fontId="0" fillId="0" borderId="10" xfId="0" applyNumberFormat="1" applyBorder="1" applyAlignment="1">
      <alignment horizontal="center" vertical="center"/>
    </xf>
    <xf numFmtId="167" fontId="0" fillId="0" borderId="10" xfId="0" applyNumberFormat="1" applyBorder="1" applyAlignment="1">
      <alignment vertical="center"/>
    </xf>
    <xf numFmtId="9" fontId="0" fillId="0" borderId="0" xfId="0" applyNumberFormat="1"/>
    <xf numFmtId="0" fontId="0" fillId="0" borderId="0" xfId="0" applyFill="1"/>
    <xf numFmtId="14" fontId="0" fillId="0" borderId="10" xfId="0" applyNumberFormat="1" applyFill="1" applyBorder="1" applyAlignment="1">
      <alignment horizontal="center" vertical="center"/>
    </xf>
    <xf numFmtId="0" fontId="0" fillId="0" borderId="10" xfId="1" applyNumberFormat="1" applyFont="1" applyFill="1" applyBorder="1" applyAlignment="1">
      <alignment horizontal="center" vertical="center"/>
    </xf>
    <xf numFmtId="9" fontId="0" fillId="0" borderId="10" xfId="0" applyNumberFormat="1" applyFill="1" applyBorder="1" applyAlignment="1">
      <alignment horizontal="center" vertical="center"/>
    </xf>
    <xf numFmtId="2" fontId="0" fillId="0" borderId="10" xfId="0" applyNumberFormat="1" applyFill="1" applyBorder="1" applyAlignment="1">
      <alignment horizontal="center" vertical="center"/>
    </xf>
    <xf numFmtId="167" fontId="0" fillId="0" borderId="10" xfId="43" applyNumberFormat="1" applyFont="1" applyFill="1" applyBorder="1" applyAlignment="1">
      <alignment vertical="center"/>
    </xf>
    <xf numFmtId="167" fontId="0" fillId="0" borderId="10" xfId="0" applyNumberFormat="1" applyFill="1" applyBorder="1" applyAlignment="1">
      <alignment horizontal="center" vertical="center"/>
    </xf>
    <xf numFmtId="167" fontId="0" fillId="0" borderId="10" xfId="0" applyNumberFormat="1" applyFill="1" applyBorder="1" applyAlignment="1">
      <alignment vertical="center"/>
    </xf>
    <xf numFmtId="3" fontId="0" fillId="0" borderId="10" xfId="0" applyNumberFormat="1" applyFill="1" applyBorder="1" applyAlignment="1">
      <alignment horizontal="center" vertical="center"/>
    </xf>
    <xf numFmtId="0" fontId="20" fillId="0" borderId="10" xfId="0" applyFont="1" applyFill="1" applyBorder="1" applyAlignment="1">
      <alignment horizontal="center" vertical="center" wrapText="1"/>
    </xf>
    <xf numFmtId="165" fontId="16" fillId="0" borderId="10" xfId="1" applyFont="1" applyFill="1" applyBorder="1" applyAlignment="1">
      <alignment horizontal="center" vertical="center"/>
    </xf>
    <xf numFmtId="0" fontId="0" fillId="0" borderId="10" xfId="0" applyFill="1" applyBorder="1" applyAlignment="1">
      <alignment vertical="center"/>
    </xf>
    <xf numFmtId="167" fontId="16" fillId="0" borderId="10" xfId="0" applyNumberFormat="1" applyFont="1" applyFill="1" applyBorder="1" applyAlignment="1">
      <alignment horizontal="center" vertical="center"/>
    </xf>
    <xf numFmtId="167" fontId="16" fillId="0" borderId="10" xfId="0" applyNumberFormat="1" applyFont="1" applyFill="1" applyBorder="1" applyAlignment="1">
      <alignment vertical="center"/>
    </xf>
    <xf numFmtId="0" fontId="0" fillId="0" borderId="10" xfId="0" applyNumberFormat="1" applyFill="1" applyBorder="1" applyAlignment="1">
      <alignment horizontal="center" vertical="center"/>
    </xf>
    <xf numFmtId="4" fontId="35" fillId="0" borderId="10" xfId="0" applyNumberFormat="1" applyFont="1" applyFill="1" applyBorder="1" applyAlignment="1">
      <alignment horizontal="center" vertical="center" shrinkToFit="1"/>
    </xf>
    <xf numFmtId="0" fontId="35" fillId="0" borderId="10" xfId="0" applyFont="1" applyFill="1" applyBorder="1" applyAlignment="1">
      <alignment horizontal="center" vertical="center"/>
    </xf>
    <xf numFmtId="4" fontId="16" fillId="0" borderId="10" xfId="0" applyNumberFormat="1" applyFont="1" applyFill="1" applyBorder="1" applyAlignment="1">
      <alignment horizontal="center" vertical="center"/>
    </xf>
    <xf numFmtId="0" fontId="16" fillId="0" borderId="10" xfId="0" applyFont="1" applyFill="1" applyBorder="1" applyAlignment="1">
      <alignment vertical="center"/>
    </xf>
    <xf numFmtId="164" fontId="21" fillId="37" borderId="16" xfId="43" applyFont="1" applyFill="1" applyBorder="1" applyAlignment="1">
      <alignment horizontal="center" vertical="center" wrapText="1"/>
    </xf>
    <xf numFmtId="0" fontId="21" fillId="37" borderId="10" xfId="43" applyNumberFormat="1" applyFont="1" applyFill="1" applyBorder="1" applyAlignment="1">
      <alignment horizontal="center" vertical="center" wrapText="1"/>
    </xf>
    <xf numFmtId="0" fontId="21" fillId="37" borderId="17" xfId="43" applyNumberFormat="1" applyFont="1" applyFill="1" applyBorder="1" applyAlignment="1">
      <alignment horizontal="center" vertical="center" wrapText="1"/>
    </xf>
    <xf numFmtId="2" fontId="16" fillId="0" borderId="10" xfId="0" applyNumberFormat="1" applyFont="1" applyFill="1" applyBorder="1" applyAlignment="1">
      <alignment horizontal="center" vertical="center"/>
    </xf>
    <xf numFmtId="167" fontId="16" fillId="0" borderId="10" xfId="0" applyNumberFormat="1" applyFont="1" applyBorder="1" applyAlignment="1">
      <alignment vertical="center"/>
    </xf>
    <xf numFmtId="0" fontId="20" fillId="0" borderId="21" xfId="0" applyFont="1" applyFill="1" applyBorder="1" applyAlignment="1">
      <alignment horizontal="center" vertical="center" wrapText="1"/>
    </xf>
    <xf numFmtId="0" fontId="0" fillId="0" borderId="10" xfId="0" applyFill="1" applyBorder="1" applyAlignment="1">
      <alignment horizontal="center"/>
    </xf>
    <xf numFmtId="165" fontId="0" fillId="0" borderId="10" xfId="1" applyFont="1" applyFill="1" applyBorder="1"/>
    <xf numFmtId="167" fontId="0" fillId="0" borderId="10" xfId="0" applyNumberFormat="1" applyFill="1" applyBorder="1"/>
    <xf numFmtId="2" fontId="16" fillId="0" borderId="10" xfId="0" applyNumberFormat="1" applyFont="1" applyBorder="1" applyAlignment="1">
      <alignment horizontal="center" vertical="center"/>
    </xf>
    <xf numFmtId="165" fontId="16" fillId="0" borderId="10" xfId="1" applyFont="1" applyBorder="1"/>
    <xf numFmtId="171" fontId="16" fillId="0" borderId="10" xfId="0" applyNumberFormat="1" applyFont="1" applyBorder="1"/>
    <xf numFmtId="0" fontId="0" fillId="0" borderId="10" xfId="0" applyBorder="1" applyAlignment="1">
      <alignment horizontal="center" vertical="center"/>
    </xf>
    <xf numFmtId="0" fontId="39" fillId="0" borderId="10" xfId="0" applyFont="1" applyFill="1" applyBorder="1" applyAlignment="1">
      <alignment horizontal="center" vertical="top" wrapText="1"/>
    </xf>
    <xf numFmtId="0" fontId="16" fillId="0" borderId="10" xfId="0" applyFont="1" applyFill="1" applyBorder="1" applyAlignment="1"/>
    <xf numFmtId="2" fontId="40" fillId="0" borderId="10" xfId="0" applyNumberFormat="1" applyFont="1" applyFill="1" applyBorder="1" applyAlignment="1">
      <alignment horizontal="center" vertical="top" shrinkToFit="1"/>
    </xf>
    <xf numFmtId="4" fontId="40" fillId="0" borderId="10" xfId="0" applyNumberFormat="1" applyFont="1" applyFill="1" applyBorder="1" applyAlignment="1">
      <alignment horizontal="center" vertical="top" shrinkToFit="1"/>
    </xf>
    <xf numFmtId="0" fontId="40" fillId="0" borderId="10" xfId="0" applyFont="1" applyFill="1" applyBorder="1" applyAlignment="1">
      <alignment horizontal="center" vertical="top"/>
    </xf>
    <xf numFmtId="9" fontId="16" fillId="36" borderId="10" xfId="44" applyFont="1" applyFill="1" applyBorder="1" applyAlignment="1">
      <alignment horizontal="center" vertical="center" wrapText="1"/>
    </xf>
    <xf numFmtId="9" fontId="0" fillId="0" borderId="0" xfId="44" applyFont="1"/>
    <xf numFmtId="2" fontId="16" fillId="36" borderId="10" xfId="0" applyNumberFormat="1" applyFont="1" applyFill="1" applyBorder="1" applyAlignment="1">
      <alignment horizontal="center" vertical="center" wrapText="1"/>
    </xf>
    <xf numFmtId="2" fontId="0" fillId="0" borderId="10" xfId="0" applyNumberFormat="1" applyBorder="1" applyAlignment="1">
      <alignment horizontal="center"/>
    </xf>
    <xf numFmtId="2" fontId="0" fillId="0" borderId="0" xfId="0" applyNumberFormat="1" applyAlignment="1">
      <alignment horizontal="center"/>
    </xf>
    <xf numFmtId="173" fontId="16" fillId="36" borderId="10" xfId="0" applyNumberFormat="1" applyFont="1" applyFill="1" applyBorder="1" applyAlignment="1">
      <alignment horizontal="center" vertical="center" wrapText="1"/>
    </xf>
    <xf numFmtId="173" fontId="0" fillId="0" borderId="10" xfId="43" applyNumberFormat="1" applyFont="1" applyBorder="1" applyAlignment="1">
      <alignment vertical="center"/>
    </xf>
    <xf numFmtId="173" fontId="0" fillId="0" borderId="10" xfId="0" applyNumberFormat="1" applyBorder="1"/>
    <xf numFmtId="173" fontId="0" fillId="0" borderId="0" xfId="0" applyNumberFormat="1"/>
    <xf numFmtId="173" fontId="0" fillId="0" borderId="10" xfId="0" applyNumberFormat="1" applyBorder="1" applyAlignment="1">
      <alignment horizontal="center" vertical="center"/>
    </xf>
    <xf numFmtId="0" fontId="16" fillId="36" borderId="10" xfId="0" applyNumberFormat="1" applyFont="1" applyFill="1" applyBorder="1" applyAlignment="1">
      <alignment horizontal="center" vertical="center" wrapText="1"/>
    </xf>
    <xf numFmtId="0" fontId="0" fillId="0" borderId="0" xfId="0" applyNumberFormat="1"/>
    <xf numFmtId="173" fontId="16" fillId="36" borderId="10" xfId="44" applyNumberFormat="1" applyFont="1" applyFill="1" applyBorder="1" applyAlignment="1">
      <alignment horizontal="center" vertical="center" wrapText="1"/>
    </xf>
    <xf numFmtId="173" fontId="0" fillId="0" borderId="10" xfId="44" applyNumberFormat="1" applyFont="1" applyBorder="1" applyAlignment="1">
      <alignment vertical="center"/>
    </xf>
    <xf numFmtId="173" fontId="0" fillId="0" borderId="10" xfId="44" applyNumberFormat="1" applyFont="1" applyBorder="1"/>
    <xf numFmtId="173" fontId="0" fillId="0" borderId="0" xfId="44" applyNumberFormat="1" applyFont="1"/>
    <xf numFmtId="173" fontId="16" fillId="0" borderId="10" xfId="0" applyNumberFormat="1" applyFont="1" applyFill="1" applyBorder="1" applyAlignment="1"/>
    <xf numFmtId="167" fontId="16" fillId="0" borderId="10" xfId="0" applyNumberFormat="1" applyFont="1" applyFill="1" applyBorder="1" applyAlignment="1"/>
    <xf numFmtId="173" fontId="16" fillId="0" borderId="10" xfId="44" applyNumberFormat="1" applyFont="1" applyFill="1" applyBorder="1" applyAlignment="1"/>
    <xf numFmtId="0" fontId="16" fillId="0" borderId="0" xfId="0" applyFont="1" applyFill="1"/>
    <xf numFmtId="4" fontId="16" fillId="0" borderId="10" xfId="0" applyNumberFormat="1" applyFont="1" applyBorder="1"/>
    <xf numFmtId="173" fontId="16" fillId="0" borderId="10" xfId="0" applyNumberFormat="1" applyFont="1" applyBorder="1" applyAlignment="1">
      <alignment horizontal="center" vertical="center"/>
    </xf>
    <xf numFmtId="173" fontId="16" fillId="0" borderId="10" xfId="44" applyNumberFormat="1" applyFont="1" applyBorder="1"/>
    <xf numFmtId="0" fontId="0" fillId="0" borderId="10" xfId="0" applyBorder="1" applyAlignment="1">
      <alignment horizontal="center" vertical="center"/>
    </xf>
    <xf numFmtId="167" fontId="20" fillId="0" borderId="10" xfId="43" applyNumberFormat="1" applyFont="1" applyFill="1" applyBorder="1" applyAlignment="1">
      <alignment horizontal="center" vertical="center" wrapText="1"/>
    </xf>
    <xf numFmtId="167" fontId="18" fillId="39" borderId="10" xfId="0" applyNumberFormat="1" applyFont="1" applyFill="1" applyBorder="1" applyAlignment="1">
      <alignment horizontal="center" vertical="center" wrapText="1"/>
    </xf>
    <xf numFmtId="2" fontId="16" fillId="0" borderId="10" xfId="0" applyNumberFormat="1" applyFont="1" applyFill="1" applyBorder="1" applyAlignment="1">
      <alignment horizontal="center"/>
    </xf>
    <xf numFmtId="0" fontId="39" fillId="0" borderId="10" xfId="0" applyFont="1" applyFill="1" applyBorder="1" applyAlignment="1">
      <alignment horizontal="left" vertical="top" wrapText="1"/>
    </xf>
    <xf numFmtId="0" fontId="0" fillId="0" borderId="10" xfId="0" applyFont="1" applyFill="1" applyBorder="1" applyAlignment="1">
      <alignment horizontal="center" vertical="center" wrapText="1"/>
    </xf>
    <xf numFmtId="0" fontId="0" fillId="0" borderId="10" xfId="0" applyFont="1" applyBorder="1" applyAlignment="1">
      <alignment horizontal="center" vertical="center" wrapText="1"/>
    </xf>
    <xf numFmtId="0" fontId="0" fillId="0" borderId="10" xfId="0" applyBorder="1" applyAlignment="1">
      <alignment horizontal="center" vertical="center"/>
    </xf>
    <xf numFmtId="0" fontId="39" fillId="0" borderId="10" xfId="0" applyFont="1" applyFill="1" applyBorder="1" applyAlignment="1">
      <alignment horizontal="left" vertical="center" wrapText="1"/>
    </xf>
    <xf numFmtId="0" fontId="39" fillId="0" borderId="10" xfId="0" applyFont="1" applyFill="1" applyBorder="1" applyAlignment="1">
      <alignment horizontal="center" vertical="center" wrapText="1"/>
    </xf>
    <xf numFmtId="0" fontId="40" fillId="0" borderId="10" xfId="0" applyFont="1" applyFill="1" applyBorder="1" applyAlignment="1">
      <alignment horizontal="center" vertical="center"/>
    </xf>
    <xf numFmtId="173" fontId="0" fillId="0" borderId="10" xfId="0" applyNumberFormat="1" applyBorder="1" applyAlignment="1">
      <alignment vertical="center"/>
    </xf>
    <xf numFmtId="9" fontId="0" fillId="0" borderId="0" xfId="44" applyFont="1" applyAlignment="1">
      <alignment vertical="center"/>
    </xf>
    <xf numFmtId="0" fontId="0" fillId="0" borderId="0" xfId="0" applyAlignment="1">
      <alignment vertical="center"/>
    </xf>
    <xf numFmtId="4" fontId="35" fillId="0" borderId="10" xfId="0" applyNumberFormat="1" applyFont="1" applyFill="1" applyBorder="1" applyAlignment="1">
      <alignment horizontal="center" vertical="top" shrinkToFit="1"/>
    </xf>
    <xf numFmtId="2" fontId="35" fillId="0" borderId="10" xfId="0" applyNumberFormat="1" applyFont="1" applyFill="1" applyBorder="1" applyAlignment="1">
      <alignment horizontal="center" vertical="top" shrinkToFit="1"/>
    </xf>
    <xf numFmtId="44" fontId="0" fillId="0" borderId="10" xfId="0" applyNumberFormat="1" applyBorder="1"/>
    <xf numFmtId="44" fontId="0" fillId="0" borderId="0" xfId="0" applyNumberFormat="1"/>
    <xf numFmtId="44" fontId="0" fillId="0" borderId="17" xfId="0" applyNumberFormat="1" applyFill="1" applyBorder="1"/>
    <xf numFmtId="44" fontId="22" fillId="0" borderId="10" xfId="0" applyNumberFormat="1" applyFont="1" applyBorder="1"/>
    <xf numFmtId="44" fontId="22" fillId="0" borderId="17" xfId="0" applyNumberFormat="1" applyFont="1" applyFill="1" applyBorder="1"/>
    <xf numFmtId="44" fontId="0" fillId="0" borderId="10" xfId="0" applyNumberFormat="1" applyFont="1" applyBorder="1" applyAlignment="1">
      <alignment horizontal="center" vertical="center"/>
    </xf>
    <xf numFmtId="10" fontId="0" fillId="0" borderId="0" xfId="44" applyNumberFormat="1" applyFont="1" applyAlignment="1">
      <alignment horizontal="center" vertical="center"/>
    </xf>
    <xf numFmtId="10" fontId="0" fillId="0" borderId="0" xfId="44" applyNumberFormat="1" applyFont="1" applyAlignment="1">
      <alignment horizontal="center"/>
    </xf>
    <xf numFmtId="0" fontId="16" fillId="0" borderId="0" xfId="0" applyFont="1" applyBorder="1" applyAlignment="1">
      <alignment horizontal="center"/>
    </xf>
    <xf numFmtId="0" fontId="16" fillId="0" borderId="0" xfId="0" applyFont="1" applyBorder="1"/>
    <xf numFmtId="167" fontId="20" fillId="0" borderId="10" xfId="43" applyNumberFormat="1" applyFont="1" applyFill="1" applyBorder="1" applyAlignment="1">
      <alignment horizontal="center" vertical="center" wrapText="1"/>
    </xf>
    <xf numFmtId="173" fontId="16" fillId="0" borderId="10" xfId="44" applyNumberFormat="1" applyFont="1" applyFill="1" applyBorder="1"/>
    <xf numFmtId="0" fontId="19" fillId="0" borderId="11" xfId="0" applyFont="1" applyBorder="1" applyAlignment="1">
      <alignment horizontal="left"/>
    </xf>
    <xf numFmtId="0" fontId="19" fillId="0" borderId="12" xfId="0" applyFont="1" applyBorder="1" applyAlignment="1">
      <alignment horizontal="left"/>
    </xf>
    <xf numFmtId="0" fontId="19" fillId="0" borderId="13" xfId="0" applyFont="1" applyBorder="1" applyAlignment="1">
      <alignment horizontal="left"/>
    </xf>
    <xf numFmtId="0" fontId="23" fillId="0" borderId="11" xfId="0" applyFont="1" applyBorder="1" applyAlignment="1">
      <alignment horizontal="left" wrapText="1"/>
    </xf>
    <xf numFmtId="0" fontId="23" fillId="0" borderId="12" xfId="0" applyFont="1" applyBorder="1" applyAlignment="1">
      <alignment horizontal="left" wrapText="1"/>
    </xf>
    <xf numFmtId="0" fontId="23" fillId="0" borderId="13" xfId="0" applyFont="1" applyBorder="1" applyAlignment="1">
      <alignment horizontal="left" wrapText="1"/>
    </xf>
    <xf numFmtId="0" fontId="23" fillId="0" borderId="11" xfId="0" applyFont="1" applyBorder="1" applyAlignment="1">
      <alignment horizontal="left"/>
    </xf>
    <xf numFmtId="0" fontId="23" fillId="0" borderId="12" xfId="0" applyFont="1" applyBorder="1" applyAlignment="1">
      <alignment horizontal="left"/>
    </xf>
    <xf numFmtId="0" fontId="23" fillId="0" borderId="13" xfId="0" applyFont="1" applyBorder="1" applyAlignment="1">
      <alignment horizontal="left"/>
    </xf>
    <xf numFmtId="0" fontId="16" fillId="0" borderId="11" xfId="0" applyFont="1" applyBorder="1" applyAlignment="1">
      <alignment horizontal="center"/>
    </xf>
    <xf numFmtId="0" fontId="16" fillId="0" borderId="13" xfId="0" applyFont="1" applyBorder="1" applyAlignment="1">
      <alignment horizontal="center"/>
    </xf>
    <xf numFmtId="0" fontId="13" fillId="39" borderId="10" xfId="0" applyFont="1" applyFill="1" applyBorder="1" applyAlignment="1">
      <alignment horizontal="center"/>
    </xf>
    <xf numFmtId="0" fontId="18" fillId="34" borderId="19" xfId="0" applyFont="1" applyFill="1" applyBorder="1" applyAlignment="1">
      <alignment horizontal="center" vertical="center" wrapText="1"/>
    </xf>
    <xf numFmtId="0" fontId="18" fillId="34" borderId="0"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167" fontId="0" fillId="0" borderId="11" xfId="0" applyNumberFormat="1" applyBorder="1" applyAlignment="1">
      <alignment horizontal="center" vertical="center"/>
    </xf>
    <xf numFmtId="167" fontId="0" fillId="0" borderId="12" xfId="0" applyNumberFormat="1" applyBorder="1" applyAlignment="1">
      <alignment horizontal="center" vertical="center"/>
    </xf>
    <xf numFmtId="167" fontId="0" fillId="0" borderId="13" xfId="0" applyNumberFormat="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36" fillId="0" borderId="12" xfId="0" applyFont="1" applyFill="1" applyBorder="1" applyAlignment="1">
      <alignment horizontal="center" vertical="center" wrapText="1"/>
    </xf>
    <xf numFmtId="0" fontId="36" fillId="0" borderId="13" xfId="0" applyFont="1" applyFill="1" applyBorder="1" applyAlignment="1">
      <alignment horizontal="center" vertical="center" wrapText="1"/>
    </xf>
    <xf numFmtId="0" fontId="16" fillId="0" borderId="10" xfId="0" applyFont="1" applyFill="1" applyBorder="1" applyAlignment="1">
      <alignment horizontal="center" vertical="center"/>
    </xf>
    <xf numFmtId="0" fontId="0" fillId="0" borderId="10" xfId="0" applyFill="1" applyBorder="1" applyAlignment="1">
      <alignment horizontal="center"/>
    </xf>
    <xf numFmtId="0" fontId="16" fillId="0" borderId="10" xfId="0" applyFont="1" applyFill="1" applyBorder="1" applyAlignment="1">
      <alignment horizont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21" fillId="0" borderId="1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16" fillId="0" borderId="12" xfId="0" applyFont="1" applyBorder="1" applyAlignment="1">
      <alignment horizontal="center"/>
    </xf>
    <xf numFmtId="0" fontId="41" fillId="0" borderId="11" xfId="0" applyFont="1" applyFill="1" applyBorder="1" applyAlignment="1">
      <alignment horizontal="center" vertical="top" wrapText="1"/>
    </xf>
    <xf numFmtId="0" fontId="41" fillId="0" borderId="12" xfId="0" applyFont="1" applyFill="1" applyBorder="1" applyAlignment="1">
      <alignment horizontal="center" vertical="top" wrapText="1"/>
    </xf>
    <xf numFmtId="0" fontId="41" fillId="0" borderId="13" xfId="0" applyFont="1" applyFill="1" applyBorder="1" applyAlignment="1">
      <alignment horizontal="center" vertical="top" wrapText="1"/>
    </xf>
    <xf numFmtId="0" fontId="16" fillId="0" borderId="11" xfId="0" applyFont="1" applyFill="1" applyBorder="1" applyAlignment="1">
      <alignment horizontal="center"/>
    </xf>
    <xf numFmtId="0" fontId="16" fillId="0" borderId="12" xfId="0" applyFont="1" applyFill="1" applyBorder="1" applyAlignment="1">
      <alignment horizontal="center"/>
    </xf>
    <xf numFmtId="0" fontId="16" fillId="0" borderId="13" xfId="0" applyFont="1" applyFill="1" applyBorder="1" applyAlignment="1">
      <alignment horizontal="center"/>
    </xf>
    <xf numFmtId="0" fontId="18" fillId="34" borderId="10" xfId="0" applyFont="1" applyFill="1" applyBorder="1" applyAlignment="1">
      <alignment horizontal="center" vertical="center" wrapText="1"/>
    </xf>
    <xf numFmtId="0" fontId="0" fillId="0" borderId="10" xfId="0" applyBorder="1" applyAlignment="1">
      <alignment horizontal="center"/>
    </xf>
    <xf numFmtId="0" fontId="23" fillId="0" borderId="16" xfId="0" applyFont="1" applyBorder="1" applyAlignment="1">
      <alignment horizontal="left" vertical="center" wrapText="1"/>
    </xf>
    <xf numFmtId="0" fontId="23" fillId="0" borderId="10" xfId="0" applyFont="1" applyBorder="1" applyAlignment="1">
      <alignment horizontal="left" vertical="center" wrapText="1"/>
    </xf>
    <xf numFmtId="0" fontId="23" fillId="0" borderId="17" xfId="0" applyFont="1" applyBorder="1" applyAlignment="1">
      <alignment horizontal="left" vertical="center" wrapText="1"/>
    </xf>
    <xf numFmtId="0" fontId="23" fillId="0" borderId="25" xfId="0" applyFont="1" applyBorder="1" applyAlignment="1">
      <alignment horizontal="left" vertical="center" wrapText="1"/>
    </xf>
    <xf numFmtId="0" fontId="23" fillId="0" borderId="26" xfId="0" applyFont="1" applyBorder="1" applyAlignment="1">
      <alignment horizontal="left" vertical="center" wrapText="1"/>
    </xf>
    <xf numFmtId="0" fontId="23" fillId="0" borderId="27" xfId="0" applyFont="1" applyBorder="1" applyAlignment="1">
      <alignment horizontal="left" vertical="center" wrapText="1"/>
    </xf>
    <xf numFmtId="0" fontId="22" fillId="0" borderId="16" xfId="0" applyFont="1" applyBorder="1" applyAlignment="1">
      <alignment horizontal="center" vertical="center"/>
    </xf>
    <xf numFmtId="0" fontId="22" fillId="0" borderId="10" xfId="0" applyFont="1" applyBorder="1" applyAlignment="1">
      <alignment horizontal="center" vertical="center"/>
    </xf>
    <xf numFmtId="0" fontId="18" fillId="34" borderId="22" xfId="0" applyFont="1" applyFill="1" applyBorder="1" applyAlignment="1">
      <alignment horizontal="center" vertical="center" wrapText="1"/>
    </xf>
    <xf numFmtId="0" fontId="18" fillId="34" borderId="23" xfId="0" applyFont="1" applyFill="1" applyBorder="1" applyAlignment="1">
      <alignment horizontal="center" vertical="center" wrapText="1"/>
    </xf>
    <xf numFmtId="0" fontId="18" fillId="34" borderId="24" xfId="0" applyFont="1" applyFill="1" applyBorder="1" applyAlignment="1">
      <alignment horizontal="center" vertical="center" wrapText="1"/>
    </xf>
    <xf numFmtId="0" fontId="19" fillId="0" borderId="16" xfId="0" applyFont="1" applyBorder="1" applyAlignment="1">
      <alignment horizontal="left" vertical="center"/>
    </xf>
    <xf numFmtId="0" fontId="19" fillId="0" borderId="10" xfId="0" applyFont="1" applyBorder="1" applyAlignment="1">
      <alignment horizontal="left" vertical="center"/>
    </xf>
    <xf numFmtId="0" fontId="19" fillId="0" borderId="17" xfId="0" applyFont="1" applyBorder="1" applyAlignment="1">
      <alignment horizontal="left" vertical="center"/>
    </xf>
    <xf numFmtId="0" fontId="22" fillId="0" borderId="16" xfId="0" applyFont="1" applyBorder="1" applyAlignment="1">
      <alignment horizontal="left" vertical="center" wrapText="1"/>
    </xf>
    <xf numFmtId="0" fontId="22" fillId="0" borderId="10" xfId="0" applyFont="1" applyBorder="1" applyAlignment="1">
      <alignment horizontal="left" vertical="center" wrapText="1"/>
    </xf>
    <xf numFmtId="0" fontId="13" fillId="35" borderId="10" xfId="0" applyFont="1" applyFill="1" applyBorder="1" applyAlignment="1">
      <alignment horizontal="center" vertical="center"/>
    </xf>
    <xf numFmtId="0" fontId="16" fillId="0" borderId="10" xfId="0" applyFont="1" applyBorder="1" applyAlignment="1">
      <alignment horizontal="center" vertical="center"/>
    </xf>
    <xf numFmtId="0" fontId="21" fillId="0" borderId="0" xfId="0" applyFont="1" applyBorder="1" applyAlignment="1">
      <alignment horizont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0" xfId="0" applyFont="1" applyBorder="1" applyAlignment="1">
      <alignment horizontal="center"/>
    </xf>
    <xf numFmtId="0" fontId="23" fillId="0" borderId="1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8" fillId="34" borderId="15" xfId="0" applyFont="1" applyFill="1" applyBorder="1" applyAlignment="1">
      <alignment horizontal="center" vertical="center" wrapText="1"/>
    </xf>
    <xf numFmtId="0" fontId="23" fillId="33" borderId="10" xfId="0" applyFont="1" applyFill="1" applyBorder="1" applyAlignment="1">
      <alignment horizontal="left" vertical="center" wrapText="1"/>
    </xf>
    <xf numFmtId="0" fontId="13" fillId="39" borderId="11" xfId="0" applyFont="1" applyFill="1" applyBorder="1" applyAlignment="1">
      <alignment horizontal="center" vertical="center"/>
    </xf>
    <xf numFmtId="0" fontId="13" fillId="39" borderId="12" xfId="0" applyFont="1" applyFill="1" applyBorder="1" applyAlignment="1">
      <alignment horizontal="center" vertical="center"/>
    </xf>
    <xf numFmtId="0" fontId="13" fillId="39" borderId="13" xfId="0" applyFont="1" applyFill="1" applyBorder="1" applyAlignment="1">
      <alignment horizontal="center" vertical="center"/>
    </xf>
    <xf numFmtId="0" fontId="18" fillId="39" borderId="11" xfId="0" applyFont="1" applyFill="1" applyBorder="1" applyAlignment="1">
      <alignment horizontal="center" vertical="center"/>
    </xf>
    <xf numFmtId="0" fontId="18" fillId="39" borderId="12" xfId="0" applyFont="1" applyFill="1" applyBorder="1" applyAlignment="1">
      <alignment horizontal="center" vertical="center"/>
    </xf>
    <xf numFmtId="0" fontId="18" fillId="39" borderId="13"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169" fontId="16" fillId="0" borderId="11" xfId="0" applyNumberFormat="1" applyFont="1" applyFill="1" applyBorder="1" applyAlignment="1">
      <alignment horizontal="right" vertical="center"/>
    </xf>
    <xf numFmtId="169" fontId="16" fillId="0" borderId="13" xfId="0" applyNumberFormat="1" applyFont="1" applyFill="1" applyBorder="1" applyAlignment="1">
      <alignment horizontal="right" vertical="center"/>
    </xf>
    <xf numFmtId="0" fontId="13" fillId="39" borderId="11" xfId="0" applyFont="1" applyFill="1" applyBorder="1" applyAlignment="1">
      <alignment horizontal="center"/>
    </xf>
    <xf numFmtId="0" fontId="13" fillId="39" borderId="13" xfId="0" applyFont="1" applyFill="1" applyBorder="1" applyAlignment="1">
      <alignment horizontal="center"/>
    </xf>
    <xf numFmtId="0" fontId="13" fillId="39" borderId="12" xfId="0" applyFont="1" applyFill="1" applyBorder="1" applyAlignment="1">
      <alignment horizont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67" fontId="20" fillId="0" borderId="10" xfId="43" applyNumberFormat="1" applyFont="1" applyFill="1" applyBorder="1" applyAlignment="1">
      <alignment horizontal="center" vertical="center" wrapText="1"/>
    </xf>
  </cellXfs>
  <cellStyles count="6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omma 2" xfId="49"/>
    <cellStyle name="Currency" xfId="43"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10 2 2 2" xfId="45"/>
    <cellStyle name="Normal 12" xfId="57"/>
    <cellStyle name="Normal 17" xfId="58"/>
    <cellStyle name="Normal 19" xfId="60"/>
    <cellStyle name="Normal 2" xfId="47"/>
    <cellStyle name="Normal 2 5" xfId="50"/>
    <cellStyle name="Normal 21" xfId="64"/>
    <cellStyle name="Normal 22" xfId="65"/>
    <cellStyle name="Normal 26" xfId="63"/>
    <cellStyle name="Normal 27" xfId="61"/>
    <cellStyle name="Normal 29" xfId="62"/>
    <cellStyle name="Normal 3" xfId="51"/>
    <cellStyle name="Normal 30 2" xfId="46"/>
    <cellStyle name="Normal 38" xfId="54"/>
    <cellStyle name="Normal 39" xfId="56"/>
    <cellStyle name="Normal 40" xfId="66"/>
    <cellStyle name="Normal 42" xfId="67"/>
    <cellStyle name="Normal 5" xfId="55"/>
    <cellStyle name="Normal 9" xfId="53"/>
    <cellStyle name="Normal_Dep 2000,3000,4000 (Sep.,07)" xfId="52"/>
    <cellStyle name="Normal_Ferrochrome Capital Final 13" xfId="59"/>
    <cellStyle name="Note" xfId="16" builtinId="10" customBuiltin="1"/>
    <cellStyle name="Output" xfId="11" builtinId="21" customBuiltin="1"/>
    <cellStyle name="Percent" xfId="44" builtinId="5"/>
    <cellStyle name="Percent 2" xfId="48"/>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EF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JPFL\Documents%20and%20Settings\Administrator.VK-ACC-RAKESHT\My%20Documents\rakesh\power\mis09-10\mis%20budget\mis%20oct09\misoct.%2009%20f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7.10.30.24\Documents%20and%20Settings\kumar.np\Local%20Settings\Temporary%20Internet%20Files\Content.Outlook\H16N8RHC\Users\umasankaralluri\Desktop\LITL%20Financilas-Q3(Dec'09)%202009-10%20ver1.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7.10.30.24\Assignments\Active\EPL%201500%20MW\Model%20&amp;%20IM\Model\EPL%201500%201%20Mar%20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dserver\litlfinance\RK\Operating%20Budget\budget-2000_rev_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7.10.30.24\Documents%20and%20Settings\gel309\Desktop\DOCUME~1\RAMESH~1\LOCALS~1\Temp\notesE1EF34\IDF%20Business%20Models\GEL%20-%20Business%20Model\prasanth\Laxmi\AOP\2002%20-%202003\GEC\GPOLbudgetf2002wrk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dserver\litlfinance\WINDOWS\TEMP\bud-act-FEB-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dserver\litlfinance\RK\accounts\capitalisation-OCT-MAR-boar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dserver\litlfinance\drive%20E\LKPPL\BS-2007\Prov.Balance%20Sheet%2010.6.2005(22.6.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7.10.30.24\Documents%20and%20Settings\Admin\Local%20Settings\Temporary%20Internet%20Files\Content.Outlook\QAV3LLSJ\RK\BUDGETS-BOARD\budgets%20july%20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server\litlfinance\RK\BUDGETS-BOARD\budgets%20july%20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7.10.30.24\Documents%20and%20Settings\kumar.np\Local%20Settings\Temporary%20Internet%20Files\Content.Outlook\H16N8RHC\RK\BUDGETS-BOARD\budgets%20july%202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server\litlfinance\WINDOWS\TEMP\Balance%20Sheet%202001-02(Final)-PM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7.10.30.24\Documents%20and%20Settings\gel309\Desktop\DOCUME~1\RAMESH~1\LOCALS~1\Temp\notesE1EF34\IDF%20Business%20Models\GEL%20-%20Business%20Model\Budget\O&amp;M%20Budge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sandeep\Downloads\Documents%20and%20Settings\admin\My%20Documents\Downloads\JKadam%20Backup%20as%20on%2020.07.08\C%20Drive\QUARTERLY%20RESULTS\QUARTER%200809\Q1%200809\Analysis%20of%20Q1%2007-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s\JPFL\Documents%20and%20Settings\project.LENOVO-26AC5D24\My%20Documents\rakesh\power\balancesheet31.03.09\jitpl\employee%20as%20per%20sa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server\litlfinance\DOCUME~1\vineet.PWC\LOCALS~1\Temp\d.Notes.Data\Balance%20Sheet%202001-02(Final)-PM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rears"/>
      <sheetName val="arrearsjun"/>
      <sheetName val="exgratia entry (3)"/>
      <sheetName val="f.01oct09"/>
      <sheetName val="shfeb09 (consolidated)"/>
      <sheetName val="Sheet2"/>
      <sheetName val="Grouping"/>
      <sheetName val="MIS"/>
      <sheetName val="balancesheetJITPL"/>
      <sheetName val="Salary"/>
      <sheetName val="Sheet1"/>
      <sheetName val="expense sumary"/>
      <sheetName val="Sheet3"/>
      <sheetName val="Sheet4"/>
      <sheetName val="detail exp"/>
      <sheetName val="Expense co.wise summary"/>
      <sheetName val="Capex"/>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use 41 - final"/>
      <sheetName val="BS"/>
      <sheetName val="P&amp;L"/>
      <sheetName val="SCH (1-4) "/>
      <sheetName val="SCH 5"/>
      <sheetName val="SCH INV 6"/>
      <sheetName val="SCH CA (7-12)"/>
      <sheetName val="SCH PL (13-17)"/>
      <sheetName val="Cash flow for DEC,09"/>
      <sheetName val="Sheet2"/>
      <sheetName val="LITL"/>
      <sheetName val="Stock &amp; WIP"/>
      <sheetName val="Income and Deferred Tax"/>
      <sheetName val="Cash flow workings"/>
      <sheetName val="Windpower Fin."/>
      <sheetName val="EPS"/>
      <sheetName val="WORKINGS"/>
      <sheetName val="SEGMENT"/>
      <sheetName val="Seg in lakhs"/>
      <sheetName val="IT Dep"/>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Sens"/>
      <sheetName val="Input"/>
      <sheetName val="Wkgs"/>
      <sheetName val="Debt"/>
      <sheetName val="Phas"/>
      <sheetName val="Dep"/>
      <sheetName val="Tax"/>
      <sheetName val="Fin"/>
      <sheetName val="Fin-E"/>
      <sheetName val="Fin-Proj"/>
    </sheetNames>
    <sheetDataSet>
      <sheetData sheetId="0" refreshError="1"/>
      <sheetData sheetId="1"/>
      <sheetData sheetId="2" refreshError="1"/>
      <sheetData sheetId="3">
        <row r="275">
          <cell r="J275">
            <v>94.329569568972417</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operating budget"/>
      <sheetName val="Cashflows (2)"/>
      <sheetName val="Cashflows"/>
      <sheetName val="P&amp;L"/>
      <sheetName val="Revenue "/>
      <sheetName val="wc"/>
      <sheetName val="Inputs"/>
      <sheetName val="Expenses"/>
      <sheetName val="FCOSTS"/>
      <sheetName val="fx_interest"/>
      <sheetName val="re_interest"/>
      <sheetName val="Term Loans"/>
      <sheetName val="equity"/>
      <sheetName val="Mis."/>
      <sheetName val="Interest"/>
      <sheetName val="interest1"/>
      <sheetName val="BS"/>
      <sheetName val="WORKINGS"/>
      <sheetName val="Wkgs"/>
    </sheetNames>
    <sheetDataSet>
      <sheetData sheetId="0" refreshError="1"/>
      <sheetData sheetId="1" refreshError="1"/>
      <sheetData sheetId="2" refreshError="1"/>
      <sheetData sheetId="3" refreshError="1"/>
      <sheetData sheetId="4"/>
      <sheetData sheetId="5"/>
      <sheetData sheetId="6"/>
      <sheetData sheetId="7" refreshError="1">
        <row r="10">
          <cell r="B10">
            <v>1000000</v>
          </cell>
        </row>
      </sheetData>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57"/>
      <sheetName val="Setup Variables"/>
    </sheetNames>
    <sheetDataSet>
      <sheetData sheetId="0" refreshError="1"/>
      <sheetData sheetId="1" refreshError="1"/>
      <sheetData sheetId="2" refreshError="1"/>
      <sheetData sheetId="3" refreshError="1"/>
      <sheetData sheetId="4" refreshError="1">
        <row r="1">
          <cell r="B1" t="str">
            <v>Tanir Bavi Power Facility</v>
          </cell>
        </row>
        <row r="2">
          <cell r="B2" t="str">
            <v>Period 01-06-01 to 31-03-02 (10 months)</v>
          </cell>
        </row>
        <row r="4">
          <cell r="D4" t="str">
            <v>Category:</v>
          </cell>
          <cell r="E4" t="str">
            <v xml:space="preserve">Repairs &amp; Replacements to Office Furniture &amp; Fittings </v>
          </cell>
        </row>
        <row r="6">
          <cell r="B6" t="str">
            <v>Responsible Team Member Name:</v>
          </cell>
          <cell r="D6" t="str">
            <v>Mohan Rao</v>
          </cell>
        </row>
        <row r="8">
          <cell r="B8" t="str">
            <v>Category Includes:</v>
          </cell>
        </row>
        <row r="10">
          <cell r="B10" t="str">
            <v>Repairs / Replacements to Office furniture &amp; Fittings</v>
          </cell>
        </row>
        <row r="14">
          <cell r="B14" t="str">
            <v>Budget Estimate Basis:</v>
          </cell>
        </row>
        <row r="16">
          <cell r="B16" t="str">
            <v>Estimate is based on current costs for furnishings</v>
          </cell>
        </row>
        <row r="22">
          <cell r="B22" t="str">
            <v>Calculations:</v>
          </cell>
        </row>
        <row r="24">
          <cell r="B24" t="str">
            <v>Desks/chairs</v>
          </cell>
          <cell r="C24">
            <v>120000</v>
          </cell>
        </row>
        <row r="25">
          <cell r="B25" t="str">
            <v>Soft furnishing</v>
          </cell>
          <cell r="C25">
            <v>80000</v>
          </cell>
        </row>
        <row r="28">
          <cell r="B28" t="str">
            <v>Total</v>
          </cell>
          <cell r="C28">
            <v>200000</v>
          </cell>
        </row>
        <row r="29">
          <cell r="G29">
            <v>200000</v>
          </cell>
        </row>
        <row r="31">
          <cell r="B31" t="str">
            <v>April</v>
          </cell>
        </row>
        <row r="32">
          <cell r="B32" t="str">
            <v>May</v>
          </cell>
        </row>
        <row r="33">
          <cell r="B33" t="str">
            <v>June</v>
          </cell>
          <cell r="C33">
            <v>80000</v>
          </cell>
        </row>
        <row r="34">
          <cell r="B34" t="str">
            <v>July</v>
          </cell>
        </row>
        <row r="35">
          <cell r="B35" t="str">
            <v>August</v>
          </cell>
        </row>
        <row r="36">
          <cell r="B36" t="str">
            <v>September</v>
          </cell>
        </row>
        <row r="37">
          <cell r="B37" t="str">
            <v>October</v>
          </cell>
        </row>
        <row r="38">
          <cell r="B38" t="str">
            <v>November</v>
          </cell>
        </row>
        <row r="39">
          <cell r="B39" t="str">
            <v>December</v>
          </cell>
          <cell r="C39">
            <v>100000</v>
          </cell>
        </row>
        <row r="40">
          <cell r="B40" t="str">
            <v>January</v>
          </cell>
        </row>
        <row r="41">
          <cell r="B41" t="str">
            <v>February</v>
          </cell>
        </row>
        <row r="42">
          <cell r="B42" t="str">
            <v>March</v>
          </cell>
          <cell r="C42">
            <v>20000</v>
          </cell>
        </row>
        <row r="43">
          <cell r="B43" t="str">
            <v>Total</v>
          </cell>
          <cell r="C43">
            <v>200000</v>
          </cell>
        </row>
      </sheetData>
      <sheetData sheetId="5" refreshError="1">
        <row r="1">
          <cell r="B1" t="str">
            <v>Tanir Bavi Power Facility</v>
          </cell>
        </row>
        <row r="2">
          <cell r="B2" t="str">
            <v>Period 01-06-01 to 31-03-02 (10 months)</v>
          </cell>
        </row>
        <row r="4">
          <cell r="D4" t="str">
            <v>Category:</v>
          </cell>
          <cell r="E4" t="str">
            <v>Computer and Office Equipment, Consumables &amp; Maintenance</v>
          </cell>
        </row>
        <row r="6">
          <cell r="B6" t="str">
            <v>Responsible Team Member Name:</v>
          </cell>
          <cell r="D6" t="str">
            <v>Krishnaiah</v>
          </cell>
        </row>
        <row r="8">
          <cell r="B8" t="str">
            <v>Category Includes:</v>
          </cell>
        </row>
        <row r="10">
          <cell r="B10" t="str">
            <v>Computer  System Consumables, Lease Line fees and  Maintenance Contract Charges</v>
          </cell>
        </row>
        <row r="14">
          <cell r="B14" t="str">
            <v>Budget Estimate Basis:</v>
          </cell>
        </row>
        <row r="16">
          <cell r="B16" t="str">
            <v>Estimate is based on initial Computer consumable purchases</v>
          </cell>
        </row>
        <row r="22">
          <cell r="B22" t="str">
            <v>Calculations:</v>
          </cell>
        </row>
        <row r="24">
          <cell r="B24" t="str">
            <v>Ink/Toner Cartridges</v>
          </cell>
          <cell r="C24">
            <v>100000</v>
          </cell>
          <cell r="D24" t="str">
            <v xml:space="preserve">For 2 Laser printers </v>
          </cell>
          <cell r="E24" t="str">
            <v>3 cartrid*3 months =9 cartridge for 2 printers</v>
          </cell>
          <cell r="F24" t="str">
            <v>Say 25 Catridges @ 4000</v>
          </cell>
          <cell r="G24">
            <v>100000</v>
          </cell>
        </row>
        <row r="25">
          <cell r="E25" t="str">
            <v>1 Catrid*7 months*2 printers=14Catrdige</v>
          </cell>
        </row>
        <row r="28">
          <cell r="B28" t="str">
            <v>Digital Camera / Software</v>
          </cell>
          <cell r="E28" t="str">
            <v xml:space="preserve">TBP TO PROVIDE CAMERA </v>
          </cell>
        </row>
        <row r="29">
          <cell r="B29" t="str">
            <v>Leased  Line Fees</v>
          </cell>
          <cell r="C29">
            <v>400000</v>
          </cell>
          <cell r="E29" t="str">
            <v>64 KBP Leased Line</v>
          </cell>
        </row>
        <row r="30">
          <cell r="B30" t="str">
            <v>EPBX mtnce</v>
          </cell>
          <cell r="C30">
            <v>80000</v>
          </cell>
        </row>
        <row r="31">
          <cell r="B31" t="str">
            <v>Computer Hardware AMC</v>
          </cell>
          <cell r="C31">
            <v>200000</v>
          </cell>
        </row>
        <row r="32">
          <cell r="B32" t="str">
            <v>Total</v>
          </cell>
          <cell r="C32">
            <v>780000</v>
          </cell>
        </row>
        <row r="33">
          <cell r="G33">
            <v>780000</v>
          </cell>
        </row>
        <row r="35">
          <cell r="B35" t="str">
            <v>April</v>
          </cell>
        </row>
        <row r="36">
          <cell r="B36" t="str">
            <v>May</v>
          </cell>
        </row>
        <row r="37">
          <cell r="B37" t="str">
            <v>June</v>
          </cell>
          <cell r="C37">
            <v>431666.66666666669</v>
          </cell>
        </row>
        <row r="38">
          <cell r="B38" t="str">
            <v>July</v>
          </cell>
          <cell r="C38">
            <v>31666.666666666668</v>
          </cell>
        </row>
        <row r="39">
          <cell r="B39" t="str">
            <v>August</v>
          </cell>
          <cell r="C39">
            <v>31666.666666666668</v>
          </cell>
        </row>
        <row r="40">
          <cell r="B40" t="str">
            <v>September</v>
          </cell>
          <cell r="C40">
            <v>31666.666666666668</v>
          </cell>
        </row>
        <row r="41">
          <cell r="B41" t="str">
            <v>October</v>
          </cell>
          <cell r="C41">
            <v>31666.666666666668</v>
          </cell>
        </row>
        <row r="42">
          <cell r="B42" t="str">
            <v>November</v>
          </cell>
          <cell r="C42">
            <v>64999.99966666667</v>
          </cell>
        </row>
        <row r="43">
          <cell r="B43" t="str">
            <v>December</v>
          </cell>
          <cell r="C43">
            <v>64999.996666666673</v>
          </cell>
        </row>
        <row r="44">
          <cell r="B44" t="str">
            <v>January</v>
          </cell>
          <cell r="C44">
            <v>31666.666666666668</v>
          </cell>
        </row>
        <row r="45">
          <cell r="B45" t="str">
            <v>February</v>
          </cell>
          <cell r="C45">
            <v>31666.666666666668</v>
          </cell>
        </row>
        <row r="46">
          <cell r="B46" t="str">
            <v>March</v>
          </cell>
          <cell r="C46">
            <v>31666.666666666668</v>
          </cell>
        </row>
        <row r="47">
          <cell r="B47" t="str">
            <v>Total</v>
          </cell>
          <cell r="C47">
            <v>783333.32966666669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s"/>
      <sheetName val="gasprice(Feb)"/>
      <sheetName val="gasprice(Jan)"/>
      <sheetName val="gasprice(Dec)"/>
      <sheetName val="gasprice"/>
      <sheetName val="Establishment Prov."/>
      <sheetName val="bud-act(SEP)"/>
      <sheetName val="bud-act (OCT)"/>
      <sheetName val="EMAIL"/>
      <sheetName val="gas price(Nov)"/>
      <sheetName val="ACTUALS"/>
      <sheetName val="wc-int"/>
      <sheetName val="bud-act(Jan) (2)"/>
      <sheetName val="bud-act(Feb)"/>
      <sheetName val="variance"/>
      <sheetName val="interest"/>
      <sheetName val="cap-actuals"/>
      <sheetName val="loans"/>
      <sheetName val="depciation"/>
      <sheetName val="tax"/>
      <sheetName val="computation"/>
      <sheetName val="assu"/>
      <sheetName val="fuel (2)"/>
      <sheetName val="fuel"/>
      <sheetName val="Schedule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mar"/>
      <sheetName val="int-oct"/>
      <sheetName val="fcl-disb"/>
      <sheetName val="allocation"/>
      <sheetName val="stocks-naptha"/>
      <sheetName val="stocks-hsd"/>
      <sheetName val="variance"/>
      <sheetName val="BFL"/>
    </sheetNames>
    <sheetDataSet>
      <sheetData sheetId="0" refreshError="1"/>
      <sheetData sheetId="1" refreshError="1"/>
      <sheetData sheetId="2" refreshError="1"/>
      <sheetData sheetId="3" refreshError="1">
        <row r="4">
          <cell r="D4">
            <v>46.66</v>
          </cell>
        </row>
        <row r="5">
          <cell r="D5">
            <v>46.89</v>
          </cell>
        </row>
      </sheetData>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Cal of dividend"/>
      <sheetName val="General Reserve"/>
      <sheetName val="DRR "/>
      <sheetName val="Abstract"/>
      <sheetName val="cashflow -PWC"/>
      <sheetName val="cashflow-LKPPL"/>
      <sheetName val="cashflow -final"/>
      <sheetName val="cashflow"/>
      <sheetName val="BS"/>
      <sheetName val="P &amp; L"/>
      <sheetName val="sch 1,2"/>
      <sheetName val="sch 3 "/>
      <sheetName val="sch 4"/>
      <sheetName val="sch 5,6,7,8,9,10"/>
      <sheetName val="sch 11,12,13,14"/>
      <sheetName val="Groupings 10.6.05"/>
      <sheetName val="TB - 10.6.05"/>
      <sheetName val="Entries"/>
      <sheetName val="Sheet1"/>
      <sheetName val="Fin.Summary (2)"/>
      <sheetName val="Fin.Summary"/>
      <sheetName val="PAT"/>
      <sheetName val="MAT CAL"/>
      <sheetName val="Prov.for Tax "/>
      <sheetName val="Pro.for Tax "/>
      <sheetName val="Cal of 234(C) "/>
      <sheetName val="Cal. of Bonus"/>
      <sheetName val="Sales 10-6-05 "/>
      <sheetName val="Sales (2005-06 )"/>
      <sheetName val="Comfort fees"/>
      <sheetName val="Int.Cal "/>
      <sheetName val="Interest"/>
      <sheetName val="Ex.fluct.on rept.FCL"/>
      <sheetName val="Reinst - FCL"/>
      <sheetName val="Wealth Tax"/>
      <sheetName val="Vehicles"/>
      <sheetName val="F &amp; F"/>
      <sheetName val="Computers"/>
      <sheetName val="OE"/>
      <sheetName val="oe-1"/>
      <sheetName val="Leasehold Premises"/>
      <sheetName val="Land"/>
      <sheetName val="buidlings - I"/>
      <sheetName val="buildings - II"/>
      <sheetName val="Buildings-III"/>
      <sheetName val="ONSHORE-EQUIP "/>
      <sheetName val="cap-gas "/>
      <sheetName val="Offshore Equipment"/>
      <sheetName val="dep on exch -fluct   "/>
      <sheetName val="Gas Bills"/>
      <sheetName val="HSD &amp; Naptha"/>
      <sheetName val="leave encashment"/>
      <sheetName val="Interest-2005"/>
      <sheetName val="Loans-2005"/>
      <sheetName val="alloc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bud-act (4)"/>
      <sheetName val="bud-act (3)"/>
      <sheetName val="bud-act (2)"/>
      <sheetName val="F &amp; F"/>
      <sheetName val="Vehicles"/>
      <sheetName val="Computers"/>
      <sheetName val="OE"/>
      <sheetName val="oe-1"/>
      <sheetName val="Leasehold Premises"/>
      <sheetName val="dep on exch -fluct "/>
      <sheetName val="cap-gas "/>
      <sheetName val="ONSHORE-EQUIP "/>
      <sheetName val="Offshore Equipment"/>
      <sheetName val="Buildings-III"/>
      <sheetName val="buildings - II"/>
      <sheetName val="buidlings - I"/>
      <sheetName val="depreciation"/>
      <sheetName val="capital payments (2)"/>
      <sheetName val="PAT"/>
      <sheetName val="Variance-July"/>
      <sheetName val="bud-act"/>
      <sheetName val="Act02-03(Workings)"/>
      <sheetName val="Actuals"/>
      <sheetName val="LTMA"/>
      <sheetName val="LTAPSA"/>
      <sheetName val="generation(bud -Act)"/>
      <sheetName val="intincome -act"/>
      <sheetName val="Act-Interest"/>
      <sheetName val="Status-27-31.5"/>
      <sheetName val="Ratios"/>
      <sheetName val="balance sheet"/>
      <sheetName val="Status-2002-03"/>
      <sheetName val="cashflows"/>
      <sheetName val="cashflows (breaf)"/>
      <sheetName val="workings"/>
      <sheetName val="capital payments"/>
      <sheetName val="O&amp;M Consumtions-Ser"/>
      <sheetName val="o&amp;M forecast -march"/>
      <sheetName val="RTL"/>
      <sheetName val="FCL"/>
      <sheetName val="PAT (USD)"/>
      <sheetName val="forecast-mar"/>
      <sheetName val="Assumptions"/>
      <sheetName val="ASSU-NOTES"/>
      <sheetName val="GC"/>
      <sheetName val="tra"/>
      <sheetName val="cash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bud-act (4)"/>
      <sheetName val="bud-act (3)"/>
      <sheetName val="bud-act (2)"/>
      <sheetName val="F &amp; F"/>
      <sheetName val="Vehicles"/>
      <sheetName val="Computers"/>
      <sheetName val="OE"/>
      <sheetName val="oe-1"/>
      <sheetName val="Leasehold Premises"/>
      <sheetName val="dep on exch -fluct "/>
      <sheetName val="cap-gas "/>
      <sheetName val="ONSHORE-EQUIP "/>
      <sheetName val="Offshore Equipment"/>
      <sheetName val="Buildings-III"/>
      <sheetName val="buildings - II"/>
      <sheetName val="buidlings - I"/>
      <sheetName val="depreciation"/>
      <sheetName val="capital payments (2)"/>
      <sheetName val="PAT"/>
      <sheetName val="Variance-July"/>
      <sheetName val="bud-act"/>
      <sheetName val="Act02-03(Workings)"/>
      <sheetName val="Actuals"/>
      <sheetName val="LTMA"/>
      <sheetName val="LTAPSA"/>
      <sheetName val="generation(bud -Act)"/>
      <sheetName val="intincome -act"/>
      <sheetName val="Act-Interest"/>
      <sheetName val="Status-27-31.5"/>
      <sheetName val="Ratios"/>
      <sheetName val="balance sheet"/>
      <sheetName val="Status-2002-03"/>
      <sheetName val="cashflows"/>
      <sheetName val="cashflows (breaf)"/>
      <sheetName val="workings"/>
      <sheetName val="capital payments"/>
      <sheetName val="O&amp;M Consumtions-Ser"/>
      <sheetName val="o&amp;M forecast -march"/>
      <sheetName val="RTL"/>
      <sheetName val="FCL"/>
      <sheetName val="PAT (USD)"/>
      <sheetName val="forecast-mar"/>
      <sheetName val="Assumptions"/>
      <sheetName val="ASSU-NOTES"/>
      <sheetName val="GC"/>
      <sheetName val="tra"/>
      <sheetName val="cash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bud-act (4)"/>
      <sheetName val="bud-act (3)"/>
      <sheetName val="bud-act (2)"/>
      <sheetName val="F &amp; F"/>
      <sheetName val="Vehicles"/>
      <sheetName val="Computers"/>
      <sheetName val="OE"/>
      <sheetName val="oe-1"/>
      <sheetName val="Leasehold Premises"/>
      <sheetName val="dep on exch -fluct "/>
      <sheetName val="cap-gas "/>
      <sheetName val="ONSHORE-EQUIP "/>
      <sheetName val="Offshore Equipment"/>
      <sheetName val="Buildings-III"/>
      <sheetName val="buildings - II"/>
      <sheetName val="buidlings - I"/>
      <sheetName val="depreciation"/>
      <sheetName val="capital payments (2)"/>
      <sheetName val="PAT"/>
      <sheetName val="Variance-July"/>
      <sheetName val="bud-act"/>
      <sheetName val="Act02-03(Workings)"/>
      <sheetName val="Actuals"/>
      <sheetName val="LTMA"/>
      <sheetName val="LTAPSA"/>
      <sheetName val="generation(bud -Act)"/>
      <sheetName val="intincome -act"/>
      <sheetName val="Act-Interest"/>
      <sheetName val="Status-27-31.5"/>
      <sheetName val="Ratios"/>
      <sheetName val="balance sheet"/>
      <sheetName val="Status-2002-03"/>
      <sheetName val="cashflows"/>
      <sheetName val="cashflows (breaf)"/>
      <sheetName val="workings"/>
      <sheetName val="capital payments"/>
      <sheetName val="O&amp;M Consumtions-Ser"/>
      <sheetName val="o&amp;M forecast -march"/>
      <sheetName val="RTL"/>
      <sheetName val="FCL"/>
      <sheetName val="PAT (USD)"/>
      <sheetName val="forecast-mar"/>
      <sheetName val="Assumptions"/>
      <sheetName val="ASSU-NOTES"/>
      <sheetName val="GC"/>
      <sheetName val="tra"/>
      <sheetName val="cash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Buildings-III (2)"/>
      <sheetName val="cap-gas (31-3-02) (2)"/>
      <sheetName val="sch 4 (2)"/>
      <sheetName val="dep on exch -fluct (2)"/>
      <sheetName val="IFCI"/>
      <sheetName val="offshore spares"/>
      <sheetName val="FC (2)"/>
      <sheetName val="CIF VALUE "/>
      <sheetName val="Prro.for Tax (R) (2)"/>
      <sheetName val="MISC"/>
      <sheetName val="Abstract"/>
      <sheetName val="cashflow"/>
      <sheetName val="BS"/>
      <sheetName val="P &amp; L"/>
      <sheetName val="sch 1,2"/>
      <sheetName val="sch 3"/>
      <sheetName val="sch 4"/>
      <sheetName val="sch 5 "/>
      <sheetName val="sch 6,7,8,9,10,11"/>
      <sheetName val="sch 12,13,14,15"/>
      <sheetName val="Groupings"/>
      <sheetName val="TB - 31.03.02"/>
      <sheetName val="Computation of Tax "/>
      <sheetName val="MAT CAL"/>
      <sheetName val="Restate-Crs"/>
      <sheetName val="Reinst - FCL"/>
      <sheetName val="F &amp; F"/>
      <sheetName val="Vehicles"/>
      <sheetName val="Computers"/>
      <sheetName val="OE"/>
      <sheetName val="oe-1"/>
      <sheetName val="Leasehold Premises"/>
      <sheetName val="Land"/>
      <sheetName val="dep on exch -fluct"/>
      <sheetName val="buidlings - I"/>
      <sheetName val="buildings - II"/>
      <sheetName val="Buildings-III"/>
      <sheetName val="ONSHORE-EQUIP"/>
      <sheetName val="Offshore Equipment"/>
      <sheetName val="cap-gas (31-3-02)"/>
      <sheetName val="Stock Details"/>
      <sheetName val="GAS"/>
      <sheetName val="NAPHTHA"/>
      <sheetName val="HSD"/>
      <sheetName val="Int.Cal "/>
      <sheetName val="Guarantee Commn."/>
      <sheetName val="Prepaid Insurance"/>
      <sheetName val="leave encashment"/>
      <sheetName val="Prro.for Tax (R)"/>
      <sheetName val="Prov.for Tax"/>
      <sheetName val="FC"/>
      <sheetName val="APTRANSCO-Dr"/>
      <sheetName val="APTRANSCO-Sales"/>
      <sheetName val="Int.Receivable-BreakUp"/>
      <sheetName val="Hire charges"/>
      <sheetName val="Break up of o.s.liability &amp; TDS"/>
      <sheetName val="Schedu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Variables"/>
      <sheetName val="Major Maint"/>
      <sheetName val="Base Budget"/>
      <sheetName val="Labor"/>
      <sheetName val="Proforma Annual Budgets"/>
      <sheetName val="cashflow"/>
    </sheetNames>
    <sheetDataSet>
      <sheetData sheetId="0">
        <row r="11">
          <cell r="D11">
            <v>1998</v>
          </cell>
        </row>
      </sheetData>
      <sheetData sheetId="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audites results Q1 0809"/>
      <sheetName val="unaudited results break-up"/>
      <sheetName val="diff over P.Y."/>
      <sheetName val="APRIL08-JUN 08-CONS"/>
      <sheetName val="APRIL06-JUNE07-CONS"/>
      <sheetName val="APRIL08-JUN 08-TEXT"/>
      <sheetName val="APRIL08-JUN08-HT"/>
      <sheetName val="APRIL08-JUN08-ELECDIV."/>
      <sheetName val="APRIL08-JUN08-CONSOLIDATED"/>
    </sheetNames>
    <sheetDataSet>
      <sheetData sheetId="0"/>
      <sheetData sheetId="1"/>
      <sheetData sheetId="2"/>
      <sheetData sheetId="3"/>
      <sheetData sheetId="4"/>
      <sheetData sheetId="5"/>
      <sheetData sheetId="6"/>
      <sheetData sheetId="7"/>
      <sheetData sheetId="8">
        <row r="5">
          <cell r="C5" t="str">
            <v>INDO COUNT INDUSTRIES LTD</v>
          </cell>
        </row>
        <row r="6">
          <cell r="C6" t="str">
            <v>PROFIT &amp; LOSS ACCOUNT (consolidated)</v>
          </cell>
        </row>
        <row r="7">
          <cell r="C7" t="str">
            <v>FOR THE PERIOD ENDED 30 TH JUNE , 2008</v>
          </cell>
        </row>
        <row r="9">
          <cell r="D9" t="str">
            <v>Schedule</v>
          </cell>
          <cell r="F9" t="str">
            <v>PERIOD ENDED</v>
          </cell>
          <cell r="H9" t="str">
            <v>YEAR ENDED</v>
          </cell>
          <cell r="J9" t="str">
            <v>3 MONTHS ENDED</v>
          </cell>
        </row>
        <row r="10">
          <cell r="F10" t="str">
            <v xml:space="preserve"> 30-06-2008</v>
          </cell>
          <cell r="H10" t="str">
            <v xml:space="preserve"> 31-03-2008</v>
          </cell>
          <cell r="J10" t="str">
            <v xml:space="preserve"> 30-06-2007</v>
          </cell>
        </row>
        <row r="11">
          <cell r="F11" t="str">
            <v>[Rs.]</v>
          </cell>
          <cell r="H11" t="str">
            <v>[Rs.]</v>
          </cell>
          <cell r="J11" t="str">
            <v>[Rs.]</v>
          </cell>
        </row>
        <row r="12">
          <cell r="C12" t="str">
            <v xml:space="preserve">INCOME </v>
          </cell>
        </row>
        <row r="13">
          <cell r="C13" t="str">
            <v>Sales (Gross)</v>
          </cell>
          <cell r="F13">
            <v>653414419.68999994</v>
          </cell>
          <cell r="H13">
            <v>2884366772.8499999</v>
          </cell>
          <cell r="J13">
            <v>938799137</v>
          </cell>
        </row>
        <row r="14">
          <cell r="C14" t="str">
            <v>Less : Excise duty</v>
          </cell>
          <cell r="F14">
            <v>1204840.1499999999</v>
          </cell>
          <cell r="H14">
            <v>116450062.61</v>
          </cell>
          <cell r="J14">
            <v>92014042</v>
          </cell>
        </row>
        <row r="15">
          <cell r="C15" t="str">
            <v>Sales (Net)</v>
          </cell>
          <cell r="F15">
            <v>652209579.53999996</v>
          </cell>
          <cell r="H15">
            <v>2767916710.2399998</v>
          </cell>
          <cell r="I15">
            <v>0</v>
          </cell>
          <cell r="J15">
            <v>846785095</v>
          </cell>
        </row>
        <row r="16">
          <cell r="C16" t="str">
            <v xml:space="preserve">Processing income ( Including tax deducted </v>
          </cell>
          <cell r="F16">
            <v>7595047</v>
          </cell>
          <cell r="H16">
            <v>77614258</v>
          </cell>
          <cell r="J16">
            <v>22247609</v>
          </cell>
        </row>
        <row r="17">
          <cell r="C17" t="str">
            <v>at source Rs.  ---  lacs, previous year 0.60 lacs )</v>
          </cell>
        </row>
        <row r="18">
          <cell r="C18" t="str">
            <v>Export Incentives / Benefits</v>
          </cell>
          <cell r="F18">
            <v>49695915</v>
          </cell>
          <cell r="H18">
            <v>135902494</v>
          </cell>
          <cell r="J18">
            <v>14031399</v>
          </cell>
        </row>
        <row r="19">
          <cell r="C19" t="str">
            <v>Other Income</v>
          </cell>
          <cell r="D19" t="str">
            <v>L</v>
          </cell>
          <cell r="F19">
            <v>907695.76</v>
          </cell>
          <cell r="H19">
            <v>103555823.44000001</v>
          </cell>
          <cell r="J19">
            <v>34868636</v>
          </cell>
        </row>
        <row r="20">
          <cell r="C20" t="str">
            <v>Increase / (Decrease) in Stocks</v>
          </cell>
          <cell r="D20" t="str">
            <v>M</v>
          </cell>
          <cell r="F20">
            <v>-13452988.48999995</v>
          </cell>
          <cell r="H20">
            <v>193411771.39000002</v>
          </cell>
          <cell r="J20">
            <v>85630938.090000004</v>
          </cell>
        </row>
        <row r="21">
          <cell r="F21">
            <v>696955248.80999994</v>
          </cell>
          <cell r="H21">
            <v>3278401057.0699997</v>
          </cell>
          <cell r="J21">
            <v>1003563677.09</v>
          </cell>
        </row>
        <row r="22">
          <cell r="C22" t="str">
            <v xml:space="preserve">EXPENDITURE </v>
          </cell>
        </row>
        <row r="23">
          <cell r="C23" t="str">
            <v>Material Cost</v>
          </cell>
          <cell r="D23" t="str">
            <v>N</v>
          </cell>
          <cell r="F23">
            <v>371804408.63</v>
          </cell>
          <cell r="G23">
            <v>58.207525971484856</v>
          </cell>
          <cell r="H23">
            <v>2085012129.75</v>
          </cell>
          <cell r="I23">
            <v>70.407999068119238</v>
          </cell>
          <cell r="J23">
            <v>744322207.85000002</v>
          </cell>
        </row>
        <row r="24">
          <cell r="C24" t="str">
            <v>Manufacturing &amp; Other expenses</v>
          </cell>
        </row>
        <row r="25">
          <cell r="C25" t="str">
            <v>Stores, Spares &amp; Packing Material consumed</v>
          </cell>
          <cell r="F25">
            <v>49325818.989999995</v>
          </cell>
          <cell r="G25">
            <v>7.7221620381117777</v>
          </cell>
          <cell r="H25">
            <v>163659826.26999998</v>
          </cell>
          <cell r="I25">
            <v>5.5265677983793591</v>
          </cell>
          <cell r="J25">
            <v>23106476</v>
          </cell>
        </row>
        <row r="26">
          <cell r="C26" t="str">
            <v>Jobwork Charges</v>
          </cell>
          <cell r="F26">
            <v>18274754</v>
          </cell>
          <cell r="G26">
            <v>2.8609887171511796</v>
          </cell>
          <cell r="H26">
            <v>45051304</v>
          </cell>
          <cell r="I26">
            <v>1.521320727486553</v>
          </cell>
          <cell r="J26">
            <v>5317220</v>
          </cell>
        </row>
        <row r="27">
          <cell r="C27" t="str">
            <v>Service charges</v>
          </cell>
          <cell r="F27">
            <v>1733771.4</v>
          </cell>
          <cell r="G27">
            <v>0.27142912093478272</v>
          </cell>
          <cell r="H27">
            <v>15236085.689999999</v>
          </cell>
          <cell r="I27">
            <v>0.5145017104490085</v>
          </cell>
          <cell r="J27">
            <v>4945327</v>
          </cell>
        </row>
        <row r="28">
          <cell r="C28" t="str">
            <v>Dyes and chemicals</v>
          </cell>
          <cell r="F28">
            <v>33664550</v>
          </cell>
          <cell r="G28">
            <v>5.2703252650061243</v>
          </cell>
          <cell r="H28">
            <v>114912888.59999999</v>
          </cell>
          <cell r="I28">
            <v>3.8804505921190029</v>
          </cell>
          <cell r="J28">
            <v>28765428</v>
          </cell>
        </row>
        <row r="29">
          <cell r="C29" t="str">
            <v>Power, Fuel &amp; Water</v>
          </cell>
          <cell r="F29">
            <v>62951047</v>
          </cell>
          <cell r="G29">
            <v>9.8552481308286612</v>
          </cell>
          <cell r="H29">
            <v>282770175</v>
          </cell>
          <cell r="I29">
            <v>9.5487608603404652</v>
          </cell>
          <cell r="J29">
            <v>66824857</v>
          </cell>
        </row>
        <row r="30">
          <cell r="C30" t="str">
            <v>Salaries, Wages, Allowances &amp; Bonus</v>
          </cell>
          <cell r="F30">
            <v>49087692.060000002</v>
          </cell>
          <cell r="G30">
            <v>7.6848822771924343</v>
          </cell>
          <cell r="H30">
            <v>184516769.90000001</v>
          </cell>
          <cell r="I30">
            <v>6.2308781698691096</v>
          </cell>
          <cell r="J30">
            <v>36418005</v>
          </cell>
        </row>
        <row r="31">
          <cell r="C31" t="str">
            <v>Gratuity</v>
          </cell>
          <cell r="F31">
            <v>750000</v>
          </cell>
          <cell r="G31">
            <v>0.11741561817266513</v>
          </cell>
          <cell r="H31">
            <v>5481620</v>
          </cell>
          <cell r="I31">
            <v>0.18510678683584469</v>
          </cell>
          <cell r="J31">
            <v>300000</v>
          </cell>
        </row>
        <row r="32">
          <cell r="C32" t="str">
            <v>Contribution to Provident Fund, Employees'</v>
          </cell>
          <cell r="G32">
            <v>0</v>
          </cell>
        </row>
        <row r="33">
          <cell r="C33" t="str">
            <v>State Insurance, etc.</v>
          </cell>
          <cell r="F33">
            <v>3070982</v>
          </cell>
          <cell r="G33">
            <v>0.48077499990283662</v>
          </cell>
          <cell r="H33">
            <v>12288450</v>
          </cell>
          <cell r="I33">
            <v>0.41496409723638922</v>
          </cell>
          <cell r="J33">
            <v>2800752</v>
          </cell>
        </row>
        <row r="34">
          <cell r="C34" t="str">
            <v>Welfare expenses</v>
          </cell>
          <cell r="F34">
            <v>1041544</v>
          </cell>
          <cell r="G34">
            <v>0.16305804348537375</v>
          </cell>
          <cell r="H34">
            <v>5075729.7</v>
          </cell>
          <cell r="I34">
            <v>0.17140042827015847</v>
          </cell>
          <cell r="J34">
            <v>1115466</v>
          </cell>
        </row>
        <row r="35">
          <cell r="C35" t="str">
            <v>Recruitment &amp; Training expenses</v>
          </cell>
          <cell r="F35">
            <v>50118</v>
          </cell>
          <cell r="G35">
            <v>7.8461812687701735E-3</v>
          </cell>
          <cell r="H35">
            <v>1429535</v>
          </cell>
          <cell r="I35">
            <v>4.8273435684957962E-2</v>
          </cell>
          <cell r="J35">
            <v>314367</v>
          </cell>
        </row>
        <row r="36">
          <cell r="C36" t="str">
            <v>Director's Remuneration</v>
          </cell>
          <cell r="F36">
            <v>1084500</v>
          </cell>
          <cell r="G36">
            <v>0.16978298387767377</v>
          </cell>
          <cell r="H36">
            <v>3296100</v>
          </cell>
          <cell r="I36">
            <v>0.11130477488217493</v>
          </cell>
          <cell r="J36">
            <v>711550</v>
          </cell>
        </row>
        <row r="37">
          <cell r="C37" t="str">
            <v>Rent</v>
          </cell>
          <cell r="F37">
            <v>809787</v>
          </cell>
          <cell r="G37">
            <v>0.12677552159091729</v>
          </cell>
          <cell r="H37">
            <v>2644063.41</v>
          </cell>
          <cell r="I37">
            <v>8.9286393806087744E-2</v>
          </cell>
          <cell r="J37">
            <v>839361</v>
          </cell>
        </row>
        <row r="38">
          <cell r="C38" t="str">
            <v>Rates, Taxes &amp; Fees</v>
          </cell>
          <cell r="F38">
            <v>227086</v>
          </cell>
          <cell r="G38">
            <v>3.5551257424477109E-2</v>
          </cell>
          <cell r="H38">
            <v>1291817.07</v>
          </cell>
          <cell r="I38">
            <v>4.3622890132368801E-2</v>
          </cell>
          <cell r="J38">
            <v>118888</v>
          </cell>
        </row>
        <row r="39">
          <cell r="C39" t="str">
            <v>Insurance</v>
          </cell>
          <cell r="F39">
            <v>2955853.44</v>
          </cell>
          <cell r="G39">
            <v>0.46275114518053162</v>
          </cell>
          <cell r="H39">
            <v>12586158.98</v>
          </cell>
          <cell r="I39">
            <v>0.42501732104613466</v>
          </cell>
          <cell r="J39">
            <v>2535758</v>
          </cell>
        </row>
        <row r="40">
          <cell r="C40" t="str">
            <v>Repairs &amp; Maintenance</v>
          </cell>
        </row>
        <row r="41">
          <cell r="C41" t="str">
            <v xml:space="preserve">    -Plant &amp; Machinery</v>
          </cell>
          <cell r="F41">
            <v>1581832.2</v>
          </cell>
          <cell r="G41">
            <v>0.24764240747790245</v>
          </cell>
          <cell r="H41">
            <v>7962002.2699999996</v>
          </cell>
          <cell r="I41">
            <v>0.26886589310813253</v>
          </cell>
          <cell r="J41">
            <v>1464864</v>
          </cell>
        </row>
        <row r="42">
          <cell r="C42" t="str">
            <v xml:space="preserve">    -Buildings</v>
          </cell>
          <cell r="F42">
            <v>54289</v>
          </cell>
          <cell r="G42">
            <v>8.4991686599677554E-3</v>
          </cell>
          <cell r="H42">
            <v>1508358.75</v>
          </cell>
          <cell r="I42">
            <v>5.0935205579414687E-2</v>
          </cell>
          <cell r="J42">
            <v>206981</v>
          </cell>
        </row>
        <row r="43">
          <cell r="C43" t="str">
            <v xml:space="preserve">    -Others</v>
          </cell>
          <cell r="F43">
            <v>513440</v>
          </cell>
          <cell r="G43">
            <v>8.0381166659430917E-2</v>
          </cell>
          <cell r="H43">
            <v>2969993.68</v>
          </cell>
          <cell r="I43">
            <v>0.10029261186064813</v>
          </cell>
          <cell r="J43">
            <v>483457</v>
          </cell>
        </row>
        <row r="44">
          <cell r="C44" t="str">
            <v>Travelling &amp; Conveyance</v>
          </cell>
          <cell r="F44">
            <v>4106272.5</v>
          </cell>
          <cell r="G44">
            <v>0.64285403196388669</v>
          </cell>
          <cell r="H44">
            <v>17840757.23</v>
          </cell>
          <cell r="I44">
            <v>0.60245789484927181</v>
          </cell>
          <cell r="J44">
            <v>4067548</v>
          </cell>
        </row>
        <row r="45">
          <cell r="C45" t="str">
            <v>Directors' Sitting Fees</v>
          </cell>
          <cell r="F45">
            <v>77500</v>
          </cell>
          <cell r="G45">
            <v>1.2132947211175396E-2</v>
          </cell>
          <cell r="H45">
            <v>200000</v>
          </cell>
          <cell r="I45">
            <v>6.7537256079715381E-3</v>
          </cell>
          <cell r="J45">
            <v>75000</v>
          </cell>
        </row>
        <row r="46">
          <cell r="C46" t="str">
            <v>Commission &amp; Brokerage</v>
          </cell>
          <cell r="F46">
            <v>9076371</v>
          </cell>
          <cell r="G46">
            <v>1.4209436156392676</v>
          </cell>
          <cell r="H46">
            <v>29738732</v>
          </cell>
          <cell r="I46">
            <v>1.004236179285013</v>
          </cell>
          <cell r="J46">
            <v>22147029</v>
          </cell>
        </row>
        <row r="47">
          <cell r="C47" t="str">
            <v>Freight Outward</v>
          </cell>
          <cell r="F47">
            <v>8792198</v>
          </cell>
          <cell r="G47">
            <v>1.3764551510219598</v>
          </cell>
          <cell r="H47">
            <v>40452729.75</v>
          </cell>
          <cell r="I47">
            <v>1.3660331841246354</v>
          </cell>
          <cell r="J47">
            <v>7265875</v>
          </cell>
        </row>
        <row r="48">
          <cell r="C48" t="str">
            <v>Other Selling expenses</v>
          </cell>
          <cell r="F48">
            <v>7906974</v>
          </cell>
          <cell r="G48">
            <v>1.2378696534469209</v>
          </cell>
          <cell r="H48">
            <v>17386137.190000001</v>
          </cell>
          <cell r="I48">
            <v>0.58710599981904654</v>
          </cell>
          <cell r="J48">
            <v>5126011</v>
          </cell>
        </row>
        <row r="49">
          <cell r="C49" t="str">
            <v>Claims paid / written off</v>
          </cell>
          <cell r="F49">
            <v>75365</v>
          </cell>
          <cell r="G49">
            <v>1.179870408477721E-2</v>
          </cell>
          <cell r="H49">
            <v>8753769</v>
          </cell>
          <cell r="I49">
            <v>0.29560276930783697</v>
          </cell>
          <cell r="J49">
            <v>267847</v>
          </cell>
        </row>
        <row r="50">
          <cell r="C50" t="str">
            <v>Variation in excise duty on opening and closing stocks</v>
          </cell>
        </row>
        <row r="51">
          <cell r="C51" t="str">
            <v>of finished goods</v>
          </cell>
          <cell r="F51">
            <v>0</v>
          </cell>
          <cell r="G51">
            <v>0</v>
          </cell>
          <cell r="H51">
            <v>-42304</v>
          </cell>
          <cell r="I51">
            <v>-1.4285480405981396E-3</v>
          </cell>
          <cell r="J51">
            <v>0</v>
          </cell>
        </row>
        <row r="52">
          <cell r="C52" t="str">
            <v>Custom / Excise duty paid on debonding ( note no. 7 )</v>
          </cell>
          <cell r="F52">
            <v>0</v>
          </cell>
          <cell r="H52">
            <v>0</v>
          </cell>
          <cell r="J52">
            <v>0</v>
          </cell>
        </row>
        <row r="53">
          <cell r="C53" t="str">
            <v>Textile cess</v>
          </cell>
          <cell r="F53">
            <v>0</v>
          </cell>
          <cell r="H53">
            <v>81725</v>
          </cell>
          <cell r="I53">
            <v>2.7597411265573696E-3</v>
          </cell>
          <cell r="J53">
            <v>81725</v>
          </cell>
        </row>
        <row r="54">
          <cell r="C54" t="str">
            <v>Sales Tax payments</v>
          </cell>
          <cell r="F54">
            <v>0</v>
          </cell>
          <cell r="H54">
            <v>0</v>
          </cell>
          <cell r="J54">
            <v>0</v>
          </cell>
        </row>
        <row r="55">
          <cell r="C55" t="str">
            <v>Unrecoverable VAT writen off</v>
          </cell>
          <cell r="F55">
            <v>0</v>
          </cell>
          <cell r="H55">
            <v>0</v>
          </cell>
          <cell r="J55">
            <v>0</v>
          </cell>
        </row>
        <row r="56">
          <cell r="C56" t="str">
            <v>Equipment hire charges</v>
          </cell>
          <cell r="F56">
            <v>119933</v>
          </cell>
          <cell r="G56">
            <v>1.8776009779069659E-2</v>
          </cell>
          <cell r="H56">
            <v>8500</v>
          </cell>
          <cell r="I56">
            <v>2.8703333833879032E-4</v>
          </cell>
          <cell r="J56">
            <v>0</v>
          </cell>
        </row>
        <row r="57">
          <cell r="C57" t="str">
            <v>Diminution in value of investments</v>
          </cell>
          <cell r="F57">
            <v>0</v>
          </cell>
          <cell r="G57">
            <v>0</v>
          </cell>
          <cell r="H57">
            <v>349950.92</v>
          </cell>
          <cell r="I57">
            <v>1.1817362449685995E-2</v>
          </cell>
          <cell r="J57">
            <v>0</v>
          </cell>
        </row>
        <row r="58">
          <cell r="C58" t="str">
            <v>Miscellaneous expenses</v>
          </cell>
          <cell r="F58">
            <v>7767277.5999999996</v>
          </cell>
          <cell r="G58">
            <v>1.2159996012302596</v>
          </cell>
          <cell r="H58">
            <v>27777065.840000004</v>
          </cell>
          <cell r="I58">
            <v>0.93799340438959733</v>
          </cell>
          <cell r="J58">
            <v>5175748</v>
          </cell>
        </row>
        <row r="59">
          <cell r="C59" t="str">
            <v>Charity and donation</v>
          </cell>
          <cell r="F59">
            <v>0</v>
          </cell>
          <cell r="G59">
            <v>0</v>
          </cell>
          <cell r="H59">
            <v>23901</v>
          </cell>
          <cell r="I59">
            <v>8.0710397878063856E-4</v>
          </cell>
          <cell r="J59">
            <v>11750</v>
          </cell>
        </row>
        <row r="60">
          <cell r="C60" t="str">
            <v>Loss on forward cover contracts</v>
          </cell>
          <cell r="F60">
            <v>20163741.359999999</v>
          </cell>
          <cell r="G60">
            <v>3.1567175419441802</v>
          </cell>
          <cell r="H60">
            <v>0</v>
          </cell>
          <cell r="I60">
            <v>0</v>
          </cell>
          <cell r="J60">
            <v>0</v>
          </cell>
        </row>
        <row r="61">
          <cell r="C61" t="str">
            <v>Loss on sale of fixed assets</v>
          </cell>
          <cell r="F61">
            <v>0</v>
          </cell>
          <cell r="G61">
            <v>0</v>
          </cell>
          <cell r="H61">
            <v>376700.27</v>
          </cell>
          <cell r="I61">
            <v>1.2720651300143963E-2</v>
          </cell>
          <cell r="J61">
            <v>0</v>
          </cell>
        </row>
        <row r="62">
          <cell r="C62" t="str">
            <v>Investments written off</v>
          </cell>
          <cell r="F62">
            <v>0</v>
          </cell>
          <cell r="G62">
            <v>0</v>
          </cell>
          <cell r="H62">
            <v>0</v>
          </cell>
          <cell r="I62">
            <v>0</v>
          </cell>
          <cell r="J62">
            <v>0</v>
          </cell>
        </row>
        <row r="63">
          <cell r="C63" t="str">
            <v>Exchange rate difference (Net)</v>
          </cell>
          <cell r="F63">
            <v>425727</v>
          </cell>
          <cell r="G63">
            <v>6.6649331837058942E-2</v>
          </cell>
          <cell r="H63">
            <v>2563109.13</v>
          </cell>
          <cell r="I63">
            <v>8.6552678836533253E-2</v>
          </cell>
          <cell r="J63">
            <v>0</v>
          </cell>
        </row>
        <row r="64">
          <cell r="C64" t="str">
            <v>Previous year's expenses</v>
          </cell>
          <cell r="F64">
            <v>36987.65</v>
          </cell>
          <cell r="G64">
            <v>5.7905703860055696E-3</v>
          </cell>
          <cell r="H64">
            <v>2882644.87</v>
          </cell>
          <cell r="I64">
            <v>9.7342962386033932E-2</v>
          </cell>
          <cell r="J64">
            <v>2003876</v>
          </cell>
        </row>
        <row r="65">
          <cell r="C65" t="str">
            <v>Auditors' Remuneration</v>
          </cell>
          <cell r="F65">
            <v>105936</v>
          </cell>
          <cell r="G65">
            <v>1.6584721235652602E-2</v>
          </cell>
          <cell r="H65">
            <v>552346.28</v>
          </cell>
          <cell r="I65">
            <v>1.8651976078519088E-2</v>
          </cell>
          <cell r="J65">
            <v>22500</v>
          </cell>
        </row>
        <row r="66">
          <cell r="C66" t="str">
            <v>Sundry balances / Excess provision written back  (Net)</v>
          </cell>
          <cell r="F66">
            <v>0</v>
          </cell>
          <cell r="G66">
            <v>0</v>
          </cell>
          <cell r="H66">
            <v>0</v>
          </cell>
          <cell r="I66">
            <v>0</v>
          </cell>
          <cell r="J66">
            <v>0</v>
          </cell>
        </row>
        <row r="67">
          <cell r="C67" t="str">
            <v>Finance Charges</v>
          </cell>
        </row>
        <row r="68">
          <cell r="C68" t="str">
            <v>Interest</v>
          </cell>
          <cell r="G68">
            <v>0</v>
          </cell>
          <cell r="I68">
            <v>0</v>
          </cell>
        </row>
        <row r="69">
          <cell r="C69" t="str">
            <v>Interest on   Debentures</v>
          </cell>
          <cell r="F69">
            <v>8227398</v>
          </cell>
          <cell r="G69">
            <v>1.2880333628300651</v>
          </cell>
          <cell r="H69">
            <v>31771237</v>
          </cell>
          <cell r="I69">
            <v>1.072871084619164</v>
          </cell>
          <cell r="J69">
            <v>7853425</v>
          </cell>
        </row>
        <row r="70">
          <cell r="C70" t="str">
            <v xml:space="preserve">  Interest On  Term Loans</v>
          </cell>
          <cell r="F70">
            <v>25262959.43</v>
          </cell>
          <cell r="G70">
            <v>3.9550213311258799</v>
          </cell>
          <cell r="H70">
            <v>81721318.989999995</v>
          </cell>
          <cell r="I70">
            <v>2.7596168238998682</v>
          </cell>
          <cell r="J70">
            <v>17491230</v>
          </cell>
        </row>
        <row r="71">
          <cell r="C71" t="str">
            <v>Interest on PC/PSCFC/bill dicounting</v>
          </cell>
          <cell r="F71">
            <v>18888926.59</v>
          </cell>
          <cell r="G71">
            <v>2.957139989577255</v>
          </cell>
          <cell r="H71">
            <v>68604640.650000006</v>
          </cell>
          <cell r="I71">
            <v>2.3166845919179511</v>
          </cell>
          <cell r="J71">
            <v>10200016</v>
          </cell>
        </row>
        <row r="72">
          <cell r="C72" t="str">
            <v>L/C and Bank Charges</v>
          </cell>
          <cell r="F72">
            <v>3847071.05</v>
          </cell>
          <cell r="G72">
            <v>0.60227496731988517</v>
          </cell>
          <cell r="H72">
            <v>9805940.8800000008</v>
          </cell>
          <cell r="I72">
            <v>0.33113317015755478</v>
          </cell>
          <cell r="J72">
            <v>761116</v>
          </cell>
        </row>
        <row r="73">
          <cell r="C73" t="str">
            <v>Finance procurement charges</v>
          </cell>
          <cell r="F73">
            <v>280860</v>
          </cell>
          <cell r="G73">
            <v>4.3969800693299636E-2</v>
          </cell>
          <cell r="H73">
            <v>3087607.75</v>
          </cell>
          <cell r="I73">
            <v>0.1042642776427319</v>
          </cell>
          <cell r="J73">
            <v>0</v>
          </cell>
        </row>
        <row r="74">
          <cell r="C74" t="str">
            <v>Depreciation</v>
          </cell>
          <cell r="F74">
            <v>45763536.700000003</v>
          </cell>
          <cell r="G74">
            <v>7.1644719351972643</v>
          </cell>
          <cell r="H74">
            <v>171335972.63</v>
          </cell>
          <cell r="I74">
            <v>5.7857807295897077</v>
          </cell>
          <cell r="J74">
            <v>39867398</v>
          </cell>
        </row>
        <row r="75">
          <cell r="F75">
            <v>759906508.60000002</v>
          </cell>
          <cell r="H75">
            <v>3462965490.4500003</v>
          </cell>
          <cell r="J75">
            <v>1043009058.85</v>
          </cell>
        </row>
        <row r="76">
          <cell r="B76" t="str">
            <v>Profit / Loss for the year</v>
          </cell>
          <cell r="F76">
            <v>-62951259.790000081</v>
          </cell>
          <cell r="H76">
            <v>-184564434.63000059</v>
          </cell>
          <cell r="J76">
            <v>-39445380.75999999</v>
          </cell>
        </row>
        <row r="82">
          <cell r="B82">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heetName val="employee imprest"/>
      <sheetName val="employee loan"/>
      <sheetName val="employee security"/>
    </sheetNames>
    <sheetDataSet>
      <sheetData sheetId="0" refreshError="1"/>
      <sheetData sheetId="1" refreshError="1"/>
      <sheetData sheetId="2" refreshError="1"/>
      <sheetData sheetId="3">
        <row r="4">
          <cell r="A4" t="str">
            <v>E0501      Debadutta Nayak.</v>
          </cell>
        </row>
        <row r="5">
          <cell r="A5" t="str">
            <v>E0502      Sitaram Yadav</v>
          </cell>
        </row>
        <row r="6">
          <cell r="A6" t="str">
            <v>E0503      Vijay Gupta.</v>
          </cell>
        </row>
        <row r="7">
          <cell r="A7" t="str">
            <v>E0507      ASOK RANJAN RAY</v>
          </cell>
        </row>
        <row r="8">
          <cell r="A8" t="str">
            <v>E0508      A.Anil Kumar</v>
          </cell>
        </row>
        <row r="9">
          <cell r="A9" t="str">
            <v>E0511      Ajay Kumar</v>
          </cell>
        </row>
        <row r="10">
          <cell r="A10" t="str">
            <v>E0512      Vinod Agarwal</v>
          </cell>
        </row>
        <row r="11">
          <cell r="A11" t="str">
            <v>E0513      B.L.Dua</v>
          </cell>
        </row>
        <row r="12">
          <cell r="A12" t="str">
            <v>E0514      Naveen Goel</v>
          </cell>
        </row>
        <row r="13">
          <cell r="A13" t="str">
            <v>E0515      A.K.Sehdev.</v>
          </cell>
        </row>
        <row r="14">
          <cell r="A14" t="str">
            <v>E0516      Devesh Kumar</v>
          </cell>
        </row>
        <row r="15">
          <cell r="A15" t="str">
            <v>E0517      Varinder Singh</v>
          </cell>
        </row>
        <row r="16">
          <cell r="A16" t="str">
            <v>E0518      Apoorwa Kumar.</v>
          </cell>
        </row>
        <row r="17">
          <cell r="A17" t="str">
            <v>E0519      J.Ramesh Chandra</v>
          </cell>
        </row>
        <row r="18">
          <cell r="A18" t="str">
            <v>E0520      Neeraj Kumar jain.</v>
          </cell>
        </row>
        <row r="19">
          <cell r="A19" t="str">
            <v>E0550      P.K.Patnaik</v>
          </cell>
        </row>
        <row r="20">
          <cell r="A20" t="str">
            <v>E0552      Rakesh Kumar Gupta.</v>
          </cell>
        </row>
        <row r="21">
          <cell r="A21" t="str">
            <v>E0554      P.Girish</v>
          </cell>
        </row>
        <row r="22">
          <cell r="A22" t="str">
            <v>E0555      Sanjeev Kumar Jain.</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Buildings-III (2)"/>
      <sheetName val="cap-gas (31-3-02) (2)"/>
      <sheetName val="sch 4 (2)"/>
      <sheetName val="dep on exch -fluct (2)"/>
      <sheetName val="IFCI"/>
      <sheetName val="offshore spares"/>
      <sheetName val="FC (2)"/>
      <sheetName val="CIF VALUE "/>
      <sheetName val="Prro.for Tax (R) (2)"/>
      <sheetName val="MISC"/>
      <sheetName val="Abstract"/>
      <sheetName val="cashflow"/>
      <sheetName val="BS"/>
      <sheetName val="P &amp; L"/>
      <sheetName val="sch 1,2"/>
      <sheetName val="sch 3"/>
      <sheetName val="sch 4"/>
      <sheetName val="sch 5 "/>
      <sheetName val="sch 6,7,8,9,10,11"/>
      <sheetName val="sch 12,13,14,15"/>
      <sheetName val="Groupings"/>
      <sheetName val="TB - 31.03.02"/>
      <sheetName val="Computation of Tax "/>
      <sheetName val="MAT CAL"/>
      <sheetName val="Restate-Crs"/>
      <sheetName val="Reinst - FCL"/>
      <sheetName val="F &amp; F"/>
      <sheetName val="Vehicles"/>
      <sheetName val="Computers"/>
      <sheetName val="OE"/>
      <sheetName val="oe-1"/>
      <sheetName val="Leasehold Premises"/>
      <sheetName val="Land"/>
      <sheetName val="dep on exch -fluct"/>
      <sheetName val="buidlings - I"/>
      <sheetName val="buildings - II"/>
      <sheetName val="Buildings-III"/>
      <sheetName val="ONSHORE-EQUIP"/>
      <sheetName val="Offshore Equipment"/>
      <sheetName val="cap-gas (31-3-02)"/>
      <sheetName val="Stock Details"/>
      <sheetName val="GAS"/>
      <sheetName val="NAPHTHA"/>
      <sheetName val="HSD"/>
      <sheetName val="Int.Cal "/>
      <sheetName val="Guarantee Commn."/>
      <sheetName val="Prepaid Insurance"/>
      <sheetName val="leave encashment"/>
      <sheetName val="Prro.for Tax (R)"/>
      <sheetName val="Prov.for Tax"/>
      <sheetName val="FC"/>
      <sheetName val="APTRANSCO-Dr"/>
      <sheetName val="APTRANSCO-Sales"/>
      <sheetName val="Int.Receivable-BreakUp"/>
      <sheetName val="Hire charges"/>
      <sheetName val="Break up of o.s.liability &amp; TDS"/>
      <sheetName val="14"/>
      <sheetName val="3"/>
      <sheetName val="4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E3:R206"/>
  <sheetViews>
    <sheetView topLeftCell="D1" workbookViewId="0">
      <selection activeCell="J14" sqref="J14"/>
    </sheetView>
  </sheetViews>
  <sheetFormatPr defaultRowHeight="15" x14ac:dyDescent="0.25"/>
  <cols>
    <col min="2" max="2" width="7.28515625" bestFit="1" customWidth="1"/>
    <col min="3" max="3" width="36.28515625" customWidth="1"/>
    <col min="5" max="5" width="13.28515625" bestFit="1" customWidth="1"/>
    <col min="6" max="6" width="6.85546875" bestFit="1" customWidth="1"/>
    <col min="7" max="7" width="19.140625" customWidth="1"/>
    <col min="8" max="8" width="13.28515625" bestFit="1" customWidth="1"/>
    <col min="9" max="9" width="12.140625" bestFit="1" customWidth="1"/>
    <col min="10" max="10" width="16.7109375" bestFit="1" customWidth="1"/>
    <col min="11" max="11" width="17" bestFit="1" customWidth="1"/>
    <col min="12" max="12" width="17.28515625" customWidth="1"/>
    <col min="13" max="13" width="28.140625" customWidth="1"/>
    <col min="14" max="14" width="21.85546875" customWidth="1"/>
    <col min="15" max="15" width="16" customWidth="1"/>
    <col min="16" max="16" width="14.28515625" bestFit="1" customWidth="1"/>
    <col min="17" max="17" width="24.140625" customWidth="1"/>
    <col min="18" max="18" width="20.42578125" customWidth="1"/>
  </cols>
  <sheetData>
    <row r="3" spans="6:14" x14ac:dyDescent="0.25">
      <c r="F3" s="266" t="s">
        <v>389</v>
      </c>
      <c r="G3" s="266"/>
      <c r="H3" s="266"/>
      <c r="I3" s="266"/>
      <c r="J3" s="266"/>
      <c r="K3" s="266"/>
      <c r="L3" s="266"/>
      <c r="M3" s="266"/>
      <c r="N3" s="266"/>
    </row>
    <row r="4" spans="6:14" ht="87.75" x14ac:dyDescent="0.25">
      <c r="F4" s="37" t="s">
        <v>2</v>
      </c>
      <c r="G4" s="37" t="s">
        <v>309</v>
      </c>
      <c r="H4" s="37" t="s">
        <v>44</v>
      </c>
      <c r="I4" s="37" t="s">
        <v>45</v>
      </c>
      <c r="J4" s="37" t="s">
        <v>55</v>
      </c>
      <c r="K4" s="37" t="s">
        <v>314</v>
      </c>
      <c r="L4" s="37" t="s">
        <v>315</v>
      </c>
      <c r="M4" s="37" t="s">
        <v>46</v>
      </c>
      <c r="N4" s="37" t="s">
        <v>38</v>
      </c>
    </row>
    <row r="5" spans="6:14" s="167" customFormat="1" x14ac:dyDescent="0.25">
      <c r="F5" s="192">
        <v>1</v>
      </c>
      <c r="G5" s="192" t="s">
        <v>310</v>
      </c>
      <c r="H5" s="171">
        <v>50</v>
      </c>
      <c r="I5" s="193">
        <f>H5*4046.87</f>
        <v>202343.5</v>
      </c>
      <c r="J5" s="68">
        <v>0</v>
      </c>
      <c r="K5" s="69">
        <f>J5/H5</f>
        <v>0</v>
      </c>
      <c r="L5" s="194">
        <f>35*10^5</f>
        <v>3500000</v>
      </c>
      <c r="M5" s="194">
        <f>L5*(1+10%)</f>
        <v>3850000.0000000005</v>
      </c>
      <c r="N5" s="194">
        <f>M5*H5</f>
        <v>192500000.00000003</v>
      </c>
    </row>
    <row r="6" spans="6:14" s="167" customFormat="1" x14ac:dyDescent="0.25">
      <c r="F6" s="192">
        <v>2</v>
      </c>
      <c r="G6" s="192" t="s">
        <v>311</v>
      </c>
      <c r="H6" s="171">
        <v>17.39</v>
      </c>
      <c r="I6" s="193">
        <f t="shared" ref="I6:I7" si="0">H6*4046.87</f>
        <v>70375.069300000003</v>
      </c>
      <c r="J6" s="68">
        <v>0</v>
      </c>
      <c r="K6" s="69">
        <f t="shared" ref="K6:K7" si="1">J6/H6</f>
        <v>0</v>
      </c>
      <c r="L6" s="194">
        <f>35*10^5</f>
        <v>3500000</v>
      </c>
      <c r="M6" s="194">
        <f t="shared" ref="M6:M7" si="2">L6*(1+10%)</f>
        <v>3850000.0000000005</v>
      </c>
      <c r="N6" s="194">
        <f t="shared" ref="N6:N7" si="3">M6*H6</f>
        <v>66951500.000000007</v>
      </c>
    </row>
    <row r="7" spans="6:14" s="167" customFormat="1" x14ac:dyDescent="0.25">
      <c r="F7" s="192">
        <v>3</v>
      </c>
      <c r="G7" s="192" t="s">
        <v>312</v>
      </c>
      <c r="H7" s="171">
        <v>18.2</v>
      </c>
      <c r="I7" s="193">
        <f t="shared" si="0"/>
        <v>73653.034</v>
      </c>
      <c r="J7" s="68">
        <v>0</v>
      </c>
      <c r="K7" s="69">
        <f t="shared" si="1"/>
        <v>0</v>
      </c>
      <c r="L7" s="194">
        <f>30*10^5</f>
        <v>3000000</v>
      </c>
      <c r="M7" s="194">
        <f t="shared" si="2"/>
        <v>3300000.0000000005</v>
      </c>
      <c r="N7" s="194">
        <f t="shared" si="3"/>
        <v>60060000.000000007</v>
      </c>
    </row>
    <row r="8" spans="6:14" x14ac:dyDescent="0.25">
      <c r="F8" s="264" t="s">
        <v>12</v>
      </c>
      <c r="G8" s="265"/>
      <c r="H8" s="195">
        <f>SUM(H5:H7)</f>
        <v>85.59</v>
      </c>
      <c r="I8" s="196">
        <f>SUM(I5:I7)</f>
        <v>346371.60329999996</v>
      </c>
      <c r="J8" s="197">
        <f>SUM(J5:J7)</f>
        <v>0</v>
      </c>
      <c r="K8" s="88"/>
      <c r="L8" s="88"/>
      <c r="M8" s="88"/>
      <c r="N8" s="88">
        <f>SUM(N5:N7)</f>
        <v>319511500.00000006</v>
      </c>
    </row>
    <row r="9" spans="6:14" ht="14.25" customHeight="1" x14ac:dyDescent="0.25">
      <c r="F9" s="255" t="s">
        <v>15</v>
      </c>
      <c r="G9" s="256"/>
      <c r="H9" s="256"/>
      <c r="I9" s="256"/>
      <c r="J9" s="256"/>
      <c r="K9" s="256"/>
      <c r="L9" s="256"/>
      <c r="M9" s="256"/>
      <c r="N9" s="257"/>
    </row>
    <row r="10" spans="6:14" x14ac:dyDescent="0.25">
      <c r="F10" s="261" t="s">
        <v>39</v>
      </c>
      <c r="G10" s="262"/>
      <c r="H10" s="262"/>
      <c r="I10" s="262"/>
      <c r="J10" s="262"/>
      <c r="K10" s="262"/>
      <c r="L10" s="262"/>
      <c r="M10" s="262"/>
      <c r="N10" s="263"/>
    </row>
    <row r="11" spans="6:14" x14ac:dyDescent="0.25">
      <c r="F11" s="258" t="s">
        <v>313</v>
      </c>
      <c r="G11" s="259"/>
      <c r="H11" s="259"/>
      <c r="I11" s="259"/>
      <c r="J11" s="259"/>
      <c r="K11" s="259"/>
      <c r="L11" s="259"/>
      <c r="M11" s="259"/>
      <c r="N11" s="260"/>
    </row>
    <row r="24" spans="5:9" x14ac:dyDescent="0.25">
      <c r="E24" s="36"/>
      <c r="H24" s="36"/>
      <c r="I24" s="36"/>
    </row>
    <row r="206" spans="11:18" x14ac:dyDescent="0.25">
      <c r="K206" s="30"/>
      <c r="L206" s="30"/>
      <c r="M206" s="30"/>
      <c r="N206" s="30"/>
      <c r="O206" s="30"/>
      <c r="P206" s="30"/>
      <c r="Q206" s="30"/>
      <c r="R206" s="30"/>
    </row>
  </sheetData>
  <mergeCells count="5">
    <mergeCell ref="F9:N9"/>
    <mergeCell ref="F11:N11"/>
    <mergeCell ref="F10:N10"/>
    <mergeCell ref="F8:G8"/>
    <mergeCell ref="F3:N3"/>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73"/>
  <sheetViews>
    <sheetView workbookViewId="0">
      <pane ySplit="4" topLeftCell="A5" activePane="bottomLeft" state="frozen"/>
      <selection pane="bottomLeft" activeCell="B4" sqref="B4"/>
    </sheetView>
  </sheetViews>
  <sheetFormatPr defaultRowHeight="15" x14ac:dyDescent="0.25"/>
  <cols>
    <col min="1" max="2" width="9.140625" style="77"/>
    <col min="3" max="3" width="23" style="77" customWidth="1"/>
    <col min="4" max="4" width="20.140625" style="77" customWidth="1"/>
    <col min="5" max="5" width="6.85546875" style="77" customWidth="1"/>
    <col min="6" max="6" width="15" style="77" customWidth="1"/>
    <col min="7" max="7" width="13.28515625" style="77" customWidth="1"/>
    <col min="8" max="8" width="11.5703125" style="77" bestFit="1" customWidth="1"/>
    <col min="9" max="9" width="16.28515625" style="77" customWidth="1"/>
    <col min="10" max="10" width="9.140625" style="77"/>
    <col min="11" max="11" width="13.28515625" style="77" customWidth="1"/>
    <col min="12" max="13" width="16.28515625" style="79" customWidth="1"/>
    <col min="14" max="14" width="17.42578125" style="77" bestFit="1" customWidth="1"/>
    <col min="15" max="15" width="19.85546875" style="77" customWidth="1"/>
    <col min="16" max="16" width="12.5703125" style="77" customWidth="1"/>
    <col min="17" max="17" width="20.5703125" style="77" customWidth="1"/>
    <col min="18" max="16384" width="9.140625" style="77"/>
  </cols>
  <sheetData>
    <row r="2" spans="2:17" x14ac:dyDescent="0.25">
      <c r="C2" s="251"/>
    </row>
    <row r="3" spans="2:17" s="70" customFormat="1" x14ac:dyDescent="0.25">
      <c r="B3" s="315" t="s">
        <v>394</v>
      </c>
      <c r="C3" s="315"/>
      <c r="D3" s="315"/>
      <c r="E3" s="315"/>
      <c r="F3" s="315"/>
      <c r="G3" s="315"/>
      <c r="H3" s="315"/>
      <c r="I3" s="315"/>
      <c r="J3" s="315"/>
      <c r="K3" s="315"/>
      <c r="L3" s="315"/>
      <c r="M3" s="315"/>
      <c r="N3" s="315"/>
      <c r="O3" s="315"/>
      <c r="P3" s="315"/>
      <c r="Q3" s="315"/>
    </row>
    <row r="4" spans="2:17" s="70" customFormat="1" ht="60" x14ac:dyDescent="0.25">
      <c r="B4" s="2" t="s">
        <v>2</v>
      </c>
      <c r="C4" s="2" t="s">
        <v>3</v>
      </c>
      <c r="D4" s="2" t="s">
        <v>60</v>
      </c>
      <c r="E4" s="2" t="s">
        <v>61</v>
      </c>
      <c r="F4" s="2" t="s">
        <v>4</v>
      </c>
      <c r="G4" s="2" t="s">
        <v>5</v>
      </c>
      <c r="H4" s="2" t="s">
        <v>6</v>
      </c>
      <c r="I4" s="2" t="s">
        <v>13</v>
      </c>
      <c r="J4" s="2" t="s">
        <v>22</v>
      </c>
      <c r="K4" s="2" t="s">
        <v>7</v>
      </c>
      <c r="L4" s="49" t="s">
        <v>8</v>
      </c>
      <c r="M4" s="49" t="s">
        <v>41</v>
      </c>
      <c r="N4" s="3" t="s">
        <v>10</v>
      </c>
      <c r="O4" s="3" t="s">
        <v>23</v>
      </c>
      <c r="P4" s="3" t="s">
        <v>42</v>
      </c>
      <c r="Q4" s="3" t="s">
        <v>11</v>
      </c>
    </row>
    <row r="5" spans="2:17" x14ac:dyDescent="0.25">
      <c r="B5" s="45">
        <v>1</v>
      </c>
      <c r="C5" s="139" t="s">
        <v>58</v>
      </c>
      <c r="D5" s="141" t="s">
        <v>0</v>
      </c>
      <c r="E5" s="141">
        <v>1</v>
      </c>
      <c r="F5" s="99" t="s">
        <v>59</v>
      </c>
      <c r="G5" s="89">
        <v>44438</v>
      </c>
      <c r="H5" s="48">
        <f t="shared" ref="H5" si="0">(G5-F5)/(EDATE(G5,12)-G5)</f>
        <v>5.3369863013698629</v>
      </c>
      <c r="I5" s="45">
        <v>6</v>
      </c>
      <c r="J5" s="47">
        <v>0.05</v>
      </c>
      <c r="K5" s="55">
        <f t="shared" ref="K5" si="1">(1-J5)/I5</f>
        <v>0.15833333333333333</v>
      </c>
      <c r="L5" s="54">
        <v>155000</v>
      </c>
      <c r="M5" s="54">
        <v>49624.15</v>
      </c>
      <c r="N5" s="103">
        <f>L5*H5*K5</f>
        <v>130978.53881278538</v>
      </c>
      <c r="O5" s="103">
        <f>MAX(L5-N5,0)</f>
        <v>24021.46118721462</v>
      </c>
      <c r="P5" s="104">
        <v>0.05</v>
      </c>
      <c r="Q5" s="28">
        <f>IF(O5&gt;=L5*J5,O5*(1-P5),L5*J5)</f>
        <v>22820.388127853887</v>
      </c>
    </row>
    <row r="6" spans="2:17" ht="45" x14ac:dyDescent="0.25">
      <c r="B6" s="45">
        <v>2</v>
      </c>
      <c r="C6" s="139" t="s">
        <v>187</v>
      </c>
      <c r="D6" s="141" t="s">
        <v>0</v>
      </c>
      <c r="E6" s="86" t="s">
        <v>64</v>
      </c>
      <c r="F6" s="86" t="s">
        <v>65</v>
      </c>
      <c r="G6" s="89">
        <v>44438</v>
      </c>
      <c r="H6" s="48">
        <f t="shared" ref="H6:H14" si="2">(G6-F6)/(EDATE(G6,12)-G6)</f>
        <v>11.421917808219177</v>
      </c>
      <c r="I6" s="45">
        <v>6</v>
      </c>
      <c r="J6" s="47">
        <v>0.05</v>
      </c>
      <c r="K6" s="55">
        <f t="shared" ref="K6:K14" si="3">(1-J6)/I6</f>
        <v>0.15833333333333333</v>
      </c>
      <c r="L6" s="113">
        <v>2737465</v>
      </c>
      <c r="M6" s="96">
        <v>136873.43</v>
      </c>
      <c r="N6" s="103">
        <f t="shared" ref="N6:N14" si="4">L6*H6*K6</f>
        <v>4950624.2035388127</v>
      </c>
      <c r="O6" s="103">
        <f t="shared" ref="O6:O14" si="5">MAX(L6-N6,0)</f>
        <v>0</v>
      </c>
      <c r="P6" s="104">
        <v>0.05</v>
      </c>
      <c r="Q6" s="28">
        <f t="shared" ref="Q6:Q14" si="6">IF(O6&gt;=L6*J6,O6*(1-P6),L6*J6)</f>
        <v>136873.25</v>
      </c>
    </row>
    <row r="7" spans="2:17" x14ac:dyDescent="0.25">
      <c r="B7" s="45">
        <v>3</v>
      </c>
      <c r="C7" s="139" t="s">
        <v>62</v>
      </c>
      <c r="D7" s="141" t="s">
        <v>0</v>
      </c>
      <c r="E7" s="106">
        <v>2</v>
      </c>
      <c r="F7" s="99" t="s">
        <v>66</v>
      </c>
      <c r="G7" s="89">
        <v>44438</v>
      </c>
      <c r="H7" s="48">
        <f t="shared" si="2"/>
        <v>9.2164383561643834</v>
      </c>
      <c r="I7" s="45">
        <v>6</v>
      </c>
      <c r="J7" s="47">
        <v>0.05</v>
      </c>
      <c r="K7" s="55">
        <f t="shared" si="3"/>
        <v>0.15833333333333333</v>
      </c>
      <c r="L7" s="112">
        <v>121600</v>
      </c>
      <c r="M7" s="97">
        <v>14151.53</v>
      </c>
      <c r="N7" s="103">
        <f t="shared" si="4"/>
        <v>177447.15981735158</v>
      </c>
      <c r="O7" s="103">
        <f t="shared" si="5"/>
        <v>0</v>
      </c>
      <c r="P7" s="104">
        <v>0.05</v>
      </c>
      <c r="Q7" s="28">
        <f t="shared" si="6"/>
        <v>6080</v>
      </c>
    </row>
    <row r="8" spans="2:17" x14ac:dyDescent="0.25">
      <c r="B8" s="45">
        <v>4</v>
      </c>
      <c r="C8" s="139" t="s">
        <v>63</v>
      </c>
      <c r="D8" s="141" t="s">
        <v>0</v>
      </c>
      <c r="E8" s="106">
        <v>2</v>
      </c>
      <c r="F8" s="99" t="s">
        <v>67</v>
      </c>
      <c r="G8" s="89">
        <v>44438</v>
      </c>
      <c r="H8" s="48">
        <f t="shared" si="2"/>
        <v>5.9972602739726026</v>
      </c>
      <c r="I8" s="45">
        <v>6</v>
      </c>
      <c r="J8" s="47">
        <v>0.05</v>
      </c>
      <c r="K8" s="55">
        <f t="shared" si="3"/>
        <v>0.15833333333333333</v>
      </c>
      <c r="L8" s="112">
        <v>9999</v>
      </c>
      <c r="M8" s="97">
        <v>2182.7600000000002</v>
      </c>
      <c r="N8" s="103">
        <f t="shared" si="4"/>
        <v>9494.7125342465752</v>
      </c>
      <c r="O8" s="103">
        <f t="shared" si="5"/>
        <v>504.28746575342484</v>
      </c>
      <c r="P8" s="104">
        <v>0.05</v>
      </c>
      <c r="Q8" s="28">
        <f t="shared" si="6"/>
        <v>479.07309246575358</v>
      </c>
    </row>
    <row r="9" spans="2:17" ht="45" x14ac:dyDescent="0.25">
      <c r="B9" s="45">
        <v>5</v>
      </c>
      <c r="C9" s="139" t="s">
        <v>187</v>
      </c>
      <c r="D9" s="141" t="s">
        <v>0</v>
      </c>
      <c r="E9" s="86" t="s">
        <v>64</v>
      </c>
      <c r="F9" s="86" t="s">
        <v>65</v>
      </c>
      <c r="G9" s="89">
        <v>44438</v>
      </c>
      <c r="H9" s="48">
        <f t="shared" si="2"/>
        <v>11.421917808219177</v>
      </c>
      <c r="I9" s="45">
        <v>6</v>
      </c>
      <c r="J9" s="47">
        <v>0.05</v>
      </c>
      <c r="K9" s="55">
        <f t="shared" si="3"/>
        <v>0.15833333333333333</v>
      </c>
      <c r="L9" s="113">
        <v>2737465</v>
      </c>
      <c r="M9" s="96">
        <v>136873.43</v>
      </c>
      <c r="N9" s="103">
        <f t="shared" si="4"/>
        <v>4950624.2035388127</v>
      </c>
      <c r="O9" s="103">
        <f t="shared" si="5"/>
        <v>0</v>
      </c>
      <c r="P9" s="104">
        <v>0.05</v>
      </c>
      <c r="Q9" s="28">
        <f t="shared" si="6"/>
        <v>136873.25</v>
      </c>
    </row>
    <row r="10" spans="2:17" x14ac:dyDescent="0.25">
      <c r="B10" s="45">
        <v>6</v>
      </c>
      <c r="C10" s="139" t="s">
        <v>68</v>
      </c>
      <c r="D10" s="141" t="s">
        <v>0</v>
      </c>
      <c r="E10" s="106">
        <v>3</v>
      </c>
      <c r="F10" s="86" t="s">
        <v>71</v>
      </c>
      <c r="G10" s="89">
        <v>44438</v>
      </c>
      <c r="H10" s="48">
        <f t="shared" si="2"/>
        <v>11.24931506849315</v>
      </c>
      <c r="I10" s="45">
        <v>6</v>
      </c>
      <c r="J10" s="47">
        <v>0.05</v>
      </c>
      <c r="K10" s="55">
        <f t="shared" si="3"/>
        <v>0.15833333333333333</v>
      </c>
      <c r="L10" s="59">
        <v>45000</v>
      </c>
      <c r="M10" s="53">
        <v>2250.1</v>
      </c>
      <c r="N10" s="103">
        <f t="shared" si="4"/>
        <v>80151.369863013693</v>
      </c>
      <c r="O10" s="103">
        <f t="shared" si="5"/>
        <v>0</v>
      </c>
      <c r="P10" s="104">
        <v>0.05</v>
      </c>
      <c r="Q10" s="28">
        <f t="shared" si="6"/>
        <v>2250</v>
      </c>
    </row>
    <row r="11" spans="2:17" x14ac:dyDescent="0.25">
      <c r="B11" s="45">
        <v>7</v>
      </c>
      <c r="C11" s="139" t="s">
        <v>68</v>
      </c>
      <c r="D11" s="141" t="s">
        <v>0</v>
      </c>
      <c r="E11" s="106">
        <v>3</v>
      </c>
      <c r="F11" s="86" t="s">
        <v>71</v>
      </c>
      <c r="G11" s="89">
        <v>44438</v>
      </c>
      <c r="H11" s="48">
        <f t="shared" si="2"/>
        <v>11.24931506849315</v>
      </c>
      <c r="I11" s="45">
        <v>6</v>
      </c>
      <c r="J11" s="47">
        <v>0.05</v>
      </c>
      <c r="K11" s="55">
        <f t="shared" si="3"/>
        <v>0.15833333333333333</v>
      </c>
      <c r="L11" s="59">
        <v>45000</v>
      </c>
      <c r="M11" s="53">
        <v>2250.1</v>
      </c>
      <c r="N11" s="103">
        <f t="shared" si="4"/>
        <v>80151.369863013693</v>
      </c>
      <c r="O11" s="103">
        <f t="shared" si="5"/>
        <v>0</v>
      </c>
      <c r="P11" s="104">
        <v>0.05</v>
      </c>
      <c r="Q11" s="28">
        <f t="shared" si="6"/>
        <v>2250</v>
      </c>
    </row>
    <row r="12" spans="2:17" x14ac:dyDescent="0.25">
      <c r="B12" s="45">
        <v>8</v>
      </c>
      <c r="C12" s="139" t="s">
        <v>69</v>
      </c>
      <c r="D12" s="141" t="s">
        <v>0</v>
      </c>
      <c r="E12" s="106">
        <v>3</v>
      </c>
      <c r="F12" s="99" t="s">
        <v>72</v>
      </c>
      <c r="G12" s="89">
        <v>44438</v>
      </c>
      <c r="H12" s="48">
        <f t="shared" si="2"/>
        <v>11.2</v>
      </c>
      <c r="I12" s="45">
        <v>6</v>
      </c>
      <c r="J12" s="47">
        <v>0.05</v>
      </c>
      <c r="K12" s="55">
        <f t="shared" si="3"/>
        <v>0.15833333333333333</v>
      </c>
      <c r="L12" s="57">
        <v>24500</v>
      </c>
      <c r="M12" s="54">
        <v>111.73</v>
      </c>
      <c r="N12" s="103">
        <f t="shared" si="4"/>
        <v>43446.666666666664</v>
      </c>
      <c r="O12" s="103">
        <f t="shared" si="5"/>
        <v>0</v>
      </c>
      <c r="P12" s="104">
        <v>0.05</v>
      </c>
      <c r="Q12" s="28">
        <f t="shared" si="6"/>
        <v>1225</v>
      </c>
    </row>
    <row r="13" spans="2:17" x14ac:dyDescent="0.25">
      <c r="B13" s="45">
        <v>9</v>
      </c>
      <c r="C13" s="139" t="s">
        <v>70</v>
      </c>
      <c r="D13" s="141" t="s">
        <v>0</v>
      </c>
      <c r="E13" s="106">
        <v>3</v>
      </c>
      <c r="F13" s="99" t="s">
        <v>73</v>
      </c>
      <c r="G13" s="89">
        <v>44438</v>
      </c>
      <c r="H13" s="48">
        <f t="shared" si="2"/>
        <v>10.961643835616439</v>
      </c>
      <c r="I13" s="45">
        <v>6</v>
      </c>
      <c r="J13" s="47">
        <v>0.05</v>
      </c>
      <c r="K13" s="55">
        <f t="shared" si="3"/>
        <v>0.15833333333333333</v>
      </c>
      <c r="L13" s="57">
        <v>17500</v>
      </c>
      <c r="M13" s="54">
        <v>875.47</v>
      </c>
      <c r="N13" s="103">
        <f t="shared" si="4"/>
        <v>30372.888127853883</v>
      </c>
      <c r="O13" s="103">
        <f t="shared" si="5"/>
        <v>0</v>
      </c>
      <c r="P13" s="104">
        <v>0.05</v>
      </c>
      <c r="Q13" s="28">
        <f t="shared" si="6"/>
        <v>875</v>
      </c>
    </row>
    <row r="14" spans="2:17" x14ac:dyDescent="0.25">
      <c r="B14" s="45">
        <v>10</v>
      </c>
      <c r="C14" s="139" t="s">
        <v>68</v>
      </c>
      <c r="D14" s="141" t="s">
        <v>0</v>
      </c>
      <c r="E14" s="106">
        <v>3</v>
      </c>
      <c r="F14" s="86" t="s">
        <v>74</v>
      </c>
      <c r="G14" s="89">
        <v>44438</v>
      </c>
      <c r="H14" s="48">
        <f t="shared" si="2"/>
        <v>10.621917808219179</v>
      </c>
      <c r="I14" s="45">
        <v>6</v>
      </c>
      <c r="J14" s="47">
        <v>0.05</v>
      </c>
      <c r="K14" s="55">
        <f t="shared" si="3"/>
        <v>0.15833333333333333</v>
      </c>
      <c r="L14" s="57">
        <v>437800</v>
      </c>
      <c r="M14" s="54">
        <v>21889.74</v>
      </c>
      <c r="N14" s="103">
        <f t="shared" si="4"/>
        <v>736293.63926940633</v>
      </c>
      <c r="O14" s="103">
        <f t="shared" si="5"/>
        <v>0</v>
      </c>
      <c r="P14" s="104">
        <v>0.05</v>
      </c>
      <c r="Q14" s="28">
        <f t="shared" si="6"/>
        <v>21890</v>
      </c>
    </row>
    <row r="15" spans="2:17" x14ac:dyDescent="0.25">
      <c r="B15" s="316" t="s">
        <v>54</v>
      </c>
      <c r="C15" s="316"/>
      <c r="D15" s="316"/>
      <c r="E15" s="316"/>
      <c r="F15" s="316"/>
      <c r="G15" s="316"/>
      <c r="H15" s="316"/>
      <c r="I15" s="316"/>
      <c r="J15" s="316"/>
      <c r="K15" s="316"/>
      <c r="L15" s="140">
        <f>SUM(L5:L14)</f>
        <v>6331329</v>
      </c>
      <c r="M15" s="140">
        <f>SUM(M5:M14)</f>
        <v>367082.43999999989</v>
      </c>
      <c r="N15" s="51">
        <f>SUM(N5:N14)</f>
        <v>11189584.752031961</v>
      </c>
      <c r="O15" s="51">
        <f t="shared" ref="O15:Q15" si="7">SUM(O5:O14)</f>
        <v>24525.748652968046</v>
      </c>
      <c r="P15" s="51"/>
      <c r="Q15" s="51">
        <f t="shared" si="7"/>
        <v>331615.96122031962</v>
      </c>
    </row>
    <row r="16" spans="2:17" x14ac:dyDescent="0.25">
      <c r="B16" s="71"/>
      <c r="C16" s="78"/>
      <c r="D16" s="78"/>
      <c r="E16" s="78"/>
      <c r="F16" s="72"/>
      <c r="G16" s="72"/>
      <c r="H16" s="73"/>
      <c r="I16" s="71"/>
      <c r="J16" s="74"/>
      <c r="K16" s="75"/>
      <c r="N16" s="76"/>
      <c r="O16" s="76"/>
      <c r="P16" s="76"/>
      <c r="Q16" s="76"/>
    </row>
    <row r="17" spans="2:17" x14ac:dyDescent="0.25">
      <c r="B17" s="71"/>
      <c r="C17" s="78"/>
      <c r="D17" s="78"/>
      <c r="E17" s="78"/>
      <c r="F17" s="72"/>
      <c r="G17" s="72"/>
      <c r="H17" s="73"/>
      <c r="I17" s="71"/>
      <c r="J17" s="74"/>
      <c r="K17" s="75"/>
      <c r="N17" s="76"/>
      <c r="O17" s="76"/>
      <c r="P17" s="76"/>
      <c r="Q17" s="76"/>
    </row>
    <row r="18" spans="2:17" x14ac:dyDescent="0.25">
      <c r="B18" s="71"/>
      <c r="C18" s="78"/>
      <c r="D18" s="78"/>
      <c r="E18" s="78"/>
      <c r="F18" s="72"/>
      <c r="G18" s="72"/>
      <c r="H18" s="73"/>
      <c r="I18" s="71"/>
      <c r="J18" s="74"/>
      <c r="K18" s="75"/>
      <c r="N18" s="76"/>
      <c r="O18" s="76"/>
      <c r="P18" s="76"/>
      <c r="Q18" s="76">
        <f>$Q$15+'furniture &amp; Fixture'!$Q$36+Vehicles!$Q$21+Computers!$Q$26+Software!$Q$7</f>
        <v>4220102.7315216903</v>
      </c>
    </row>
    <row r="19" spans="2:17" x14ac:dyDescent="0.25">
      <c r="B19" s="71"/>
      <c r="C19" s="78"/>
      <c r="D19" s="78"/>
      <c r="E19" s="78"/>
      <c r="F19" s="72"/>
      <c r="G19" s="72"/>
      <c r="H19" s="73"/>
      <c r="I19" s="71"/>
      <c r="J19" s="74"/>
      <c r="K19" s="75"/>
      <c r="N19" s="76"/>
      <c r="O19" s="76"/>
      <c r="P19" s="76"/>
      <c r="Q19" s="76"/>
    </row>
    <row r="20" spans="2:17" x14ac:dyDescent="0.25">
      <c r="B20" s="71"/>
      <c r="C20" s="78"/>
      <c r="D20" s="78"/>
      <c r="E20" s="78"/>
      <c r="F20" s="72"/>
      <c r="G20" s="72"/>
      <c r="H20" s="73"/>
      <c r="I20" s="71"/>
      <c r="J20" s="74"/>
      <c r="K20" s="75"/>
      <c r="N20" s="76"/>
      <c r="O20" s="76"/>
      <c r="P20" s="76"/>
      <c r="Q20" s="76"/>
    </row>
    <row r="21" spans="2:17" x14ac:dyDescent="0.25">
      <c r="B21" s="71"/>
      <c r="C21" s="78"/>
      <c r="D21" s="78"/>
      <c r="E21" s="78"/>
      <c r="F21" s="72"/>
      <c r="G21" s="72"/>
      <c r="H21" s="73"/>
      <c r="I21" s="71"/>
      <c r="J21" s="74"/>
      <c r="K21" s="75"/>
      <c r="N21" s="76"/>
      <c r="O21" s="76"/>
      <c r="P21" s="76"/>
      <c r="Q21" s="76"/>
    </row>
    <row r="22" spans="2:17" x14ac:dyDescent="0.25">
      <c r="B22" s="71"/>
      <c r="C22" s="78"/>
      <c r="D22" s="78"/>
      <c r="E22" s="78"/>
      <c r="F22" s="72"/>
      <c r="G22" s="72"/>
      <c r="H22" s="73"/>
      <c r="I22" s="71"/>
      <c r="J22" s="74"/>
      <c r="K22" s="75"/>
      <c r="N22" s="76"/>
      <c r="O22" s="76"/>
      <c r="P22" s="76"/>
      <c r="Q22" s="76"/>
    </row>
    <row r="23" spans="2:17" x14ac:dyDescent="0.25">
      <c r="B23" s="71"/>
      <c r="C23" s="78"/>
      <c r="D23" s="78"/>
      <c r="E23" s="78"/>
      <c r="F23" s="72"/>
      <c r="G23" s="72"/>
      <c r="H23" s="73"/>
      <c r="I23" s="71"/>
      <c r="J23" s="74"/>
      <c r="K23" s="75"/>
      <c r="N23" s="76"/>
      <c r="O23" s="76"/>
      <c r="P23" s="76"/>
      <c r="Q23" s="76"/>
    </row>
    <row r="24" spans="2:17" x14ac:dyDescent="0.25">
      <c r="B24" s="71"/>
      <c r="C24" s="78"/>
      <c r="D24" s="78"/>
      <c r="E24" s="78"/>
      <c r="F24" s="72"/>
      <c r="G24" s="72"/>
      <c r="H24" s="73"/>
      <c r="I24" s="71"/>
      <c r="J24" s="74"/>
      <c r="K24" s="75"/>
      <c r="N24" s="76"/>
      <c r="O24" s="76"/>
      <c r="P24" s="76"/>
      <c r="Q24" s="76"/>
    </row>
    <row r="25" spans="2:17" x14ac:dyDescent="0.25">
      <c r="B25" s="71"/>
      <c r="C25" s="78"/>
      <c r="D25" s="78"/>
      <c r="E25" s="78"/>
      <c r="F25" s="72"/>
      <c r="G25" s="72"/>
      <c r="H25" s="73"/>
      <c r="I25" s="71"/>
      <c r="J25" s="74"/>
      <c r="K25" s="75"/>
      <c r="N25" s="76"/>
      <c r="O25" s="76"/>
      <c r="P25" s="76"/>
      <c r="Q25" s="76"/>
    </row>
    <row r="26" spans="2:17" x14ac:dyDescent="0.25">
      <c r="B26" s="71"/>
      <c r="C26" s="78"/>
      <c r="D26" s="78"/>
      <c r="E26" s="78"/>
      <c r="F26" s="72"/>
      <c r="G26" s="72"/>
      <c r="H26" s="73"/>
      <c r="I26" s="71"/>
      <c r="J26" s="74"/>
      <c r="K26" s="75"/>
      <c r="N26" s="76"/>
      <c r="O26" s="76"/>
      <c r="P26" s="76"/>
      <c r="Q26" s="76"/>
    </row>
    <row r="27" spans="2:17" x14ac:dyDescent="0.25">
      <c r="B27" s="71"/>
      <c r="C27" s="78"/>
      <c r="D27" s="78"/>
      <c r="E27" s="78"/>
      <c r="F27" s="72"/>
      <c r="G27" s="72"/>
      <c r="H27" s="73"/>
      <c r="I27" s="71"/>
      <c r="J27" s="74"/>
      <c r="K27" s="75"/>
      <c r="N27" s="76"/>
      <c r="O27" s="76"/>
      <c r="P27" s="76"/>
      <c r="Q27" s="76"/>
    </row>
    <row r="28" spans="2:17" x14ac:dyDescent="0.25">
      <c r="B28" s="71"/>
      <c r="C28" s="78"/>
      <c r="D28" s="78"/>
      <c r="E28" s="78"/>
      <c r="F28" s="72"/>
      <c r="G28" s="72"/>
      <c r="H28" s="73"/>
      <c r="I28" s="71"/>
      <c r="J28" s="74"/>
      <c r="K28" s="75"/>
      <c r="N28" s="76"/>
      <c r="O28" s="76"/>
      <c r="P28" s="76"/>
      <c r="Q28" s="76"/>
    </row>
    <row r="29" spans="2:17" x14ac:dyDescent="0.25">
      <c r="B29" s="71"/>
      <c r="C29" s="78"/>
      <c r="D29" s="78"/>
      <c r="E29" s="78"/>
      <c r="F29" s="72"/>
      <c r="G29" s="72"/>
      <c r="H29" s="73"/>
      <c r="I29" s="71"/>
      <c r="J29" s="74"/>
      <c r="K29" s="75"/>
      <c r="N29" s="76"/>
      <c r="O29" s="76"/>
      <c r="P29" s="76"/>
      <c r="Q29" s="76"/>
    </row>
    <row r="30" spans="2:17" x14ac:dyDescent="0.25">
      <c r="B30" s="71"/>
      <c r="C30" s="78"/>
      <c r="D30" s="78"/>
      <c r="E30" s="78"/>
      <c r="F30" s="72"/>
      <c r="G30" s="72"/>
      <c r="H30" s="73"/>
      <c r="I30" s="71"/>
      <c r="J30" s="74"/>
      <c r="K30" s="75"/>
      <c r="N30" s="76"/>
      <c r="O30" s="76"/>
      <c r="P30" s="76"/>
      <c r="Q30" s="76"/>
    </row>
    <row r="31" spans="2:17" x14ac:dyDescent="0.25">
      <c r="B31" s="71"/>
      <c r="C31" s="78"/>
      <c r="D31" s="78"/>
      <c r="E31" s="78"/>
      <c r="F31" s="72"/>
      <c r="G31" s="72"/>
      <c r="H31" s="73"/>
      <c r="I31" s="71"/>
      <c r="J31" s="74"/>
      <c r="K31" s="75"/>
      <c r="N31" s="76"/>
      <c r="O31" s="76"/>
      <c r="P31" s="76"/>
      <c r="Q31" s="76"/>
    </row>
    <row r="32" spans="2:17" x14ac:dyDescent="0.25">
      <c r="B32" s="71"/>
      <c r="C32" s="78"/>
      <c r="D32" s="78"/>
      <c r="E32" s="78"/>
      <c r="F32" s="72"/>
      <c r="G32" s="72"/>
      <c r="H32" s="73"/>
      <c r="I32" s="71"/>
      <c r="J32" s="74"/>
      <c r="K32" s="75"/>
      <c r="N32" s="76"/>
      <c r="O32" s="76"/>
      <c r="P32" s="76"/>
      <c r="Q32" s="76"/>
    </row>
    <row r="33" spans="2:17" x14ac:dyDescent="0.25">
      <c r="B33" s="71"/>
      <c r="C33" s="78"/>
      <c r="D33" s="78"/>
      <c r="E33" s="78"/>
      <c r="F33" s="72"/>
      <c r="G33" s="72"/>
      <c r="H33" s="73"/>
      <c r="I33" s="71"/>
      <c r="J33" s="74"/>
      <c r="K33" s="75"/>
      <c r="N33" s="76"/>
      <c r="O33" s="76"/>
      <c r="P33" s="76"/>
      <c r="Q33" s="76"/>
    </row>
    <row r="34" spans="2:17" x14ac:dyDescent="0.25">
      <c r="B34" s="71"/>
      <c r="C34" s="78"/>
      <c r="D34" s="78"/>
      <c r="E34" s="78"/>
      <c r="F34" s="72"/>
      <c r="G34" s="72"/>
      <c r="H34" s="73"/>
      <c r="I34" s="71"/>
      <c r="J34" s="74"/>
      <c r="K34" s="75"/>
      <c r="N34" s="76"/>
      <c r="O34" s="76"/>
      <c r="P34" s="76"/>
      <c r="Q34" s="76"/>
    </row>
    <row r="35" spans="2:17" x14ac:dyDescent="0.25">
      <c r="B35" s="71"/>
      <c r="C35" s="78"/>
      <c r="D35" s="78"/>
      <c r="E35" s="78"/>
      <c r="F35" s="72"/>
      <c r="G35" s="72"/>
      <c r="H35" s="73"/>
      <c r="I35" s="71"/>
      <c r="J35" s="74"/>
      <c r="K35" s="75"/>
      <c r="N35" s="76"/>
      <c r="O35" s="76"/>
      <c r="P35" s="76"/>
      <c r="Q35" s="76"/>
    </row>
    <row r="36" spans="2:17" x14ac:dyDescent="0.25">
      <c r="B36" s="71"/>
      <c r="C36" s="78"/>
      <c r="D36" s="78"/>
      <c r="E36" s="78"/>
      <c r="F36" s="72"/>
      <c r="G36" s="72"/>
      <c r="H36" s="73"/>
      <c r="I36" s="71"/>
      <c r="J36" s="74"/>
      <c r="K36" s="75"/>
      <c r="N36" s="76"/>
      <c r="O36" s="76"/>
      <c r="P36" s="76"/>
      <c r="Q36" s="76"/>
    </row>
    <row r="37" spans="2:17" x14ac:dyDescent="0.25">
      <c r="B37" s="71"/>
      <c r="C37" s="78"/>
      <c r="D37" s="78"/>
      <c r="E37" s="78"/>
      <c r="F37" s="72"/>
      <c r="G37" s="72"/>
      <c r="H37" s="73"/>
      <c r="I37" s="71"/>
      <c r="J37" s="74"/>
      <c r="K37" s="75"/>
      <c r="N37" s="76"/>
      <c r="O37" s="76"/>
      <c r="P37" s="76"/>
      <c r="Q37" s="76"/>
    </row>
    <row r="38" spans="2:17" x14ac:dyDescent="0.25">
      <c r="B38" s="71"/>
      <c r="C38" s="78"/>
      <c r="D38" s="78"/>
      <c r="E38" s="78"/>
      <c r="F38" s="72"/>
      <c r="G38" s="72"/>
      <c r="H38" s="73"/>
      <c r="I38" s="71"/>
      <c r="J38" s="74"/>
      <c r="K38" s="75"/>
      <c r="N38" s="76"/>
      <c r="O38" s="76"/>
      <c r="P38" s="76"/>
      <c r="Q38" s="76"/>
    </row>
    <row r="39" spans="2:17" x14ac:dyDescent="0.25">
      <c r="B39" s="71"/>
      <c r="C39" s="78"/>
      <c r="D39" s="78"/>
      <c r="E39" s="78"/>
      <c r="F39" s="72"/>
      <c r="G39" s="72"/>
      <c r="H39" s="73"/>
      <c r="I39" s="71"/>
      <c r="J39" s="74"/>
      <c r="K39" s="75"/>
      <c r="N39" s="76"/>
      <c r="O39" s="76"/>
      <c r="P39" s="76"/>
      <c r="Q39" s="76"/>
    </row>
    <row r="40" spans="2:17" x14ac:dyDescent="0.25">
      <c r="B40" s="71"/>
      <c r="C40" s="78"/>
      <c r="D40" s="78"/>
      <c r="E40" s="78"/>
      <c r="F40" s="72"/>
      <c r="G40" s="72"/>
      <c r="H40" s="73"/>
      <c r="I40" s="71"/>
      <c r="J40" s="74"/>
      <c r="K40" s="75"/>
      <c r="N40" s="76"/>
      <c r="O40" s="76"/>
      <c r="P40" s="76"/>
      <c r="Q40" s="76"/>
    </row>
    <row r="41" spans="2:17" x14ac:dyDescent="0.25">
      <c r="B41" s="71"/>
      <c r="C41" s="78"/>
      <c r="D41" s="78"/>
      <c r="E41" s="78"/>
      <c r="F41" s="72"/>
      <c r="G41" s="72"/>
      <c r="H41" s="73"/>
      <c r="I41" s="71"/>
      <c r="J41" s="74"/>
      <c r="K41" s="75"/>
      <c r="N41" s="76"/>
      <c r="O41" s="76"/>
      <c r="P41" s="76"/>
      <c r="Q41" s="76"/>
    </row>
    <row r="42" spans="2:17" x14ac:dyDescent="0.25">
      <c r="B42" s="71"/>
      <c r="C42" s="78"/>
      <c r="D42" s="78"/>
      <c r="E42" s="78"/>
      <c r="F42" s="72"/>
      <c r="G42" s="72"/>
      <c r="H42" s="73"/>
      <c r="I42" s="71"/>
      <c r="J42" s="74"/>
      <c r="K42" s="75"/>
      <c r="N42" s="76"/>
      <c r="O42" s="76"/>
      <c r="P42" s="76"/>
      <c r="Q42" s="76"/>
    </row>
    <row r="43" spans="2:17" x14ac:dyDescent="0.25">
      <c r="B43" s="71"/>
      <c r="C43" s="78"/>
      <c r="D43" s="78"/>
      <c r="E43" s="78"/>
      <c r="F43" s="72"/>
      <c r="G43" s="72"/>
      <c r="H43" s="73"/>
      <c r="I43" s="71"/>
      <c r="J43" s="74"/>
      <c r="K43" s="75"/>
      <c r="N43" s="76"/>
      <c r="O43" s="76"/>
      <c r="P43" s="76"/>
      <c r="Q43" s="76"/>
    </row>
    <row r="44" spans="2:17" x14ac:dyDescent="0.25">
      <c r="B44" s="71"/>
      <c r="C44" s="78"/>
      <c r="D44" s="78"/>
      <c r="E44" s="78"/>
      <c r="F44" s="72"/>
      <c r="G44" s="72"/>
      <c r="H44" s="73"/>
      <c r="I44" s="71"/>
      <c r="J44" s="74"/>
      <c r="K44" s="75"/>
      <c r="N44" s="76"/>
      <c r="O44" s="76"/>
      <c r="P44" s="76"/>
      <c r="Q44" s="76"/>
    </row>
    <row r="45" spans="2:17" x14ac:dyDescent="0.25">
      <c r="B45" s="71"/>
      <c r="C45" s="78"/>
      <c r="D45" s="78"/>
      <c r="E45" s="78"/>
      <c r="F45" s="72"/>
      <c r="G45" s="72"/>
      <c r="H45" s="73"/>
      <c r="I45" s="71"/>
      <c r="J45" s="74"/>
      <c r="K45" s="75"/>
      <c r="N45" s="76"/>
      <c r="O45" s="76"/>
      <c r="P45" s="76"/>
      <c r="Q45" s="76"/>
    </row>
    <row r="46" spans="2:17" x14ac:dyDescent="0.25">
      <c r="B46" s="71"/>
      <c r="C46" s="78"/>
      <c r="D46" s="78"/>
      <c r="E46" s="78"/>
      <c r="F46" s="72"/>
      <c r="G46" s="72"/>
      <c r="H46" s="73"/>
      <c r="I46" s="71"/>
      <c r="J46" s="74"/>
      <c r="K46" s="75"/>
      <c r="N46" s="76"/>
      <c r="O46" s="76"/>
      <c r="P46" s="76"/>
      <c r="Q46" s="76"/>
    </row>
    <row r="47" spans="2:17" x14ac:dyDescent="0.25">
      <c r="B47" s="71"/>
      <c r="C47" s="78"/>
      <c r="D47" s="78"/>
      <c r="E47" s="78"/>
      <c r="F47" s="72"/>
      <c r="G47" s="72"/>
      <c r="H47" s="73"/>
      <c r="I47" s="71"/>
      <c r="J47" s="74"/>
      <c r="K47" s="75"/>
      <c r="N47" s="76"/>
      <c r="O47" s="76"/>
      <c r="P47" s="76"/>
      <c r="Q47" s="76"/>
    </row>
    <row r="48" spans="2:17" x14ac:dyDescent="0.25">
      <c r="B48" s="71"/>
      <c r="C48" s="78"/>
      <c r="D48" s="78"/>
      <c r="E48" s="78"/>
      <c r="F48" s="72"/>
      <c r="G48" s="72"/>
      <c r="H48" s="73"/>
      <c r="I48" s="71"/>
      <c r="J48" s="74"/>
      <c r="K48" s="75"/>
      <c r="N48" s="76"/>
      <c r="O48" s="76"/>
      <c r="P48" s="76"/>
      <c r="Q48" s="76"/>
    </row>
    <row r="49" spans="2:17" x14ac:dyDescent="0.25">
      <c r="B49" s="71"/>
      <c r="C49" s="78"/>
      <c r="D49" s="78"/>
      <c r="E49" s="78"/>
      <c r="F49" s="72"/>
      <c r="G49" s="72"/>
      <c r="H49" s="73"/>
      <c r="I49" s="71"/>
      <c r="J49" s="74"/>
      <c r="K49" s="75"/>
      <c r="N49" s="76"/>
      <c r="O49" s="76"/>
      <c r="P49" s="76"/>
      <c r="Q49" s="76"/>
    </row>
    <row r="50" spans="2:17" x14ac:dyDescent="0.25">
      <c r="B50" s="71"/>
      <c r="C50" s="78"/>
      <c r="D50" s="78"/>
      <c r="E50" s="78"/>
      <c r="F50" s="72"/>
      <c r="G50" s="72"/>
      <c r="H50" s="73"/>
      <c r="I50" s="71"/>
      <c r="J50" s="74"/>
      <c r="K50" s="75"/>
      <c r="N50" s="76"/>
      <c r="O50" s="76"/>
      <c r="P50" s="76"/>
      <c r="Q50" s="76"/>
    </row>
    <row r="51" spans="2:17" x14ac:dyDescent="0.25">
      <c r="B51" s="71"/>
      <c r="C51" s="78"/>
      <c r="D51" s="78"/>
      <c r="E51" s="78"/>
      <c r="F51" s="72"/>
      <c r="G51" s="72"/>
      <c r="H51" s="73"/>
      <c r="I51" s="71"/>
      <c r="J51" s="74"/>
      <c r="K51" s="75"/>
      <c r="N51" s="76"/>
      <c r="O51" s="76"/>
      <c r="P51" s="76"/>
      <c r="Q51" s="76"/>
    </row>
    <row r="52" spans="2:17" x14ac:dyDescent="0.25">
      <c r="B52" s="71"/>
      <c r="C52" s="78"/>
      <c r="D52" s="78"/>
      <c r="E52" s="78"/>
      <c r="F52" s="72"/>
      <c r="G52" s="72"/>
      <c r="H52" s="73"/>
      <c r="I52" s="71"/>
      <c r="J52" s="74"/>
      <c r="K52" s="75"/>
      <c r="N52" s="76"/>
      <c r="O52" s="76"/>
      <c r="P52" s="76"/>
      <c r="Q52" s="76"/>
    </row>
    <row r="53" spans="2:17" x14ac:dyDescent="0.25">
      <c r="B53" s="71"/>
      <c r="C53" s="78"/>
      <c r="D53" s="78"/>
      <c r="E53" s="78"/>
      <c r="F53" s="72"/>
      <c r="G53" s="72"/>
      <c r="H53" s="73"/>
      <c r="I53" s="71"/>
      <c r="J53" s="74"/>
      <c r="K53" s="75"/>
      <c r="N53" s="76"/>
      <c r="O53" s="76"/>
      <c r="P53" s="76"/>
      <c r="Q53" s="76"/>
    </row>
    <row r="54" spans="2:17" x14ac:dyDescent="0.25">
      <c r="B54" s="71"/>
      <c r="C54" s="78"/>
      <c r="D54" s="78"/>
      <c r="E54" s="78"/>
      <c r="F54" s="72"/>
      <c r="G54" s="72"/>
      <c r="H54" s="73"/>
      <c r="I54" s="71"/>
      <c r="J54" s="74"/>
      <c r="K54" s="75"/>
      <c r="N54" s="76"/>
      <c r="O54" s="76"/>
      <c r="P54" s="76"/>
      <c r="Q54" s="76"/>
    </row>
    <row r="55" spans="2:17" x14ac:dyDescent="0.25">
      <c r="B55" s="71"/>
      <c r="C55" s="78"/>
      <c r="D55" s="78"/>
      <c r="E55" s="78"/>
      <c r="F55" s="72"/>
      <c r="G55" s="72"/>
      <c r="H55" s="73"/>
      <c r="I55" s="71"/>
      <c r="J55" s="74"/>
      <c r="K55" s="75"/>
      <c r="N55" s="76"/>
      <c r="O55" s="76"/>
      <c r="P55" s="76"/>
      <c r="Q55" s="76"/>
    </row>
    <row r="56" spans="2:17" x14ac:dyDescent="0.25">
      <c r="B56" s="71"/>
      <c r="C56" s="78"/>
      <c r="D56" s="78"/>
      <c r="E56" s="78"/>
      <c r="F56" s="72"/>
      <c r="G56" s="72"/>
      <c r="H56" s="73"/>
      <c r="I56" s="71"/>
      <c r="J56" s="74"/>
      <c r="K56" s="75"/>
      <c r="N56" s="76"/>
      <c r="O56" s="76"/>
      <c r="P56" s="76"/>
      <c r="Q56" s="76"/>
    </row>
    <row r="57" spans="2:17" x14ac:dyDescent="0.25">
      <c r="B57" s="71"/>
      <c r="C57" s="78"/>
      <c r="D57" s="78"/>
      <c r="E57" s="78"/>
      <c r="F57" s="72"/>
      <c r="G57" s="72"/>
      <c r="H57" s="73"/>
      <c r="I57" s="71"/>
      <c r="J57" s="74"/>
      <c r="K57" s="75"/>
      <c r="N57" s="76"/>
      <c r="O57" s="76"/>
      <c r="P57" s="76"/>
      <c r="Q57" s="76"/>
    </row>
    <row r="58" spans="2:17" x14ac:dyDescent="0.25">
      <c r="B58" s="71"/>
      <c r="C58" s="78"/>
      <c r="D58" s="78"/>
      <c r="E58" s="78"/>
      <c r="F58" s="72"/>
      <c r="G58" s="72"/>
      <c r="H58" s="73"/>
      <c r="I58" s="71"/>
      <c r="J58" s="74"/>
      <c r="K58" s="75"/>
      <c r="N58" s="76"/>
      <c r="O58" s="76"/>
      <c r="P58" s="76"/>
      <c r="Q58" s="76"/>
    </row>
    <row r="59" spans="2:17" x14ac:dyDescent="0.25">
      <c r="B59" s="71"/>
      <c r="C59" s="78"/>
      <c r="D59" s="78"/>
      <c r="E59" s="78"/>
      <c r="F59" s="72"/>
      <c r="G59" s="72"/>
      <c r="H59" s="73"/>
      <c r="I59" s="71"/>
      <c r="J59" s="74"/>
      <c r="K59" s="75"/>
      <c r="N59" s="76"/>
      <c r="O59" s="76"/>
      <c r="P59" s="76"/>
      <c r="Q59" s="76"/>
    </row>
    <row r="60" spans="2:17" x14ac:dyDescent="0.25">
      <c r="B60" s="71"/>
      <c r="C60" s="78"/>
      <c r="D60" s="78"/>
      <c r="E60" s="78"/>
      <c r="F60" s="72"/>
      <c r="G60" s="72"/>
      <c r="H60" s="73"/>
      <c r="I60" s="71"/>
      <c r="J60" s="74"/>
      <c r="K60" s="75"/>
      <c r="N60" s="76"/>
      <c r="O60" s="76"/>
      <c r="P60" s="76"/>
      <c r="Q60" s="76"/>
    </row>
    <row r="61" spans="2:17" x14ac:dyDescent="0.25">
      <c r="B61" s="71"/>
      <c r="C61" s="78"/>
      <c r="D61" s="78"/>
      <c r="E61" s="78"/>
      <c r="F61" s="72"/>
      <c r="G61" s="72"/>
      <c r="H61" s="73"/>
      <c r="I61" s="71"/>
      <c r="J61" s="74"/>
      <c r="K61" s="75"/>
      <c r="N61" s="76"/>
      <c r="O61" s="76"/>
      <c r="P61" s="76"/>
      <c r="Q61" s="76"/>
    </row>
    <row r="62" spans="2:17" x14ac:dyDescent="0.25">
      <c r="B62" s="71"/>
      <c r="C62" s="78"/>
      <c r="D62" s="78"/>
      <c r="E62" s="78"/>
      <c r="F62" s="72"/>
      <c r="G62" s="72"/>
      <c r="H62" s="73"/>
      <c r="I62" s="71"/>
      <c r="J62" s="74"/>
      <c r="K62" s="75"/>
      <c r="N62" s="76"/>
      <c r="O62" s="76"/>
      <c r="P62" s="76"/>
      <c r="Q62" s="76"/>
    </row>
    <row r="63" spans="2:17" x14ac:dyDescent="0.25">
      <c r="B63" s="71"/>
      <c r="C63" s="78"/>
      <c r="D63" s="78"/>
      <c r="E63" s="78"/>
      <c r="F63" s="72"/>
      <c r="G63" s="72"/>
      <c r="H63" s="73"/>
      <c r="I63" s="71"/>
      <c r="J63" s="74"/>
      <c r="K63" s="75"/>
      <c r="N63" s="76"/>
      <c r="O63" s="76"/>
      <c r="P63" s="76"/>
      <c r="Q63" s="76"/>
    </row>
    <row r="64" spans="2:17" x14ac:dyDescent="0.25">
      <c r="B64" s="71"/>
      <c r="C64" s="78"/>
      <c r="D64" s="78"/>
      <c r="E64" s="78"/>
      <c r="F64" s="72"/>
      <c r="G64" s="72"/>
      <c r="H64" s="73"/>
      <c r="I64" s="71"/>
      <c r="J64" s="74"/>
      <c r="K64" s="75"/>
      <c r="N64" s="76"/>
      <c r="O64" s="76"/>
      <c r="P64" s="76"/>
      <c r="Q64" s="76"/>
    </row>
    <row r="65" spans="2:17" x14ac:dyDescent="0.25">
      <c r="B65" s="71"/>
      <c r="C65" s="78"/>
      <c r="D65" s="78"/>
      <c r="E65" s="78"/>
      <c r="F65" s="72"/>
      <c r="G65" s="72"/>
      <c r="H65" s="73"/>
      <c r="I65" s="71"/>
      <c r="J65" s="74"/>
      <c r="K65" s="75"/>
      <c r="N65" s="76"/>
      <c r="O65" s="76"/>
      <c r="P65" s="76"/>
      <c r="Q65" s="76"/>
    </row>
    <row r="66" spans="2:17" x14ac:dyDescent="0.25">
      <c r="B66" s="71"/>
      <c r="C66" s="78"/>
      <c r="D66" s="78"/>
      <c r="E66" s="78"/>
      <c r="F66" s="72"/>
      <c r="G66" s="72"/>
      <c r="H66" s="73"/>
      <c r="I66" s="71"/>
      <c r="J66" s="74"/>
      <c r="K66" s="75"/>
      <c r="N66" s="76"/>
      <c r="O66" s="76"/>
      <c r="P66" s="76"/>
      <c r="Q66" s="76"/>
    </row>
    <row r="67" spans="2:17" x14ac:dyDescent="0.25">
      <c r="B67" s="71"/>
      <c r="C67" s="78"/>
      <c r="D67" s="78"/>
      <c r="E67" s="78"/>
      <c r="F67" s="72"/>
      <c r="G67" s="72"/>
      <c r="H67" s="73"/>
      <c r="I67" s="71"/>
      <c r="J67" s="74"/>
      <c r="K67" s="75"/>
      <c r="N67" s="76"/>
      <c r="O67" s="76"/>
      <c r="P67" s="76"/>
      <c r="Q67" s="76"/>
    </row>
    <row r="68" spans="2:17" x14ac:dyDescent="0.25">
      <c r="B68" s="71"/>
      <c r="C68" s="78"/>
      <c r="D68" s="78"/>
      <c r="E68" s="78"/>
      <c r="F68" s="72"/>
      <c r="G68" s="72"/>
      <c r="H68" s="73"/>
      <c r="I68" s="71"/>
      <c r="J68" s="74"/>
      <c r="K68" s="75"/>
      <c r="N68" s="76"/>
      <c r="O68" s="76"/>
      <c r="P68" s="76"/>
      <c r="Q68" s="76"/>
    </row>
    <row r="69" spans="2:17" x14ac:dyDescent="0.25">
      <c r="B69" s="71"/>
      <c r="C69" s="78"/>
      <c r="D69" s="78"/>
      <c r="E69" s="78"/>
      <c r="F69" s="72"/>
      <c r="G69" s="72"/>
      <c r="H69" s="73"/>
      <c r="I69" s="71"/>
      <c r="J69" s="74"/>
      <c r="K69" s="75"/>
      <c r="N69" s="76"/>
      <c r="O69" s="76"/>
      <c r="P69" s="76"/>
      <c r="Q69" s="76"/>
    </row>
    <row r="70" spans="2:17" x14ac:dyDescent="0.25">
      <c r="B70" s="71"/>
      <c r="C70" s="78"/>
      <c r="D70" s="78"/>
      <c r="E70" s="78"/>
      <c r="F70" s="72"/>
      <c r="G70" s="72"/>
      <c r="H70" s="73"/>
      <c r="I70" s="71"/>
      <c r="J70" s="74"/>
      <c r="K70" s="75"/>
      <c r="N70" s="76"/>
      <c r="O70" s="76"/>
      <c r="P70" s="76"/>
      <c r="Q70" s="76"/>
    </row>
    <row r="71" spans="2:17" x14ac:dyDescent="0.25">
      <c r="B71" s="71"/>
      <c r="C71" s="78"/>
      <c r="D71" s="78"/>
      <c r="E71" s="78"/>
      <c r="F71" s="72"/>
      <c r="G71" s="72"/>
      <c r="H71" s="73"/>
      <c r="I71" s="71"/>
      <c r="J71" s="74"/>
      <c r="K71" s="75"/>
      <c r="N71" s="76"/>
      <c r="O71" s="76"/>
      <c r="P71" s="76"/>
      <c r="Q71" s="76"/>
    </row>
    <row r="72" spans="2:17" x14ac:dyDescent="0.25">
      <c r="B72" s="71"/>
      <c r="C72" s="78"/>
      <c r="D72" s="78"/>
      <c r="E72" s="78"/>
      <c r="F72" s="72"/>
      <c r="G72" s="72"/>
      <c r="H72" s="73"/>
      <c r="I72" s="71"/>
      <c r="J72" s="74"/>
      <c r="K72" s="75"/>
      <c r="N72" s="76"/>
      <c r="O72" s="76"/>
      <c r="P72" s="76"/>
      <c r="Q72" s="76"/>
    </row>
    <row r="73" spans="2:17" x14ac:dyDescent="0.25">
      <c r="B73" s="71"/>
      <c r="C73" s="78"/>
      <c r="D73" s="78"/>
      <c r="E73" s="78"/>
      <c r="F73" s="72"/>
      <c r="G73" s="72"/>
      <c r="H73" s="73"/>
      <c r="I73" s="71"/>
      <c r="J73" s="74"/>
      <c r="K73" s="75"/>
      <c r="N73" s="76"/>
      <c r="O73" s="76"/>
      <c r="P73" s="76"/>
      <c r="Q73" s="76"/>
    </row>
    <row r="74" spans="2:17" x14ac:dyDescent="0.25">
      <c r="B74" s="71"/>
      <c r="C74" s="78"/>
      <c r="D74" s="78"/>
      <c r="E74" s="78"/>
      <c r="F74" s="72"/>
      <c r="G74" s="72"/>
      <c r="H74" s="73"/>
      <c r="I74" s="71"/>
      <c r="J74" s="74"/>
      <c r="K74" s="75"/>
      <c r="N74" s="76"/>
      <c r="O74" s="76"/>
      <c r="P74" s="76"/>
      <c r="Q74" s="76"/>
    </row>
    <row r="75" spans="2:17" x14ac:dyDescent="0.25">
      <c r="B75" s="71"/>
      <c r="C75" s="78"/>
      <c r="D75" s="78"/>
      <c r="E75" s="78"/>
      <c r="F75" s="72"/>
      <c r="G75" s="72"/>
      <c r="H75" s="73"/>
      <c r="I75" s="71"/>
      <c r="J75" s="74"/>
      <c r="K75" s="75"/>
      <c r="N75" s="76"/>
      <c r="O75" s="76"/>
      <c r="P75" s="76"/>
      <c r="Q75" s="76"/>
    </row>
    <row r="76" spans="2:17" x14ac:dyDescent="0.25">
      <c r="B76" s="71"/>
      <c r="C76" s="78"/>
      <c r="D76" s="78"/>
      <c r="E76" s="78"/>
      <c r="F76" s="72"/>
      <c r="G76" s="72"/>
      <c r="H76" s="73"/>
      <c r="I76" s="71"/>
      <c r="J76" s="74"/>
      <c r="K76" s="75"/>
      <c r="N76" s="76"/>
      <c r="O76" s="76"/>
      <c r="P76" s="76"/>
      <c r="Q76" s="76"/>
    </row>
    <row r="77" spans="2:17" x14ac:dyDescent="0.25">
      <c r="B77" s="71"/>
      <c r="C77" s="78"/>
      <c r="D77" s="78"/>
      <c r="E77" s="78"/>
      <c r="F77" s="72"/>
      <c r="G77" s="72"/>
      <c r="H77" s="73"/>
      <c r="I77" s="71"/>
      <c r="J77" s="74"/>
      <c r="K77" s="75"/>
      <c r="N77" s="76"/>
      <c r="O77" s="76"/>
      <c r="P77" s="76"/>
      <c r="Q77" s="76"/>
    </row>
    <row r="78" spans="2:17" x14ac:dyDescent="0.25">
      <c r="B78" s="71"/>
      <c r="C78" s="78"/>
      <c r="D78" s="78"/>
      <c r="E78" s="78"/>
      <c r="F78" s="72"/>
      <c r="G78" s="72"/>
      <c r="H78" s="73"/>
      <c r="I78" s="71"/>
      <c r="J78" s="74"/>
      <c r="K78" s="75"/>
      <c r="N78" s="76"/>
      <c r="O78" s="76"/>
      <c r="P78" s="76"/>
      <c r="Q78" s="76"/>
    </row>
    <row r="79" spans="2:17" x14ac:dyDescent="0.25">
      <c r="B79" s="71"/>
      <c r="C79" s="78"/>
      <c r="D79" s="78"/>
      <c r="E79" s="78"/>
      <c r="F79" s="72"/>
      <c r="G79" s="72"/>
      <c r="H79" s="73"/>
      <c r="I79" s="71"/>
      <c r="J79" s="74"/>
      <c r="K79" s="75"/>
      <c r="N79" s="76"/>
      <c r="O79" s="76"/>
      <c r="P79" s="76"/>
      <c r="Q79" s="76"/>
    </row>
    <row r="80" spans="2:17" x14ac:dyDescent="0.25">
      <c r="B80" s="71"/>
      <c r="C80" s="78"/>
      <c r="D80" s="78"/>
      <c r="E80" s="78"/>
      <c r="F80" s="72"/>
      <c r="G80" s="72"/>
      <c r="H80" s="73"/>
      <c r="I80" s="71"/>
      <c r="J80" s="74"/>
      <c r="K80" s="75"/>
      <c r="N80" s="76"/>
      <c r="O80" s="76"/>
      <c r="P80" s="76"/>
      <c r="Q80" s="76"/>
    </row>
    <row r="81" spans="2:17" x14ac:dyDescent="0.25">
      <c r="B81" s="71"/>
      <c r="C81" s="78"/>
      <c r="D81" s="78"/>
      <c r="E81" s="78"/>
      <c r="F81" s="72"/>
      <c r="G81" s="72"/>
      <c r="H81" s="73"/>
      <c r="I81" s="71"/>
      <c r="J81" s="74"/>
      <c r="K81" s="75"/>
      <c r="N81" s="76"/>
      <c r="O81" s="76"/>
      <c r="P81" s="76"/>
      <c r="Q81" s="76"/>
    </row>
    <row r="82" spans="2:17" x14ac:dyDescent="0.25">
      <c r="B82" s="71"/>
      <c r="C82" s="78"/>
      <c r="D82" s="78"/>
      <c r="E82" s="78"/>
      <c r="F82" s="72"/>
      <c r="G82" s="72"/>
      <c r="H82" s="73"/>
      <c r="I82" s="71"/>
      <c r="J82" s="74"/>
      <c r="K82" s="75"/>
      <c r="N82" s="76"/>
      <c r="O82" s="76"/>
      <c r="P82" s="76"/>
      <c r="Q82" s="76"/>
    </row>
    <row r="83" spans="2:17" x14ac:dyDescent="0.25">
      <c r="B83" s="71"/>
      <c r="C83" s="78"/>
      <c r="D83" s="78"/>
      <c r="E83" s="78"/>
      <c r="F83" s="72"/>
      <c r="G83" s="72"/>
      <c r="H83" s="73"/>
      <c r="I83" s="71"/>
      <c r="J83" s="74"/>
      <c r="K83" s="75"/>
      <c r="N83" s="76"/>
      <c r="O83" s="76"/>
      <c r="P83" s="76"/>
      <c r="Q83" s="76"/>
    </row>
    <row r="84" spans="2:17" x14ac:dyDescent="0.25">
      <c r="B84" s="71"/>
      <c r="C84" s="78"/>
      <c r="D84" s="78"/>
      <c r="E84" s="78"/>
      <c r="F84" s="72"/>
      <c r="G84" s="72"/>
      <c r="H84" s="73"/>
      <c r="I84" s="71"/>
      <c r="J84" s="74"/>
      <c r="K84" s="75"/>
      <c r="N84" s="76"/>
      <c r="O84" s="76"/>
      <c r="P84" s="76"/>
      <c r="Q84" s="76"/>
    </row>
    <row r="85" spans="2:17" x14ac:dyDescent="0.25">
      <c r="B85" s="71"/>
      <c r="C85" s="78"/>
      <c r="D85" s="78"/>
      <c r="E85" s="78"/>
      <c r="F85" s="72"/>
      <c r="G85" s="72"/>
      <c r="H85" s="73"/>
      <c r="I85" s="71"/>
      <c r="J85" s="74"/>
      <c r="K85" s="75"/>
      <c r="N85" s="76"/>
      <c r="O85" s="76"/>
      <c r="P85" s="76"/>
      <c r="Q85" s="76"/>
    </row>
    <row r="86" spans="2:17" x14ac:dyDescent="0.25">
      <c r="B86" s="71"/>
      <c r="C86" s="78"/>
      <c r="D86" s="78"/>
      <c r="E86" s="78"/>
      <c r="F86" s="72"/>
      <c r="G86" s="72"/>
      <c r="H86" s="73"/>
      <c r="I86" s="71"/>
      <c r="J86" s="74"/>
      <c r="K86" s="75"/>
      <c r="N86" s="76"/>
      <c r="O86" s="76"/>
      <c r="P86" s="76"/>
      <c r="Q86" s="76"/>
    </row>
    <row r="87" spans="2:17" x14ac:dyDescent="0.25">
      <c r="B87" s="71"/>
      <c r="C87" s="78"/>
      <c r="D87" s="78"/>
      <c r="E87" s="78"/>
      <c r="F87" s="72"/>
      <c r="G87" s="72"/>
      <c r="H87" s="73"/>
      <c r="I87" s="71"/>
      <c r="J87" s="74"/>
      <c r="K87" s="75"/>
      <c r="N87" s="76"/>
      <c r="O87" s="76"/>
      <c r="P87" s="76"/>
      <c r="Q87" s="76"/>
    </row>
    <row r="88" spans="2:17" x14ac:dyDescent="0.25">
      <c r="B88" s="71"/>
      <c r="C88" s="78"/>
      <c r="D88" s="78"/>
      <c r="E88" s="78"/>
      <c r="F88" s="72"/>
      <c r="G88" s="72"/>
      <c r="H88" s="73"/>
      <c r="I88" s="71"/>
      <c r="J88" s="74"/>
      <c r="K88" s="75"/>
      <c r="N88" s="76"/>
      <c r="O88" s="76"/>
      <c r="P88" s="76"/>
      <c r="Q88" s="76"/>
    </row>
    <row r="89" spans="2:17" x14ac:dyDescent="0.25">
      <c r="B89" s="71"/>
      <c r="C89" s="78"/>
      <c r="D89" s="78"/>
      <c r="E89" s="78"/>
      <c r="F89" s="72"/>
      <c r="G89" s="72"/>
      <c r="H89" s="73"/>
      <c r="I89" s="71"/>
      <c r="J89" s="74"/>
      <c r="K89" s="75"/>
      <c r="N89" s="76"/>
      <c r="O89" s="76"/>
      <c r="P89" s="76"/>
      <c r="Q89" s="76"/>
    </row>
    <row r="90" spans="2:17" x14ac:dyDescent="0.25">
      <c r="B90" s="71"/>
      <c r="C90" s="78"/>
      <c r="D90" s="78"/>
      <c r="E90" s="78"/>
      <c r="F90" s="72"/>
      <c r="G90" s="72"/>
      <c r="H90" s="73"/>
      <c r="I90" s="71"/>
      <c r="J90" s="74"/>
      <c r="K90" s="75"/>
      <c r="N90" s="76"/>
      <c r="O90" s="76"/>
      <c r="P90" s="76"/>
      <c r="Q90" s="76"/>
    </row>
    <row r="91" spans="2:17" x14ac:dyDescent="0.25">
      <c r="B91" s="71"/>
      <c r="C91" s="78"/>
      <c r="D91" s="78"/>
      <c r="E91" s="78"/>
      <c r="F91" s="72"/>
      <c r="G91" s="72"/>
      <c r="H91" s="73"/>
      <c r="I91" s="71"/>
      <c r="J91" s="74"/>
      <c r="K91" s="75"/>
      <c r="N91" s="76"/>
      <c r="O91" s="76"/>
      <c r="P91" s="76"/>
      <c r="Q91" s="76"/>
    </row>
    <row r="92" spans="2:17" x14ac:dyDescent="0.25">
      <c r="B92" s="71"/>
      <c r="C92" s="78"/>
      <c r="D92" s="78"/>
      <c r="E92" s="78"/>
      <c r="F92" s="72"/>
      <c r="G92" s="72"/>
      <c r="H92" s="73"/>
      <c r="I92" s="71"/>
      <c r="J92" s="74"/>
      <c r="K92" s="75"/>
      <c r="N92" s="76"/>
      <c r="O92" s="76"/>
      <c r="P92" s="76"/>
      <c r="Q92" s="76"/>
    </row>
    <row r="93" spans="2:17" x14ac:dyDescent="0.25">
      <c r="B93" s="71"/>
      <c r="C93" s="78"/>
      <c r="D93" s="78"/>
      <c r="E93" s="78"/>
      <c r="F93" s="72"/>
      <c r="G93" s="72"/>
      <c r="H93" s="73"/>
      <c r="I93" s="71"/>
      <c r="J93" s="74"/>
      <c r="K93" s="75"/>
      <c r="N93" s="76"/>
      <c r="O93" s="76"/>
      <c r="P93" s="76"/>
      <c r="Q93" s="76"/>
    </row>
    <row r="94" spans="2:17" x14ac:dyDescent="0.25">
      <c r="B94" s="71"/>
      <c r="C94" s="78"/>
      <c r="D94" s="78"/>
      <c r="E94" s="78"/>
      <c r="F94" s="72"/>
      <c r="G94" s="72"/>
      <c r="H94" s="73"/>
      <c r="I94" s="71"/>
      <c r="J94" s="74"/>
      <c r="K94" s="75"/>
      <c r="N94" s="76"/>
      <c r="O94" s="76"/>
      <c r="P94" s="76"/>
      <c r="Q94" s="76"/>
    </row>
    <row r="95" spans="2:17" x14ac:dyDescent="0.25">
      <c r="B95" s="71"/>
      <c r="C95" s="78"/>
      <c r="D95" s="78"/>
      <c r="E95" s="78"/>
      <c r="F95" s="72"/>
      <c r="G95" s="72"/>
      <c r="H95" s="73"/>
      <c r="I95" s="71"/>
      <c r="J95" s="74"/>
      <c r="K95" s="75"/>
      <c r="N95" s="76"/>
      <c r="O95" s="76"/>
      <c r="P95" s="76"/>
      <c r="Q95" s="76"/>
    </row>
    <row r="96" spans="2:17" x14ac:dyDescent="0.25">
      <c r="B96" s="71"/>
      <c r="C96" s="78"/>
      <c r="D96" s="78"/>
      <c r="E96" s="78"/>
      <c r="F96" s="72"/>
      <c r="G96" s="72"/>
      <c r="H96" s="73"/>
      <c r="I96" s="71"/>
      <c r="J96" s="74"/>
      <c r="K96" s="75"/>
      <c r="N96" s="76"/>
      <c r="O96" s="76"/>
      <c r="P96" s="76"/>
      <c r="Q96" s="76"/>
    </row>
    <row r="97" spans="2:17" x14ac:dyDescent="0.25">
      <c r="B97" s="71"/>
      <c r="C97" s="78"/>
      <c r="D97" s="78"/>
      <c r="E97" s="78"/>
      <c r="F97" s="72"/>
      <c r="G97" s="72"/>
      <c r="H97" s="73"/>
      <c r="I97" s="71"/>
      <c r="J97" s="74"/>
      <c r="K97" s="75"/>
      <c r="N97" s="76"/>
      <c r="O97" s="76"/>
      <c r="P97" s="76"/>
      <c r="Q97" s="76"/>
    </row>
    <row r="98" spans="2:17" x14ac:dyDescent="0.25">
      <c r="B98" s="71"/>
      <c r="C98" s="78"/>
      <c r="D98" s="78"/>
      <c r="E98" s="78"/>
      <c r="F98" s="72"/>
      <c r="G98" s="72"/>
      <c r="H98" s="73"/>
      <c r="I98" s="71"/>
      <c r="J98" s="74"/>
      <c r="K98" s="75"/>
      <c r="N98" s="76"/>
      <c r="O98" s="76"/>
      <c r="P98" s="76"/>
      <c r="Q98" s="76"/>
    </row>
    <row r="99" spans="2:17" x14ac:dyDescent="0.25">
      <c r="B99" s="71"/>
      <c r="C99" s="78"/>
      <c r="D99" s="78"/>
      <c r="E99" s="78"/>
      <c r="F99" s="72"/>
      <c r="G99" s="72"/>
      <c r="H99" s="73"/>
      <c r="I99" s="71"/>
      <c r="J99" s="74"/>
      <c r="K99" s="75"/>
      <c r="N99" s="76"/>
      <c r="O99" s="76"/>
      <c r="P99" s="76"/>
      <c r="Q99" s="76"/>
    </row>
    <row r="100" spans="2:17" x14ac:dyDescent="0.25">
      <c r="B100" s="71"/>
      <c r="C100" s="78"/>
      <c r="D100" s="78"/>
      <c r="E100" s="78"/>
      <c r="F100" s="72"/>
      <c r="G100" s="72"/>
      <c r="H100" s="73"/>
      <c r="I100" s="71"/>
      <c r="J100" s="74"/>
      <c r="K100" s="75"/>
      <c r="N100" s="76"/>
      <c r="O100" s="76"/>
      <c r="P100" s="76"/>
      <c r="Q100" s="76"/>
    </row>
    <row r="101" spans="2:17" x14ac:dyDescent="0.25">
      <c r="B101" s="71"/>
      <c r="C101" s="78"/>
      <c r="D101" s="78"/>
      <c r="E101" s="78"/>
      <c r="F101" s="72"/>
      <c r="G101" s="72"/>
      <c r="H101" s="73"/>
      <c r="I101" s="71"/>
      <c r="J101" s="74"/>
      <c r="K101" s="75"/>
      <c r="N101" s="76"/>
      <c r="O101" s="76"/>
      <c r="P101" s="76"/>
      <c r="Q101" s="76"/>
    </row>
    <row r="102" spans="2:17" x14ac:dyDescent="0.25">
      <c r="B102" s="71"/>
      <c r="C102" s="78"/>
      <c r="D102" s="78"/>
      <c r="E102" s="78"/>
      <c r="F102" s="72"/>
      <c r="G102" s="72"/>
      <c r="H102" s="73"/>
      <c r="I102" s="71"/>
      <c r="J102" s="74"/>
      <c r="K102" s="75"/>
      <c r="N102" s="76"/>
      <c r="O102" s="76"/>
      <c r="P102" s="76"/>
      <c r="Q102" s="76"/>
    </row>
    <row r="103" spans="2:17" x14ac:dyDescent="0.25">
      <c r="B103" s="71"/>
      <c r="C103" s="78"/>
      <c r="D103" s="78"/>
      <c r="E103" s="78"/>
      <c r="F103" s="72"/>
      <c r="G103" s="72"/>
      <c r="H103" s="73"/>
      <c r="I103" s="71"/>
      <c r="J103" s="74"/>
      <c r="K103" s="75"/>
      <c r="N103" s="76"/>
      <c r="O103" s="76"/>
      <c r="P103" s="76"/>
      <c r="Q103" s="76"/>
    </row>
    <row r="104" spans="2:17" x14ac:dyDescent="0.25">
      <c r="B104" s="71"/>
      <c r="C104" s="78"/>
      <c r="D104" s="78"/>
      <c r="E104" s="78"/>
      <c r="F104" s="72"/>
      <c r="G104" s="72"/>
      <c r="H104" s="73"/>
      <c r="I104" s="71"/>
      <c r="J104" s="74"/>
      <c r="K104" s="75"/>
      <c r="N104" s="76"/>
      <c r="O104" s="76"/>
      <c r="P104" s="76"/>
      <c r="Q104" s="76"/>
    </row>
    <row r="105" spans="2:17" x14ac:dyDescent="0.25">
      <c r="B105" s="71"/>
      <c r="C105" s="78"/>
      <c r="D105" s="78"/>
      <c r="E105" s="78"/>
      <c r="F105" s="72"/>
      <c r="G105" s="72"/>
      <c r="H105" s="73"/>
      <c r="I105" s="71"/>
      <c r="J105" s="74"/>
      <c r="K105" s="75"/>
      <c r="N105" s="76"/>
      <c r="O105" s="76"/>
      <c r="P105" s="76"/>
      <c r="Q105" s="76"/>
    </row>
    <row r="106" spans="2:17" x14ac:dyDescent="0.25">
      <c r="B106" s="71"/>
      <c r="C106" s="78"/>
      <c r="D106" s="78"/>
      <c r="E106" s="78"/>
      <c r="F106" s="72"/>
      <c r="G106" s="72"/>
      <c r="H106" s="73"/>
      <c r="I106" s="71"/>
      <c r="J106" s="74"/>
      <c r="K106" s="75"/>
      <c r="N106" s="76"/>
      <c r="O106" s="76"/>
      <c r="P106" s="76"/>
      <c r="Q106" s="76"/>
    </row>
    <row r="107" spans="2:17" x14ac:dyDescent="0.25">
      <c r="B107" s="71"/>
      <c r="C107" s="78"/>
      <c r="D107" s="78"/>
      <c r="E107" s="78"/>
      <c r="F107" s="72"/>
      <c r="G107" s="72"/>
      <c r="H107" s="73"/>
      <c r="I107" s="71"/>
      <c r="J107" s="74"/>
      <c r="K107" s="75"/>
      <c r="N107" s="76"/>
      <c r="O107" s="76"/>
      <c r="P107" s="76"/>
      <c r="Q107" s="76"/>
    </row>
    <row r="108" spans="2:17" x14ac:dyDescent="0.25">
      <c r="B108" s="71"/>
      <c r="C108" s="78"/>
      <c r="D108" s="78"/>
      <c r="E108" s="78"/>
      <c r="F108" s="72"/>
      <c r="G108" s="72"/>
      <c r="H108" s="73"/>
      <c r="I108" s="71"/>
      <c r="J108" s="74"/>
      <c r="K108" s="75"/>
      <c r="N108" s="76"/>
      <c r="O108" s="76"/>
      <c r="P108" s="76"/>
      <c r="Q108" s="76"/>
    </row>
    <row r="109" spans="2:17" x14ac:dyDescent="0.25">
      <c r="B109" s="71"/>
      <c r="C109" s="78"/>
      <c r="D109" s="78"/>
      <c r="E109" s="78"/>
      <c r="F109" s="72"/>
      <c r="G109" s="72"/>
      <c r="H109" s="73"/>
      <c r="I109" s="71"/>
      <c r="J109" s="74"/>
      <c r="K109" s="75"/>
      <c r="N109" s="76"/>
      <c r="O109" s="76"/>
      <c r="P109" s="76"/>
      <c r="Q109" s="76"/>
    </row>
    <row r="110" spans="2:17" x14ac:dyDescent="0.25">
      <c r="B110" s="71"/>
      <c r="C110" s="78"/>
      <c r="D110" s="78"/>
      <c r="E110" s="78"/>
      <c r="F110" s="72"/>
      <c r="G110" s="72"/>
      <c r="H110" s="73"/>
      <c r="I110" s="71"/>
      <c r="J110" s="74"/>
      <c r="K110" s="75"/>
      <c r="N110" s="76"/>
      <c r="O110" s="76"/>
      <c r="P110" s="76"/>
      <c r="Q110" s="76"/>
    </row>
    <row r="111" spans="2:17" x14ac:dyDescent="0.25">
      <c r="B111" s="71"/>
      <c r="C111" s="78"/>
      <c r="D111" s="78"/>
      <c r="E111" s="78"/>
      <c r="F111" s="72"/>
      <c r="G111" s="72"/>
      <c r="H111" s="73"/>
      <c r="I111" s="71"/>
      <c r="J111" s="74"/>
      <c r="K111" s="75"/>
      <c r="N111" s="76"/>
      <c r="O111" s="76"/>
      <c r="P111" s="76"/>
      <c r="Q111" s="76"/>
    </row>
    <row r="112" spans="2:17" x14ac:dyDescent="0.25">
      <c r="B112" s="71"/>
      <c r="C112" s="78"/>
      <c r="D112" s="78"/>
      <c r="E112" s="78"/>
      <c r="F112" s="72"/>
      <c r="G112" s="72"/>
      <c r="H112" s="73"/>
      <c r="I112" s="71"/>
      <c r="J112" s="74"/>
      <c r="K112" s="75"/>
      <c r="N112" s="76"/>
      <c r="O112" s="76"/>
      <c r="P112" s="76"/>
      <c r="Q112" s="76"/>
    </row>
    <row r="113" spans="2:17" x14ac:dyDescent="0.25">
      <c r="B113" s="71"/>
      <c r="C113" s="78"/>
      <c r="D113" s="78"/>
      <c r="E113" s="78"/>
      <c r="F113" s="72"/>
      <c r="G113" s="72"/>
      <c r="H113" s="73"/>
      <c r="I113" s="71"/>
      <c r="J113" s="74"/>
      <c r="K113" s="75"/>
      <c r="N113" s="76"/>
      <c r="O113" s="76"/>
      <c r="P113" s="76"/>
      <c r="Q113" s="76"/>
    </row>
    <row r="114" spans="2:17" x14ac:dyDescent="0.25">
      <c r="B114" s="71"/>
      <c r="C114" s="78"/>
      <c r="D114" s="78"/>
      <c r="E114" s="78"/>
      <c r="F114" s="72"/>
      <c r="G114" s="72"/>
      <c r="H114" s="73"/>
      <c r="I114" s="71"/>
      <c r="J114" s="74"/>
      <c r="K114" s="75"/>
      <c r="N114" s="76"/>
      <c r="O114" s="76"/>
      <c r="P114" s="76"/>
      <c r="Q114" s="76"/>
    </row>
    <row r="115" spans="2:17" x14ac:dyDescent="0.25">
      <c r="B115" s="71"/>
      <c r="C115" s="78"/>
      <c r="D115" s="78"/>
      <c r="E115" s="78"/>
      <c r="F115" s="72"/>
      <c r="G115" s="72"/>
      <c r="H115" s="73"/>
      <c r="I115" s="71"/>
      <c r="J115" s="74"/>
      <c r="K115" s="75"/>
      <c r="N115" s="76"/>
      <c r="O115" s="76"/>
      <c r="P115" s="76"/>
      <c r="Q115" s="76"/>
    </row>
    <row r="116" spans="2:17" x14ac:dyDescent="0.25">
      <c r="B116" s="71"/>
      <c r="C116" s="78"/>
      <c r="D116" s="78"/>
      <c r="E116" s="78"/>
      <c r="F116" s="72"/>
      <c r="G116" s="72"/>
      <c r="H116" s="73"/>
      <c r="I116" s="71"/>
      <c r="J116" s="74"/>
      <c r="K116" s="75"/>
      <c r="N116" s="76"/>
      <c r="O116" s="76"/>
      <c r="P116" s="76"/>
      <c r="Q116" s="76"/>
    </row>
    <row r="117" spans="2:17" x14ac:dyDescent="0.25">
      <c r="B117" s="71"/>
      <c r="C117" s="78"/>
      <c r="D117" s="78"/>
      <c r="E117" s="78"/>
      <c r="F117" s="72"/>
      <c r="G117" s="72"/>
      <c r="H117" s="73"/>
      <c r="I117" s="71"/>
      <c r="J117" s="74"/>
      <c r="K117" s="75"/>
      <c r="N117" s="76"/>
      <c r="O117" s="76"/>
      <c r="P117" s="76"/>
      <c r="Q117" s="76"/>
    </row>
    <row r="118" spans="2:17" x14ac:dyDescent="0.25">
      <c r="B118" s="71"/>
      <c r="C118" s="78"/>
      <c r="D118" s="78"/>
      <c r="E118" s="78"/>
      <c r="F118" s="72"/>
      <c r="G118" s="72"/>
      <c r="H118" s="73"/>
      <c r="I118" s="71"/>
      <c r="J118" s="74"/>
      <c r="K118" s="75"/>
      <c r="N118" s="76"/>
      <c r="O118" s="76"/>
      <c r="P118" s="76"/>
      <c r="Q118" s="76"/>
    </row>
    <row r="119" spans="2:17" x14ac:dyDescent="0.25">
      <c r="B119" s="71"/>
      <c r="C119" s="78"/>
      <c r="D119" s="78"/>
      <c r="E119" s="78"/>
      <c r="F119" s="72"/>
      <c r="G119" s="72"/>
      <c r="H119" s="73"/>
      <c r="I119" s="71"/>
      <c r="J119" s="74"/>
      <c r="K119" s="75"/>
      <c r="N119" s="76"/>
      <c r="O119" s="76"/>
      <c r="P119" s="76"/>
      <c r="Q119" s="76"/>
    </row>
    <row r="120" spans="2:17" x14ac:dyDescent="0.25">
      <c r="B120" s="71"/>
      <c r="C120" s="78"/>
      <c r="D120" s="78"/>
      <c r="E120" s="78"/>
      <c r="F120" s="72"/>
      <c r="G120" s="72"/>
      <c r="H120" s="73"/>
      <c r="I120" s="71"/>
      <c r="J120" s="74"/>
      <c r="K120" s="75"/>
      <c r="N120" s="76"/>
      <c r="O120" s="76"/>
      <c r="P120" s="76"/>
      <c r="Q120" s="76"/>
    </row>
    <row r="121" spans="2:17" x14ac:dyDescent="0.25">
      <c r="B121" s="71"/>
      <c r="C121" s="78"/>
      <c r="D121" s="78"/>
      <c r="E121" s="78"/>
      <c r="F121" s="72"/>
      <c r="G121" s="72"/>
      <c r="H121" s="73"/>
      <c r="I121" s="71"/>
      <c r="J121" s="74"/>
      <c r="K121" s="75"/>
      <c r="N121" s="76"/>
      <c r="O121" s="76"/>
      <c r="P121" s="76"/>
      <c r="Q121" s="76"/>
    </row>
    <row r="122" spans="2:17" x14ac:dyDescent="0.25">
      <c r="B122" s="71"/>
      <c r="C122" s="78"/>
      <c r="D122" s="78"/>
      <c r="E122" s="78"/>
      <c r="F122" s="72"/>
      <c r="G122" s="72"/>
      <c r="H122" s="73"/>
      <c r="I122" s="71"/>
      <c r="J122" s="74"/>
      <c r="K122" s="75"/>
      <c r="N122" s="76"/>
      <c r="O122" s="76"/>
      <c r="P122" s="76"/>
      <c r="Q122" s="76"/>
    </row>
    <row r="123" spans="2:17" x14ac:dyDescent="0.25">
      <c r="B123" s="71"/>
      <c r="C123" s="78"/>
      <c r="D123" s="78"/>
      <c r="E123" s="78"/>
      <c r="F123" s="72"/>
      <c r="G123" s="72"/>
      <c r="H123" s="73"/>
      <c r="I123" s="71"/>
      <c r="J123" s="74"/>
      <c r="K123" s="75"/>
      <c r="N123" s="76"/>
      <c r="O123" s="76"/>
      <c r="P123" s="76"/>
      <c r="Q123" s="76"/>
    </row>
    <row r="124" spans="2:17" x14ac:dyDescent="0.25">
      <c r="B124" s="71"/>
      <c r="C124" s="78"/>
      <c r="D124" s="78"/>
      <c r="E124" s="78"/>
      <c r="F124" s="72"/>
      <c r="G124" s="72"/>
      <c r="H124" s="73"/>
      <c r="I124" s="71"/>
      <c r="J124" s="74"/>
      <c r="K124" s="75"/>
      <c r="N124" s="76"/>
      <c r="O124" s="76"/>
      <c r="P124" s="76"/>
      <c r="Q124" s="76"/>
    </row>
    <row r="125" spans="2:17" x14ac:dyDescent="0.25">
      <c r="B125" s="71"/>
      <c r="C125" s="78"/>
      <c r="D125" s="78"/>
      <c r="E125" s="78"/>
      <c r="F125" s="72"/>
      <c r="G125" s="72"/>
      <c r="H125" s="73"/>
      <c r="I125" s="71"/>
      <c r="J125" s="74"/>
      <c r="K125" s="75"/>
      <c r="N125" s="76"/>
      <c r="O125" s="76"/>
      <c r="P125" s="76"/>
      <c r="Q125" s="76"/>
    </row>
    <row r="126" spans="2:17" x14ac:dyDescent="0.25">
      <c r="B126" s="71"/>
      <c r="C126" s="78"/>
      <c r="D126" s="78"/>
      <c r="E126" s="78"/>
      <c r="F126" s="72"/>
      <c r="G126" s="72"/>
      <c r="H126" s="73"/>
      <c r="I126" s="71"/>
      <c r="J126" s="74"/>
      <c r="K126" s="75"/>
      <c r="N126" s="76"/>
      <c r="O126" s="76"/>
      <c r="P126" s="76"/>
      <c r="Q126" s="76"/>
    </row>
    <row r="127" spans="2:17" x14ac:dyDescent="0.25">
      <c r="B127" s="71"/>
      <c r="C127" s="78"/>
      <c r="D127" s="78"/>
      <c r="E127" s="78"/>
      <c r="F127" s="72"/>
      <c r="G127" s="72"/>
      <c r="H127" s="73"/>
      <c r="I127" s="71"/>
      <c r="J127" s="74"/>
      <c r="K127" s="75"/>
      <c r="N127" s="76"/>
      <c r="O127" s="76"/>
      <c r="P127" s="76"/>
      <c r="Q127" s="76"/>
    </row>
    <row r="128" spans="2:17" x14ac:dyDescent="0.25">
      <c r="B128" s="71"/>
      <c r="C128" s="78"/>
      <c r="D128" s="78"/>
      <c r="E128" s="78"/>
      <c r="F128" s="72"/>
      <c r="G128" s="72"/>
      <c r="H128" s="73"/>
      <c r="I128" s="71"/>
      <c r="J128" s="74"/>
      <c r="K128" s="75"/>
      <c r="N128" s="76"/>
      <c r="O128" s="76"/>
      <c r="P128" s="76"/>
      <c r="Q128" s="76"/>
    </row>
    <row r="129" spans="2:17" x14ac:dyDescent="0.25">
      <c r="B129" s="71"/>
      <c r="C129" s="78"/>
      <c r="D129" s="78"/>
      <c r="E129" s="78"/>
      <c r="F129" s="72"/>
      <c r="G129" s="72"/>
      <c r="H129" s="73"/>
      <c r="I129" s="71"/>
      <c r="J129" s="74"/>
      <c r="K129" s="75"/>
      <c r="N129" s="76"/>
      <c r="O129" s="76"/>
      <c r="P129" s="76"/>
      <c r="Q129" s="76"/>
    </row>
    <row r="130" spans="2:17" x14ac:dyDescent="0.25">
      <c r="B130" s="71"/>
      <c r="C130" s="78"/>
      <c r="D130" s="78"/>
      <c r="E130" s="78"/>
      <c r="F130" s="72"/>
      <c r="G130" s="72"/>
      <c r="H130" s="73"/>
      <c r="I130" s="71"/>
      <c r="J130" s="74"/>
      <c r="K130" s="75"/>
      <c r="N130" s="76"/>
      <c r="O130" s="76"/>
      <c r="P130" s="76"/>
      <c r="Q130" s="76"/>
    </row>
    <row r="131" spans="2:17" x14ac:dyDescent="0.25">
      <c r="B131" s="71"/>
      <c r="C131" s="78"/>
      <c r="D131" s="78"/>
      <c r="E131" s="78"/>
      <c r="F131" s="72"/>
      <c r="G131" s="72"/>
      <c r="H131" s="73"/>
      <c r="I131" s="71"/>
      <c r="J131" s="74"/>
      <c r="K131" s="75"/>
      <c r="N131" s="76"/>
      <c r="O131" s="76"/>
      <c r="P131" s="76"/>
      <c r="Q131" s="76"/>
    </row>
    <row r="132" spans="2:17" x14ac:dyDescent="0.25">
      <c r="B132" s="71"/>
      <c r="C132" s="78"/>
      <c r="D132" s="78"/>
      <c r="E132" s="78"/>
      <c r="F132" s="72"/>
      <c r="G132" s="72"/>
      <c r="H132" s="73"/>
      <c r="I132" s="71"/>
      <c r="J132" s="74"/>
      <c r="K132" s="75"/>
      <c r="N132" s="76"/>
      <c r="O132" s="76"/>
      <c r="P132" s="76"/>
      <c r="Q132" s="76"/>
    </row>
    <row r="133" spans="2:17" x14ac:dyDescent="0.25">
      <c r="B133" s="71"/>
      <c r="C133" s="78"/>
      <c r="D133" s="78"/>
      <c r="E133" s="78"/>
      <c r="F133" s="72"/>
      <c r="G133" s="72"/>
      <c r="H133" s="73"/>
      <c r="I133" s="71"/>
      <c r="J133" s="74"/>
      <c r="K133" s="75"/>
      <c r="N133" s="76"/>
      <c r="O133" s="76"/>
      <c r="P133" s="76"/>
      <c r="Q133" s="76"/>
    </row>
    <row r="134" spans="2:17" x14ac:dyDescent="0.25">
      <c r="B134" s="71"/>
      <c r="C134" s="78"/>
      <c r="D134" s="78"/>
      <c r="E134" s="78"/>
      <c r="F134" s="72"/>
      <c r="G134" s="72"/>
      <c r="H134" s="73"/>
      <c r="I134" s="71"/>
      <c r="J134" s="74"/>
      <c r="K134" s="75"/>
      <c r="N134" s="76"/>
      <c r="O134" s="76"/>
      <c r="P134" s="76"/>
      <c r="Q134" s="76"/>
    </row>
    <row r="135" spans="2:17" x14ac:dyDescent="0.25">
      <c r="B135" s="71"/>
      <c r="C135" s="78"/>
      <c r="D135" s="78"/>
      <c r="E135" s="78"/>
      <c r="F135" s="72"/>
      <c r="G135" s="72"/>
      <c r="H135" s="73"/>
      <c r="I135" s="71"/>
      <c r="J135" s="74"/>
      <c r="K135" s="75"/>
      <c r="N135" s="76"/>
      <c r="O135" s="76"/>
      <c r="P135" s="76"/>
      <c r="Q135" s="76"/>
    </row>
    <row r="136" spans="2:17" x14ac:dyDescent="0.25">
      <c r="B136" s="71"/>
      <c r="C136" s="78"/>
      <c r="D136" s="78"/>
      <c r="E136" s="78"/>
      <c r="F136" s="72"/>
      <c r="G136" s="72"/>
      <c r="H136" s="73"/>
      <c r="I136" s="71"/>
      <c r="J136" s="74"/>
      <c r="K136" s="75"/>
      <c r="N136" s="76"/>
      <c r="O136" s="76"/>
      <c r="P136" s="76"/>
      <c r="Q136" s="76"/>
    </row>
    <row r="137" spans="2:17" x14ac:dyDescent="0.25">
      <c r="B137" s="71"/>
      <c r="C137" s="78"/>
      <c r="D137" s="78"/>
      <c r="E137" s="78"/>
      <c r="F137" s="72"/>
      <c r="G137" s="72"/>
      <c r="H137" s="73"/>
      <c r="I137" s="71"/>
      <c r="J137" s="74"/>
      <c r="K137" s="75"/>
      <c r="N137" s="76"/>
      <c r="O137" s="76"/>
      <c r="P137" s="76"/>
      <c r="Q137" s="76"/>
    </row>
    <row r="138" spans="2:17" x14ac:dyDescent="0.25">
      <c r="B138" s="71"/>
      <c r="C138" s="78"/>
      <c r="D138" s="78"/>
      <c r="E138" s="78"/>
      <c r="F138" s="72"/>
      <c r="G138" s="72"/>
      <c r="H138" s="73"/>
      <c r="I138" s="71"/>
      <c r="J138" s="74"/>
      <c r="K138" s="75"/>
      <c r="N138" s="76"/>
      <c r="O138" s="76"/>
      <c r="P138" s="76"/>
      <c r="Q138" s="76"/>
    </row>
    <row r="139" spans="2:17" x14ac:dyDescent="0.25">
      <c r="B139" s="71"/>
      <c r="C139" s="78"/>
      <c r="D139" s="78"/>
      <c r="E139" s="78"/>
      <c r="F139" s="72"/>
      <c r="G139" s="72"/>
      <c r="H139" s="73"/>
      <c r="I139" s="71"/>
      <c r="J139" s="74"/>
      <c r="K139" s="75"/>
      <c r="N139" s="76"/>
      <c r="O139" s="76"/>
      <c r="P139" s="76"/>
      <c r="Q139" s="76"/>
    </row>
    <row r="140" spans="2:17" x14ac:dyDescent="0.25">
      <c r="B140" s="71"/>
      <c r="C140" s="78"/>
      <c r="D140" s="78"/>
      <c r="E140" s="78"/>
      <c r="F140" s="72"/>
      <c r="G140" s="72"/>
      <c r="H140" s="73"/>
      <c r="I140" s="71"/>
      <c r="J140" s="74"/>
      <c r="K140" s="75"/>
      <c r="N140" s="76"/>
      <c r="O140" s="76"/>
      <c r="P140" s="76"/>
      <c r="Q140" s="76"/>
    </row>
    <row r="141" spans="2:17" x14ac:dyDescent="0.25">
      <c r="B141" s="71"/>
      <c r="C141" s="78"/>
      <c r="D141" s="78"/>
      <c r="E141" s="78"/>
      <c r="F141" s="72"/>
      <c r="G141" s="72"/>
      <c r="H141" s="73"/>
      <c r="I141" s="71"/>
      <c r="J141" s="74"/>
      <c r="K141" s="75"/>
      <c r="N141" s="76"/>
      <c r="O141" s="76"/>
      <c r="P141" s="76"/>
      <c r="Q141" s="76"/>
    </row>
    <row r="142" spans="2:17" x14ac:dyDescent="0.25">
      <c r="B142" s="71"/>
      <c r="C142" s="78"/>
      <c r="D142" s="78"/>
      <c r="E142" s="78"/>
      <c r="F142" s="72"/>
      <c r="G142" s="72"/>
      <c r="H142" s="73"/>
      <c r="I142" s="71"/>
      <c r="J142" s="74"/>
      <c r="K142" s="75"/>
      <c r="N142" s="76"/>
      <c r="O142" s="76"/>
      <c r="P142" s="76"/>
      <c r="Q142" s="76"/>
    </row>
    <row r="143" spans="2:17" x14ac:dyDescent="0.25">
      <c r="B143" s="71"/>
      <c r="C143" s="78"/>
      <c r="D143" s="78"/>
      <c r="E143" s="78"/>
      <c r="F143" s="72"/>
      <c r="G143" s="72"/>
      <c r="H143" s="73"/>
      <c r="I143" s="71"/>
      <c r="J143" s="74"/>
      <c r="K143" s="75"/>
      <c r="N143" s="76"/>
      <c r="O143" s="76"/>
      <c r="P143" s="76"/>
      <c r="Q143" s="76"/>
    </row>
    <row r="144" spans="2:17" x14ac:dyDescent="0.25">
      <c r="B144" s="71"/>
      <c r="C144" s="78"/>
      <c r="D144" s="78"/>
      <c r="E144" s="78"/>
      <c r="F144" s="72"/>
      <c r="G144" s="72"/>
      <c r="H144" s="73"/>
      <c r="I144" s="71"/>
      <c r="J144" s="74"/>
      <c r="K144" s="75"/>
      <c r="N144" s="76"/>
      <c r="O144" s="76"/>
      <c r="P144" s="76"/>
      <c r="Q144" s="76"/>
    </row>
    <row r="145" spans="2:17" x14ac:dyDescent="0.25">
      <c r="B145" s="71"/>
      <c r="C145" s="78"/>
      <c r="D145" s="78"/>
      <c r="E145" s="78"/>
      <c r="F145" s="72"/>
      <c r="G145" s="72"/>
      <c r="H145" s="73"/>
      <c r="I145" s="71"/>
      <c r="J145" s="74"/>
      <c r="K145" s="75"/>
      <c r="N145" s="76"/>
      <c r="O145" s="76"/>
      <c r="P145" s="76"/>
      <c r="Q145" s="76"/>
    </row>
    <row r="146" spans="2:17" x14ac:dyDescent="0.25">
      <c r="B146" s="71"/>
      <c r="C146" s="78"/>
      <c r="D146" s="78"/>
      <c r="E146" s="78"/>
      <c r="F146" s="72"/>
      <c r="G146" s="72"/>
      <c r="H146" s="73"/>
      <c r="I146" s="71"/>
      <c r="J146" s="74"/>
      <c r="K146" s="75"/>
      <c r="N146" s="76"/>
      <c r="O146" s="76"/>
      <c r="P146" s="76"/>
      <c r="Q146" s="76"/>
    </row>
    <row r="147" spans="2:17" x14ac:dyDescent="0.25">
      <c r="B147" s="71"/>
      <c r="C147" s="78"/>
      <c r="D147" s="78"/>
      <c r="E147" s="78"/>
      <c r="F147" s="72"/>
      <c r="G147" s="72"/>
      <c r="H147" s="73"/>
      <c r="I147" s="71"/>
      <c r="J147" s="74"/>
      <c r="K147" s="75"/>
      <c r="N147" s="76"/>
      <c r="O147" s="76"/>
      <c r="P147" s="76"/>
      <c r="Q147" s="76"/>
    </row>
    <row r="148" spans="2:17" x14ac:dyDescent="0.25">
      <c r="B148" s="71"/>
      <c r="C148" s="78"/>
      <c r="D148" s="78"/>
      <c r="E148" s="78"/>
      <c r="F148" s="72"/>
      <c r="G148" s="72"/>
      <c r="H148" s="73"/>
      <c r="I148" s="71"/>
      <c r="J148" s="74"/>
      <c r="K148" s="75"/>
      <c r="N148" s="76"/>
      <c r="O148" s="76"/>
      <c r="P148" s="76"/>
      <c r="Q148" s="76"/>
    </row>
    <row r="149" spans="2:17" x14ac:dyDescent="0.25">
      <c r="B149" s="71"/>
      <c r="C149" s="78"/>
      <c r="D149" s="78"/>
      <c r="E149" s="78"/>
      <c r="F149" s="72"/>
      <c r="G149" s="72"/>
      <c r="H149" s="73"/>
      <c r="I149" s="71"/>
      <c r="J149" s="74"/>
      <c r="K149" s="75"/>
      <c r="N149" s="76"/>
      <c r="O149" s="76"/>
      <c r="P149" s="76"/>
      <c r="Q149" s="76"/>
    </row>
    <row r="150" spans="2:17" x14ac:dyDescent="0.25">
      <c r="B150" s="71"/>
      <c r="C150" s="78"/>
      <c r="D150" s="78"/>
      <c r="E150" s="78"/>
      <c r="F150" s="72"/>
      <c r="G150" s="72"/>
      <c r="H150" s="73"/>
      <c r="I150" s="71"/>
      <c r="J150" s="74"/>
      <c r="K150" s="75"/>
      <c r="N150" s="76"/>
      <c r="O150" s="76"/>
      <c r="P150" s="76"/>
      <c r="Q150" s="76"/>
    </row>
    <row r="151" spans="2:17" x14ac:dyDescent="0.25">
      <c r="B151" s="71"/>
      <c r="C151" s="78"/>
      <c r="D151" s="78"/>
      <c r="E151" s="78"/>
      <c r="F151" s="72"/>
      <c r="G151" s="72"/>
      <c r="H151" s="73"/>
      <c r="I151" s="71"/>
      <c r="J151" s="74"/>
      <c r="K151" s="75"/>
      <c r="N151" s="76"/>
      <c r="O151" s="76"/>
      <c r="P151" s="76"/>
      <c r="Q151" s="76"/>
    </row>
    <row r="152" spans="2:17" x14ac:dyDescent="0.25">
      <c r="B152" s="71"/>
      <c r="C152" s="78"/>
      <c r="D152" s="78"/>
      <c r="E152" s="78"/>
      <c r="F152" s="72"/>
      <c r="G152" s="72"/>
      <c r="H152" s="73"/>
      <c r="I152" s="71"/>
      <c r="J152" s="74"/>
      <c r="K152" s="75"/>
      <c r="N152" s="76"/>
      <c r="O152" s="76"/>
      <c r="P152" s="76"/>
      <c r="Q152" s="76"/>
    </row>
    <row r="153" spans="2:17" x14ac:dyDescent="0.25">
      <c r="B153" s="71"/>
      <c r="C153" s="78"/>
      <c r="D153" s="78"/>
      <c r="E153" s="78"/>
      <c r="F153" s="72"/>
      <c r="G153" s="72"/>
      <c r="H153" s="73"/>
      <c r="I153" s="71"/>
      <c r="J153" s="74"/>
      <c r="K153" s="75"/>
      <c r="N153" s="76"/>
      <c r="O153" s="76"/>
      <c r="P153" s="76"/>
      <c r="Q153" s="76"/>
    </row>
    <row r="154" spans="2:17" x14ac:dyDescent="0.25">
      <c r="B154" s="71"/>
      <c r="C154" s="78"/>
      <c r="D154" s="78"/>
      <c r="E154" s="78"/>
      <c r="F154" s="72"/>
      <c r="G154" s="72"/>
      <c r="H154" s="73"/>
      <c r="I154" s="71"/>
      <c r="J154" s="74"/>
      <c r="K154" s="75"/>
      <c r="N154" s="76"/>
      <c r="O154" s="76"/>
      <c r="P154" s="76"/>
      <c r="Q154" s="76"/>
    </row>
    <row r="155" spans="2:17" x14ac:dyDescent="0.25">
      <c r="B155" s="71"/>
      <c r="C155" s="78"/>
      <c r="D155" s="78"/>
      <c r="E155" s="78"/>
      <c r="F155" s="72"/>
      <c r="G155" s="72"/>
      <c r="H155" s="73"/>
      <c r="I155" s="71"/>
      <c r="J155" s="74"/>
      <c r="K155" s="75"/>
      <c r="N155" s="76"/>
      <c r="O155" s="76"/>
      <c r="P155" s="76"/>
      <c r="Q155" s="76"/>
    </row>
    <row r="156" spans="2:17" x14ac:dyDescent="0.25">
      <c r="B156" s="71"/>
      <c r="C156" s="78"/>
      <c r="D156" s="78"/>
      <c r="E156" s="78"/>
      <c r="F156" s="72"/>
      <c r="G156" s="72"/>
      <c r="H156" s="73"/>
      <c r="I156" s="71"/>
      <c r="J156" s="74"/>
      <c r="K156" s="75"/>
      <c r="N156" s="76"/>
      <c r="O156" s="76"/>
      <c r="P156" s="76"/>
      <c r="Q156" s="76"/>
    </row>
    <row r="157" spans="2:17" x14ac:dyDescent="0.25">
      <c r="B157" s="71"/>
      <c r="C157" s="78"/>
      <c r="D157" s="78"/>
      <c r="E157" s="78"/>
      <c r="F157" s="72"/>
      <c r="G157" s="72"/>
      <c r="H157" s="73"/>
      <c r="I157" s="71"/>
      <c r="J157" s="74"/>
      <c r="K157" s="75"/>
      <c r="N157" s="76"/>
      <c r="O157" s="76"/>
      <c r="P157" s="76"/>
      <c r="Q157" s="76"/>
    </row>
    <row r="158" spans="2:17" x14ac:dyDescent="0.25">
      <c r="B158" s="71"/>
      <c r="C158" s="78"/>
      <c r="D158" s="78"/>
      <c r="E158" s="78"/>
      <c r="F158" s="72"/>
      <c r="G158" s="72"/>
      <c r="H158" s="73"/>
      <c r="I158" s="71"/>
      <c r="J158" s="74"/>
      <c r="K158" s="75"/>
      <c r="N158" s="76"/>
      <c r="O158" s="76"/>
      <c r="P158" s="76"/>
      <c r="Q158" s="76"/>
    </row>
    <row r="159" spans="2:17" x14ac:dyDescent="0.25">
      <c r="B159" s="71"/>
      <c r="C159" s="78"/>
      <c r="D159" s="78"/>
      <c r="E159" s="78"/>
      <c r="F159" s="72"/>
      <c r="G159" s="72"/>
      <c r="H159" s="73"/>
      <c r="I159" s="71"/>
      <c r="J159" s="74"/>
      <c r="K159" s="75"/>
      <c r="N159" s="76"/>
      <c r="O159" s="76"/>
      <c r="P159" s="76"/>
      <c r="Q159" s="76"/>
    </row>
    <row r="160" spans="2:17" x14ac:dyDescent="0.25">
      <c r="B160" s="71"/>
      <c r="C160" s="78"/>
      <c r="D160" s="78"/>
      <c r="E160" s="78"/>
      <c r="F160" s="72"/>
      <c r="G160" s="72"/>
      <c r="H160" s="73"/>
      <c r="I160" s="71"/>
      <c r="J160" s="74"/>
      <c r="K160" s="75"/>
      <c r="N160" s="76"/>
      <c r="O160" s="76"/>
      <c r="P160" s="76"/>
      <c r="Q160" s="76"/>
    </row>
    <row r="161" spans="2:17" x14ac:dyDescent="0.25">
      <c r="B161" s="71"/>
      <c r="C161" s="78"/>
      <c r="D161" s="78"/>
      <c r="E161" s="78"/>
      <c r="F161" s="72"/>
      <c r="G161" s="72"/>
      <c r="H161" s="73"/>
      <c r="I161" s="71"/>
      <c r="J161" s="74"/>
      <c r="K161" s="75"/>
      <c r="N161" s="76"/>
      <c r="O161" s="76"/>
      <c r="P161" s="76"/>
      <c r="Q161" s="76"/>
    </row>
    <row r="162" spans="2:17" x14ac:dyDescent="0.25">
      <c r="B162" s="71"/>
      <c r="C162" s="78"/>
      <c r="D162" s="78"/>
      <c r="E162" s="78"/>
      <c r="F162" s="72"/>
      <c r="G162" s="72"/>
      <c r="H162" s="73"/>
      <c r="I162" s="71"/>
      <c r="J162" s="74"/>
      <c r="K162" s="75"/>
      <c r="N162" s="76"/>
      <c r="O162" s="76"/>
      <c r="P162" s="76"/>
      <c r="Q162" s="76"/>
    </row>
    <row r="163" spans="2:17" x14ac:dyDescent="0.25">
      <c r="B163" s="71"/>
      <c r="C163" s="78"/>
      <c r="D163" s="78"/>
      <c r="E163" s="78"/>
      <c r="F163" s="72"/>
      <c r="G163" s="72"/>
      <c r="H163" s="73"/>
      <c r="I163" s="71"/>
      <c r="J163" s="74"/>
      <c r="K163" s="75"/>
      <c r="N163" s="76"/>
      <c r="O163" s="76"/>
      <c r="P163" s="76"/>
      <c r="Q163" s="76"/>
    </row>
    <row r="164" spans="2:17" x14ac:dyDescent="0.25">
      <c r="B164" s="71"/>
      <c r="C164" s="78"/>
      <c r="D164" s="78"/>
      <c r="E164" s="78"/>
      <c r="F164" s="72"/>
      <c r="G164" s="72"/>
      <c r="H164" s="73"/>
      <c r="I164" s="71"/>
      <c r="J164" s="74"/>
      <c r="K164" s="75"/>
      <c r="N164" s="76"/>
      <c r="O164" s="76"/>
      <c r="P164" s="76"/>
      <c r="Q164" s="76"/>
    </row>
    <row r="165" spans="2:17" x14ac:dyDescent="0.25">
      <c r="B165" s="71"/>
      <c r="C165" s="78"/>
      <c r="D165" s="78"/>
      <c r="E165" s="78"/>
      <c r="F165" s="72"/>
      <c r="G165" s="72"/>
      <c r="H165" s="73"/>
      <c r="I165" s="71"/>
      <c r="J165" s="74"/>
      <c r="K165" s="75"/>
      <c r="N165" s="76"/>
      <c r="O165" s="76"/>
      <c r="P165" s="76"/>
      <c r="Q165" s="76"/>
    </row>
    <row r="166" spans="2:17" x14ac:dyDescent="0.25">
      <c r="B166" s="71"/>
      <c r="C166" s="78"/>
      <c r="D166" s="78"/>
      <c r="E166" s="78"/>
      <c r="F166" s="72"/>
      <c r="G166" s="72"/>
      <c r="H166" s="73"/>
      <c r="I166" s="71"/>
      <c r="J166" s="74"/>
      <c r="K166" s="75"/>
      <c r="N166" s="76"/>
      <c r="O166" s="76"/>
      <c r="P166" s="76"/>
      <c r="Q166" s="76"/>
    </row>
    <row r="167" spans="2:17" x14ac:dyDescent="0.25">
      <c r="B167" s="71"/>
      <c r="C167" s="78"/>
      <c r="D167" s="78"/>
      <c r="E167" s="78"/>
      <c r="F167" s="72"/>
      <c r="G167" s="72"/>
      <c r="H167" s="73"/>
      <c r="I167" s="71"/>
      <c r="J167" s="74"/>
      <c r="K167" s="75"/>
      <c r="N167" s="76"/>
      <c r="O167" s="76"/>
      <c r="P167" s="76"/>
      <c r="Q167" s="76"/>
    </row>
    <row r="168" spans="2:17" x14ac:dyDescent="0.25">
      <c r="B168" s="71"/>
      <c r="C168" s="78"/>
      <c r="D168" s="78"/>
      <c r="E168" s="78"/>
      <c r="F168" s="72"/>
      <c r="G168" s="72"/>
      <c r="H168" s="73"/>
      <c r="I168" s="71"/>
      <c r="J168" s="74"/>
      <c r="K168" s="75"/>
      <c r="N168" s="76"/>
      <c r="O168" s="76"/>
      <c r="P168" s="76"/>
      <c r="Q168" s="76"/>
    </row>
    <row r="169" spans="2:17" x14ac:dyDescent="0.25">
      <c r="B169" s="71"/>
      <c r="C169" s="78"/>
      <c r="D169" s="78"/>
      <c r="E169" s="78"/>
      <c r="F169" s="72"/>
      <c r="G169" s="72"/>
      <c r="H169" s="73"/>
      <c r="I169" s="71"/>
      <c r="J169" s="74"/>
      <c r="K169" s="75"/>
      <c r="N169" s="76"/>
      <c r="O169" s="76"/>
      <c r="P169" s="76"/>
      <c r="Q169" s="76"/>
    </row>
    <row r="170" spans="2:17" x14ac:dyDescent="0.25">
      <c r="B170" s="71"/>
      <c r="C170" s="78"/>
      <c r="D170" s="78"/>
      <c r="E170" s="78"/>
      <c r="F170" s="72"/>
      <c r="G170" s="72"/>
      <c r="H170" s="73"/>
      <c r="I170" s="71"/>
      <c r="J170" s="74"/>
      <c r="K170" s="75"/>
      <c r="N170" s="76"/>
      <c r="O170" s="76"/>
      <c r="P170" s="76"/>
      <c r="Q170" s="76"/>
    </row>
    <row r="171" spans="2:17" x14ac:dyDescent="0.25">
      <c r="B171" s="71"/>
      <c r="C171" s="78"/>
      <c r="D171" s="78"/>
      <c r="E171" s="78"/>
      <c r="F171" s="72"/>
      <c r="G171" s="72"/>
      <c r="H171" s="73"/>
      <c r="I171" s="71"/>
      <c r="J171" s="74"/>
      <c r="K171" s="75"/>
      <c r="N171" s="76"/>
      <c r="O171" s="76"/>
      <c r="P171" s="76"/>
      <c r="Q171" s="76"/>
    </row>
    <row r="172" spans="2:17" x14ac:dyDescent="0.25">
      <c r="B172" s="71"/>
      <c r="C172" s="78"/>
      <c r="D172" s="78"/>
      <c r="E172" s="78"/>
      <c r="F172" s="72"/>
      <c r="G172" s="72"/>
      <c r="H172" s="73"/>
      <c r="I172" s="71"/>
      <c r="J172" s="74"/>
      <c r="K172" s="75"/>
      <c r="N172" s="76"/>
      <c r="O172" s="76"/>
      <c r="P172" s="76"/>
      <c r="Q172" s="76"/>
    </row>
    <row r="173" spans="2:17" x14ac:dyDescent="0.25">
      <c r="B173" s="71"/>
      <c r="C173" s="78"/>
      <c r="D173" s="78"/>
      <c r="E173" s="78"/>
      <c r="F173" s="72"/>
      <c r="G173" s="72"/>
      <c r="H173" s="73"/>
      <c r="I173" s="71"/>
      <c r="J173" s="74"/>
      <c r="K173" s="75"/>
      <c r="N173" s="76"/>
      <c r="O173" s="76"/>
      <c r="P173" s="76"/>
      <c r="Q173" s="76"/>
    </row>
    <row r="174" spans="2:17" x14ac:dyDescent="0.25">
      <c r="B174" s="71"/>
      <c r="C174" s="78"/>
      <c r="D174" s="78"/>
      <c r="E174" s="78"/>
      <c r="F174" s="72"/>
      <c r="G174" s="72"/>
      <c r="H174" s="73"/>
      <c r="I174" s="71"/>
      <c r="J174" s="74"/>
      <c r="K174" s="75"/>
      <c r="N174" s="76"/>
      <c r="O174" s="76"/>
      <c r="P174" s="76"/>
      <c r="Q174" s="76"/>
    </row>
    <row r="175" spans="2:17" x14ac:dyDescent="0.25">
      <c r="B175" s="71"/>
      <c r="C175" s="78"/>
      <c r="D175" s="78"/>
      <c r="E175" s="78"/>
      <c r="F175" s="72"/>
      <c r="G175" s="72"/>
      <c r="H175" s="73"/>
      <c r="I175" s="71"/>
      <c r="J175" s="74"/>
      <c r="K175" s="75"/>
      <c r="N175" s="76"/>
      <c r="O175" s="76"/>
      <c r="P175" s="76"/>
      <c r="Q175" s="76"/>
    </row>
    <row r="176" spans="2:17" x14ac:dyDescent="0.25">
      <c r="B176" s="71"/>
      <c r="C176" s="78"/>
      <c r="D176" s="78"/>
      <c r="E176" s="78"/>
      <c r="F176" s="72"/>
      <c r="G176" s="72"/>
      <c r="H176" s="73"/>
      <c r="I176" s="71"/>
      <c r="J176" s="74"/>
      <c r="K176" s="75"/>
      <c r="N176" s="76"/>
      <c r="O176" s="76"/>
      <c r="P176" s="76"/>
      <c r="Q176" s="76"/>
    </row>
    <row r="177" spans="2:17" x14ac:dyDescent="0.25">
      <c r="B177" s="71"/>
      <c r="C177" s="78"/>
      <c r="D177" s="78"/>
      <c r="E177" s="78"/>
      <c r="F177" s="72"/>
      <c r="G177" s="72"/>
      <c r="H177" s="73"/>
      <c r="I177" s="71"/>
      <c r="J177" s="74"/>
      <c r="K177" s="75"/>
      <c r="N177" s="76"/>
      <c r="O177" s="76"/>
      <c r="P177" s="76"/>
      <c r="Q177" s="76"/>
    </row>
    <row r="178" spans="2:17" x14ac:dyDescent="0.25">
      <c r="B178" s="71"/>
      <c r="C178" s="78"/>
      <c r="D178" s="78"/>
      <c r="E178" s="78"/>
      <c r="F178" s="72"/>
      <c r="G178" s="72"/>
      <c r="H178" s="73"/>
      <c r="I178" s="71"/>
      <c r="J178" s="74"/>
      <c r="K178" s="75"/>
      <c r="N178" s="76"/>
      <c r="O178" s="76"/>
      <c r="P178" s="76"/>
      <c r="Q178" s="76"/>
    </row>
    <row r="179" spans="2:17" x14ac:dyDescent="0.25">
      <c r="B179" s="71"/>
      <c r="C179" s="78"/>
      <c r="D179" s="78"/>
      <c r="E179" s="78"/>
      <c r="F179" s="72"/>
      <c r="G179" s="72"/>
      <c r="H179" s="73"/>
      <c r="I179" s="71"/>
      <c r="J179" s="74"/>
      <c r="K179" s="75"/>
      <c r="N179" s="76"/>
      <c r="O179" s="76"/>
      <c r="P179" s="76"/>
      <c r="Q179" s="76"/>
    </row>
    <row r="180" spans="2:17" x14ac:dyDescent="0.25">
      <c r="B180" s="71"/>
      <c r="C180" s="78"/>
      <c r="D180" s="78"/>
      <c r="E180" s="78"/>
      <c r="F180" s="72"/>
      <c r="G180" s="72"/>
      <c r="H180" s="73"/>
      <c r="I180" s="71"/>
      <c r="J180" s="74"/>
      <c r="K180" s="75"/>
      <c r="N180" s="76"/>
      <c r="O180" s="76"/>
      <c r="P180" s="76"/>
      <c r="Q180" s="76"/>
    </row>
    <row r="181" spans="2:17" x14ac:dyDescent="0.25">
      <c r="B181" s="71"/>
      <c r="C181" s="78"/>
      <c r="D181" s="78"/>
      <c r="E181" s="78"/>
      <c r="F181" s="72"/>
      <c r="G181" s="72"/>
      <c r="H181" s="73"/>
      <c r="I181" s="71"/>
      <c r="J181" s="74"/>
      <c r="K181" s="75"/>
      <c r="N181" s="76"/>
      <c r="O181" s="76"/>
      <c r="P181" s="76"/>
      <c r="Q181" s="76"/>
    </row>
    <row r="182" spans="2:17" x14ac:dyDescent="0.25">
      <c r="B182" s="71"/>
      <c r="C182" s="78"/>
      <c r="D182" s="78"/>
      <c r="E182" s="78"/>
      <c r="F182" s="72"/>
      <c r="G182" s="72"/>
      <c r="H182" s="73"/>
      <c r="I182" s="71"/>
      <c r="J182" s="74"/>
      <c r="K182" s="75"/>
      <c r="N182" s="76"/>
      <c r="O182" s="76"/>
      <c r="P182" s="76"/>
      <c r="Q182" s="76"/>
    </row>
    <row r="183" spans="2:17" x14ac:dyDescent="0.25">
      <c r="B183" s="71"/>
      <c r="C183" s="78"/>
      <c r="D183" s="78"/>
      <c r="E183" s="78"/>
      <c r="F183" s="72"/>
      <c r="G183" s="72"/>
      <c r="H183" s="73"/>
      <c r="I183" s="71"/>
      <c r="J183" s="74"/>
      <c r="K183" s="75"/>
      <c r="N183" s="76"/>
      <c r="O183" s="76"/>
      <c r="P183" s="76"/>
      <c r="Q183" s="76"/>
    </row>
    <row r="184" spans="2:17" x14ac:dyDescent="0.25">
      <c r="B184" s="71"/>
      <c r="C184" s="78"/>
      <c r="D184" s="78"/>
      <c r="E184" s="78"/>
      <c r="F184" s="72"/>
      <c r="G184" s="72"/>
      <c r="H184" s="73"/>
      <c r="I184" s="71"/>
      <c r="J184" s="74"/>
      <c r="K184" s="75"/>
      <c r="N184" s="76"/>
      <c r="O184" s="76"/>
      <c r="P184" s="76"/>
      <c r="Q184" s="76"/>
    </row>
    <row r="185" spans="2:17" x14ac:dyDescent="0.25">
      <c r="B185" s="71"/>
      <c r="C185" s="78"/>
      <c r="D185" s="78"/>
      <c r="E185" s="78"/>
      <c r="F185" s="72"/>
      <c r="G185" s="72"/>
      <c r="H185" s="73"/>
      <c r="I185" s="71"/>
      <c r="J185" s="74"/>
      <c r="K185" s="75"/>
      <c r="N185" s="76"/>
      <c r="O185" s="76"/>
      <c r="P185" s="76"/>
      <c r="Q185" s="76"/>
    </row>
    <row r="186" spans="2:17" x14ac:dyDescent="0.25">
      <c r="B186" s="71"/>
      <c r="C186" s="78"/>
      <c r="D186" s="78"/>
      <c r="E186" s="78"/>
      <c r="F186" s="72"/>
      <c r="G186" s="72"/>
      <c r="H186" s="73"/>
      <c r="I186" s="71"/>
      <c r="J186" s="74"/>
      <c r="K186" s="75"/>
      <c r="N186" s="76"/>
      <c r="O186" s="76"/>
      <c r="P186" s="76"/>
      <c r="Q186" s="76"/>
    </row>
    <row r="187" spans="2:17" x14ac:dyDescent="0.25">
      <c r="B187" s="71"/>
      <c r="C187" s="78"/>
      <c r="D187" s="78"/>
      <c r="E187" s="78"/>
      <c r="F187" s="72"/>
      <c r="G187" s="72"/>
      <c r="H187" s="73"/>
      <c r="I187" s="71"/>
      <c r="J187" s="74"/>
      <c r="K187" s="75"/>
      <c r="N187" s="76"/>
      <c r="O187" s="76"/>
      <c r="P187" s="76"/>
      <c r="Q187" s="76"/>
    </row>
    <row r="188" spans="2:17" x14ac:dyDescent="0.25">
      <c r="B188" s="71"/>
      <c r="C188" s="78"/>
      <c r="D188" s="78"/>
      <c r="E188" s="78"/>
      <c r="F188" s="72"/>
      <c r="G188" s="72"/>
      <c r="H188" s="73"/>
      <c r="I188" s="71"/>
      <c r="J188" s="74"/>
      <c r="K188" s="75"/>
      <c r="N188" s="76"/>
      <c r="O188" s="76"/>
      <c r="P188" s="76"/>
      <c r="Q188" s="76"/>
    </row>
    <row r="189" spans="2:17" x14ac:dyDescent="0.25">
      <c r="B189" s="71"/>
      <c r="C189" s="78"/>
      <c r="D189" s="78"/>
      <c r="E189" s="78"/>
      <c r="F189" s="72"/>
      <c r="G189" s="72"/>
      <c r="H189" s="73"/>
      <c r="I189" s="71"/>
      <c r="J189" s="74"/>
      <c r="K189" s="75"/>
      <c r="N189" s="76"/>
      <c r="O189" s="76"/>
      <c r="P189" s="76"/>
      <c r="Q189" s="76"/>
    </row>
    <row r="190" spans="2:17" x14ac:dyDescent="0.25">
      <c r="B190" s="71"/>
      <c r="C190" s="78"/>
      <c r="D190" s="78"/>
      <c r="E190" s="78"/>
      <c r="F190" s="72"/>
      <c r="G190" s="72"/>
      <c r="H190" s="73"/>
      <c r="I190" s="71"/>
      <c r="J190" s="74"/>
      <c r="K190" s="75"/>
      <c r="N190" s="76"/>
      <c r="O190" s="76"/>
      <c r="P190" s="76"/>
      <c r="Q190" s="76"/>
    </row>
    <row r="191" spans="2:17" x14ac:dyDescent="0.25">
      <c r="B191" s="71"/>
      <c r="C191" s="78"/>
      <c r="D191" s="78"/>
      <c r="E191" s="78"/>
      <c r="F191" s="72"/>
      <c r="G191" s="72"/>
      <c r="H191" s="73"/>
      <c r="I191" s="71"/>
      <c r="J191" s="74"/>
      <c r="K191" s="75"/>
      <c r="N191" s="76"/>
      <c r="O191" s="76"/>
      <c r="P191" s="76"/>
      <c r="Q191" s="76"/>
    </row>
    <row r="192" spans="2:17" x14ac:dyDescent="0.25">
      <c r="B192" s="71"/>
      <c r="C192" s="78"/>
      <c r="D192" s="78"/>
      <c r="E192" s="78"/>
      <c r="F192" s="72"/>
      <c r="G192" s="72"/>
      <c r="H192" s="73"/>
      <c r="I192" s="71"/>
      <c r="J192" s="74"/>
      <c r="K192" s="75"/>
      <c r="N192" s="76"/>
      <c r="O192" s="76"/>
      <c r="P192" s="76"/>
      <c r="Q192" s="76"/>
    </row>
    <row r="193" spans="2:17" x14ac:dyDescent="0.25">
      <c r="B193" s="71"/>
      <c r="C193" s="78"/>
      <c r="D193" s="78"/>
      <c r="E193" s="78"/>
      <c r="F193" s="72"/>
      <c r="G193" s="72"/>
      <c r="H193" s="73"/>
      <c r="I193" s="71"/>
      <c r="J193" s="74"/>
      <c r="K193" s="75"/>
      <c r="N193" s="76"/>
      <c r="O193" s="76"/>
      <c r="P193" s="76"/>
      <c r="Q193" s="76"/>
    </row>
    <row r="194" spans="2:17" x14ac:dyDescent="0.25">
      <c r="B194" s="71"/>
      <c r="C194" s="78"/>
      <c r="D194" s="78"/>
      <c r="E194" s="78"/>
      <c r="F194" s="72"/>
      <c r="G194" s="72"/>
      <c r="H194" s="73"/>
      <c r="I194" s="71"/>
      <c r="J194" s="74"/>
      <c r="K194" s="75"/>
      <c r="N194" s="76"/>
      <c r="O194" s="76"/>
      <c r="P194" s="76"/>
      <c r="Q194" s="76"/>
    </row>
    <row r="195" spans="2:17" x14ac:dyDescent="0.25">
      <c r="B195" s="71"/>
      <c r="C195" s="78"/>
      <c r="D195" s="78"/>
      <c r="E195" s="78"/>
      <c r="F195" s="72"/>
      <c r="G195" s="72"/>
      <c r="H195" s="73"/>
      <c r="I195" s="71"/>
      <c r="J195" s="74"/>
      <c r="K195" s="75"/>
      <c r="N195" s="76"/>
      <c r="O195" s="76"/>
      <c r="P195" s="76"/>
      <c r="Q195" s="76"/>
    </row>
    <row r="196" spans="2:17" x14ac:dyDescent="0.25">
      <c r="B196" s="71"/>
      <c r="C196" s="78"/>
      <c r="D196" s="78"/>
      <c r="E196" s="78"/>
      <c r="F196" s="72"/>
      <c r="G196" s="72"/>
      <c r="H196" s="73"/>
      <c r="I196" s="71"/>
      <c r="J196" s="74"/>
      <c r="K196" s="75"/>
      <c r="N196" s="76"/>
      <c r="O196" s="76"/>
      <c r="P196" s="76"/>
      <c r="Q196" s="76"/>
    </row>
    <row r="197" spans="2:17" x14ac:dyDescent="0.25">
      <c r="B197" s="71"/>
      <c r="C197" s="78"/>
      <c r="D197" s="78"/>
      <c r="E197" s="78"/>
      <c r="F197" s="72"/>
      <c r="G197" s="72"/>
      <c r="H197" s="73"/>
      <c r="I197" s="71"/>
      <c r="J197" s="74"/>
      <c r="K197" s="75"/>
      <c r="N197" s="76"/>
      <c r="O197" s="76"/>
      <c r="P197" s="76"/>
      <c r="Q197" s="76"/>
    </row>
    <row r="198" spans="2:17" x14ac:dyDescent="0.25">
      <c r="B198" s="71"/>
      <c r="C198" s="78"/>
      <c r="D198" s="78"/>
      <c r="E198" s="78"/>
      <c r="F198" s="72"/>
      <c r="G198" s="72"/>
      <c r="H198" s="73"/>
      <c r="I198" s="71"/>
      <c r="J198" s="74"/>
      <c r="K198" s="75"/>
      <c r="N198" s="76"/>
      <c r="O198" s="76"/>
      <c r="P198" s="76"/>
      <c r="Q198" s="76"/>
    </row>
    <row r="199" spans="2:17" x14ac:dyDescent="0.25">
      <c r="B199" s="71"/>
      <c r="C199" s="78"/>
      <c r="D199" s="78"/>
      <c r="E199" s="78"/>
      <c r="F199" s="72"/>
      <c r="G199" s="72"/>
      <c r="H199" s="73"/>
      <c r="I199" s="71"/>
      <c r="J199" s="74"/>
      <c r="K199" s="75"/>
      <c r="N199" s="76"/>
      <c r="O199" s="76"/>
      <c r="P199" s="76"/>
      <c r="Q199" s="76"/>
    </row>
    <row r="200" spans="2:17" x14ac:dyDescent="0.25">
      <c r="B200" s="71"/>
      <c r="C200" s="78"/>
      <c r="D200" s="78"/>
      <c r="E200" s="78"/>
      <c r="F200" s="72"/>
      <c r="G200" s="72"/>
      <c r="H200" s="73"/>
      <c r="I200" s="71"/>
      <c r="J200" s="74"/>
      <c r="K200" s="75"/>
      <c r="N200" s="76"/>
      <c r="O200" s="76"/>
      <c r="P200" s="76"/>
      <c r="Q200" s="76"/>
    </row>
    <row r="201" spans="2:17" x14ac:dyDescent="0.25">
      <c r="B201" s="71"/>
      <c r="C201" s="78"/>
      <c r="D201" s="78"/>
      <c r="E201" s="78"/>
      <c r="F201" s="72"/>
      <c r="G201" s="72"/>
      <c r="H201" s="73"/>
      <c r="I201" s="71"/>
      <c r="J201" s="74"/>
      <c r="K201" s="75"/>
      <c r="N201" s="76"/>
      <c r="O201" s="76"/>
      <c r="P201" s="76"/>
      <c r="Q201" s="76"/>
    </row>
    <row r="202" spans="2:17" x14ac:dyDescent="0.25">
      <c r="B202" s="71"/>
      <c r="C202" s="78"/>
      <c r="D202" s="78"/>
      <c r="E202" s="78"/>
      <c r="F202" s="72"/>
      <c r="G202" s="72"/>
      <c r="H202" s="73"/>
      <c r="I202" s="71"/>
      <c r="J202" s="74"/>
      <c r="K202" s="75"/>
      <c r="N202" s="76"/>
      <c r="O202" s="76"/>
      <c r="P202" s="76"/>
      <c r="Q202" s="76"/>
    </row>
    <row r="203" spans="2:17" x14ac:dyDescent="0.25">
      <c r="B203" s="71"/>
      <c r="C203" s="78"/>
      <c r="D203" s="78"/>
      <c r="E203" s="78"/>
      <c r="F203" s="72"/>
      <c r="G203" s="72"/>
      <c r="H203" s="73"/>
      <c r="I203" s="71"/>
      <c r="J203" s="74"/>
      <c r="K203" s="75"/>
      <c r="N203" s="76"/>
      <c r="O203" s="76"/>
      <c r="P203" s="76"/>
      <c r="Q203" s="76"/>
    </row>
    <row r="204" spans="2:17" x14ac:dyDescent="0.25">
      <c r="B204" s="71"/>
      <c r="C204" s="78"/>
      <c r="D204" s="78"/>
      <c r="E204" s="78"/>
      <c r="F204" s="72"/>
      <c r="G204" s="72"/>
      <c r="H204" s="73"/>
      <c r="I204" s="71"/>
      <c r="J204" s="74"/>
      <c r="K204" s="75"/>
      <c r="N204" s="76"/>
      <c r="O204" s="76"/>
      <c r="P204" s="76"/>
      <c r="Q204" s="76"/>
    </row>
    <row r="205" spans="2:17" x14ac:dyDescent="0.25">
      <c r="B205" s="71"/>
      <c r="C205" s="78"/>
      <c r="D205" s="78"/>
      <c r="E205" s="78"/>
      <c r="F205" s="72"/>
      <c r="G205" s="72"/>
      <c r="H205" s="73"/>
      <c r="I205" s="71"/>
      <c r="J205" s="74"/>
      <c r="K205" s="75"/>
      <c r="N205" s="76"/>
      <c r="O205" s="76"/>
      <c r="P205" s="76"/>
      <c r="Q205" s="76"/>
    </row>
    <row r="206" spans="2:17" x14ac:dyDescent="0.25">
      <c r="B206" s="71"/>
      <c r="C206" s="78"/>
      <c r="D206" s="78"/>
      <c r="E206" s="78"/>
      <c r="F206" s="72"/>
      <c r="G206" s="72"/>
      <c r="H206" s="73"/>
      <c r="I206" s="71"/>
      <c r="J206" s="74"/>
      <c r="K206" s="75"/>
      <c r="N206" s="76"/>
      <c r="O206" s="76"/>
      <c r="P206" s="76"/>
      <c r="Q206" s="76"/>
    </row>
    <row r="207" spans="2:17" x14ac:dyDescent="0.25">
      <c r="B207" s="71"/>
      <c r="C207" s="78"/>
      <c r="D207" s="78"/>
      <c r="E207" s="78"/>
      <c r="F207" s="72"/>
      <c r="G207" s="72"/>
      <c r="H207" s="73"/>
      <c r="I207" s="71"/>
      <c r="J207" s="74"/>
      <c r="K207" s="75"/>
      <c r="N207" s="76"/>
      <c r="O207" s="76"/>
      <c r="P207" s="76"/>
      <c r="Q207" s="76"/>
    </row>
    <row r="208" spans="2:17" x14ac:dyDescent="0.25">
      <c r="B208" s="71"/>
      <c r="C208" s="78"/>
      <c r="D208" s="78"/>
      <c r="E208" s="78"/>
      <c r="F208" s="72"/>
      <c r="G208" s="72"/>
      <c r="H208" s="73"/>
      <c r="I208" s="71"/>
      <c r="J208" s="74"/>
      <c r="K208" s="75"/>
      <c r="N208" s="76"/>
      <c r="O208" s="76"/>
      <c r="P208" s="76"/>
      <c r="Q208" s="76"/>
    </row>
    <row r="209" spans="2:17" x14ac:dyDescent="0.25">
      <c r="B209" s="71"/>
      <c r="C209" s="78"/>
      <c r="D209" s="78"/>
      <c r="E209" s="78"/>
      <c r="F209" s="72"/>
      <c r="G209" s="72"/>
      <c r="H209" s="73"/>
      <c r="I209" s="71"/>
      <c r="J209" s="74"/>
      <c r="K209" s="75"/>
      <c r="N209" s="76"/>
      <c r="O209" s="76"/>
      <c r="P209" s="76"/>
      <c r="Q209" s="76"/>
    </row>
    <row r="210" spans="2:17" x14ac:dyDescent="0.25">
      <c r="B210" s="71"/>
      <c r="C210" s="78"/>
      <c r="D210" s="78"/>
      <c r="E210" s="78"/>
      <c r="F210" s="72"/>
      <c r="G210" s="72"/>
      <c r="H210" s="73"/>
      <c r="I210" s="71"/>
      <c r="J210" s="74"/>
      <c r="K210" s="75"/>
      <c r="N210" s="76"/>
      <c r="O210" s="76"/>
      <c r="P210" s="76"/>
      <c r="Q210" s="76"/>
    </row>
    <row r="211" spans="2:17" x14ac:dyDescent="0.25">
      <c r="B211" s="71"/>
      <c r="C211" s="78"/>
      <c r="D211" s="78"/>
      <c r="E211" s="78"/>
      <c r="F211" s="72"/>
      <c r="G211" s="72"/>
      <c r="H211" s="73"/>
      <c r="I211" s="71"/>
      <c r="J211" s="74"/>
      <c r="K211" s="75"/>
      <c r="N211" s="76"/>
      <c r="O211" s="76"/>
      <c r="P211" s="76"/>
      <c r="Q211" s="76"/>
    </row>
    <row r="212" spans="2:17" x14ac:dyDescent="0.25">
      <c r="B212" s="71"/>
      <c r="C212" s="78"/>
      <c r="D212" s="78"/>
      <c r="E212" s="78"/>
      <c r="F212" s="72"/>
      <c r="G212" s="72"/>
      <c r="H212" s="73"/>
      <c r="I212" s="71"/>
      <c r="J212" s="74"/>
      <c r="K212" s="75"/>
      <c r="N212" s="76"/>
      <c r="O212" s="76"/>
      <c r="P212" s="76"/>
      <c r="Q212" s="76"/>
    </row>
    <row r="213" spans="2:17" x14ac:dyDescent="0.25">
      <c r="B213" s="71"/>
      <c r="C213" s="78"/>
      <c r="D213" s="78"/>
      <c r="E213" s="78"/>
      <c r="F213" s="72"/>
      <c r="G213" s="72"/>
      <c r="H213" s="73"/>
      <c r="I213" s="71"/>
      <c r="J213" s="74"/>
      <c r="K213" s="75"/>
      <c r="N213" s="76"/>
      <c r="O213" s="76"/>
      <c r="P213" s="76"/>
      <c r="Q213" s="76"/>
    </row>
    <row r="214" spans="2:17" x14ac:dyDescent="0.25">
      <c r="B214" s="71"/>
      <c r="C214" s="78"/>
      <c r="D214" s="78"/>
      <c r="E214" s="78"/>
      <c r="F214" s="72"/>
      <c r="G214" s="72"/>
      <c r="H214" s="73"/>
      <c r="I214" s="71"/>
      <c r="J214" s="74"/>
      <c r="K214" s="75"/>
      <c r="N214" s="76"/>
      <c r="O214" s="76"/>
      <c r="P214" s="76"/>
      <c r="Q214" s="76"/>
    </row>
    <row r="215" spans="2:17" x14ac:dyDescent="0.25">
      <c r="B215" s="71"/>
      <c r="C215" s="78"/>
      <c r="D215" s="78"/>
      <c r="E215" s="78"/>
      <c r="F215" s="72"/>
      <c r="G215" s="72"/>
      <c r="H215" s="73"/>
      <c r="I215" s="71"/>
      <c r="J215" s="74"/>
      <c r="K215" s="75"/>
      <c r="N215" s="76"/>
      <c r="O215" s="76"/>
      <c r="P215" s="76"/>
      <c r="Q215" s="76"/>
    </row>
    <row r="216" spans="2:17" x14ac:dyDescent="0.25">
      <c r="B216" s="71"/>
      <c r="C216" s="78"/>
      <c r="D216" s="78"/>
      <c r="E216" s="78"/>
      <c r="F216" s="72"/>
      <c r="G216" s="72"/>
      <c r="H216" s="73"/>
      <c r="I216" s="71"/>
      <c r="J216" s="74"/>
      <c r="K216" s="75"/>
      <c r="N216" s="76"/>
      <c r="O216" s="76"/>
      <c r="P216" s="76"/>
      <c r="Q216" s="76"/>
    </row>
    <row r="217" spans="2:17" x14ac:dyDescent="0.25">
      <c r="B217" s="71"/>
      <c r="C217" s="78"/>
      <c r="D217" s="78"/>
      <c r="E217" s="78"/>
      <c r="F217" s="72"/>
      <c r="G217" s="72"/>
      <c r="H217" s="73"/>
      <c r="I217" s="71"/>
      <c r="J217" s="74"/>
      <c r="K217" s="75"/>
      <c r="N217" s="76"/>
      <c r="O217" s="76"/>
      <c r="P217" s="76"/>
      <c r="Q217" s="76"/>
    </row>
    <row r="218" spans="2:17" x14ac:dyDescent="0.25">
      <c r="B218" s="71"/>
      <c r="C218" s="78"/>
      <c r="D218" s="78"/>
      <c r="E218" s="78"/>
      <c r="F218" s="72"/>
      <c r="G218" s="72"/>
      <c r="H218" s="73"/>
      <c r="I218" s="71"/>
      <c r="J218" s="74"/>
      <c r="K218" s="75"/>
      <c r="N218" s="76"/>
      <c r="O218" s="76"/>
      <c r="P218" s="76"/>
      <c r="Q218" s="76"/>
    </row>
    <row r="219" spans="2:17" x14ac:dyDescent="0.25">
      <c r="B219" s="71"/>
      <c r="C219" s="78"/>
      <c r="D219" s="78"/>
      <c r="E219" s="78"/>
      <c r="F219" s="72"/>
      <c r="G219" s="72"/>
      <c r="H219" s="73"/>
      <c r="I219" s="71"/>
      <c r="J219" s="74"/>
      <c r="K219" s="75"/>
      <c r="N219" s="76"/>
      <c r="O219" s="76"/>
      <c r="P219" s="76"/>
      <c r="Q219" s="76"/>
    </row>
    <row r="220" spans="2:17" x14ac:dyDescent="0.25">
      <c r="B220" s="71"/>
      <c r="C220" s="78"/>
      <c r="D220" s="78"/>
      <c r="E220" s="78"/>
      <c r="F220" s="72"/>
      <c r="G220" s="72"/>
      <c r="H220" s="73"/>
      <c r="I220" s="71"/>
      <c r="J220" s="74"/>
      <c r="K220" s="75"/>
      <c r="N220" s="76"/>
      <c r="O220" s="76"/>
      <c r="P220" s="76"/>
      <c r="Q220" s="76"/>
    </row>
    <row r="221" spans="2:17" x14ac:dyDescent="0.25">
      <c r="B221" s="71"/>
      <c r="C221" s="78"/>
      <c r="D221" s="78"/>
      <c r="E221" s="78"/>
      <c r="F221" s="72"/>
      <c r="G221" s="72"/>
      <c r="H221" s="73"/>
      <c r="I221" s="71"/>
      <c r="J221" s="74"/>
      <c r="K221" s="75"/>
      <c r="N221" s="76"/>
      <c r="O221" s="76"/>
      <c r="P221" s="76"/>
      <c r="Q221" s="76"/>
    </row>
    <row r="222" spans="2:17" x14ac:dyDescent="0.25">
      <c r="B222" s="71"/>
      <c r="C222" s="78"/>
      <c r="D222" s="78"/>
      <c r="E222" s="78"/>
      <c r="F222" s="72"/>
      <c r="G222" s="72"/>
      <c r="H222" s="73"/>
      <c r="I222" s="71"/>
      <c r="J222" s="74"/>
      <c r="K222" s="75"/>
      <c r="N222" s="76"/>
      <c r="O222" s="76"/>
      <c r="P222" s="76"/>
      <c r="Q222" s="76"/>
    </row>
    <row r="223" spans="2:17" x14ac:dyDescent="0.25">
      <c r="B223" s="71"/>
      <c r="C223" s="78"/>
      <c r="D223" s="78"/>
      <c r="E223" s="78"/>
      <c r="F223" s="72"/>
      <c r="G223" s="72"/>
      <c r="H223" s="73"/>
      <c r="I223" s="71"/>
      <c r="J223" s="74"/>
      <c r="K223" s="75"/>
      <c r="N223" s="76"/>
      <c r="O223" s="76"/>
      <c r="P223" s="76"/>
      <c r="Q223" s="76"/>
    </row>
    <row r="224" spans="2:17" x14ac:dyDescent="0.25">
      <c r="B224" s="71"/>
      <c r="C224" s="78"/>
      <c r="D224" s="78"/>
      <c r="E224" s="78"/>
      <c r="F224" s="72"/>
      <c r="G224" s="72"/>
      <c r="H224" s="73"/>
      <c r="I224" s="71"/>
      <c r="J224" s="74"/>
      <c r="K224" s="75"/>
      <c r="N224" s="76"/>
      <c r="O224" s="76"/>
      <c r="P224" s="76"/>
      <c r="Q224" s="76"/>
    </row>
    <row r="225" spans="2:17" x14ac:dyDescent="0.25">
      <c r="B225" s="71"/>
      <c r="C225" s="78"/>
      <c r="D225" s="78"/>
      <c r="E225" s="78"/>
      <c r="F225" s="72"/>
      <c r="G225" s="72"/>
      <c r="H225" s="73"/>
      <c r="I225" s="71"/>
      <c r="J225" s="74"/>
      <c r="K225" s="75"/>
      <c r="N225" s="76"/>
      <c r="O225" s="76"/>
      <c r="P225" s="76"/>
      <c r="Q225" s="76"/>
    </row>
    <row r="226" spans="2:17" x14ac:dyDescent="0.25">
      <c r="B226" s="71"/>
      <c r="C226" s="78"/>
      <c r="D226" s="78"/>
      <c r="E226" s="78"/>
      <c r="F226" s="72"/>
      <c r="G226" s="72"/>
      <c r="H226" s="73"/>
      <c r="I226" s="71"/>
      <c r="J226" s="74"/>
      <c r="K226" s="75"/>
      <c r="N226" s="76"/>
      <c r="O226" s="76"/>
      <c r="P226" s="76"/>
      <c r="Q226" s="76"/>
    </row>
    <row r="227" spans="2:17" x14ac:dyDescent="0.25">
      <c r="B227" s="71"/>
      <c r="C227" s="78"/>
      <c r="D227" s="78"/>
      <c r="E227" s="78"/>
      <c r="F227" s="72"/>
      <c r="G227" s="72"/>
      <c r="H227" s="73"/>
      <c r="I227" s="71"/>
      <c r="J227" s="74"/>
      <c r="K227" s="75"/>
      <c r="N227" s="76"/>
      <c r="O227" s="76"/>
      <c r="P227" s="76"/>
      <c r="Q227" s="76"/>
    </row>
    <row r="228" spans="2:17" x14ac:dyDescent="0.25">
      <c r="B228" s="71"/>
      <c r="C228" s="78"/>
      <c r="D228" s="78"/>
      <c r="E228" s="78"/>
      <c r="F228" s="72"/>
      <c r="G228" s="72"/>
      <c r="H228" s="73"/>
      <c r="I228" s="71"/>
      <c r="J228" s="74"/>
      <c r="K228" s="75"/>
      <c r="N228" s="76"/>
      <c r="O228" s="76"/>
      <c r="P228" s="76"/>
      <c r="Q228" s="76"/>
    </row>
    <row r="229" spans="2:17" x14ac:dyDescent="0.25">
      <c r="B229" s="71"/>
      <c r="C229" s="78"/>
      <c r="D229" s="78"/>
      <c r="E229" s="78"/>
      <c r="F229" s="72"/>
      <c r="G229" s="72"/>
      <c r="H229" s="73"/>
      <c r="I229" s="71"/>
      <c r="J229" s="74"/>
      <c r="K229" s="75"/>
      <c r="N229" s="76"/>
      <c r="O229" s="76"/>
      <c r="P229" s="76"/>
      <c r="Q229" s="76"/>
    </row>
    <row r="230" spans="2:17" x14ac:dyDescent="0.25">
      <c r="B230" s="71"/>
      <c r="C230" s="78"/>
      <c r="D230" s="78"/>
      <c r="E230" s="78"/>
      <c r="F230" s="72"/>
      <c r="G230" s="72"/>
      <c r="H230" s="73"/>
      <c r="I230" s="71"/>
      <c r="J230" s="74"/>
      <c r="K230" s="75"/>
      <c r="N230" s="76"/>
      <c r="O230" s="76"/>
      <c r="P230" s="76"/>
      <c r="Q230" s="76"/>
    </row>
    <row r="231" spans="2:17" x14ac:dyDescent="0.25">
      <c r="B231" s="71"/>
      <c r="C231" s="78"/>
      <c r="D231" s="78"/>
      <c r="E231" s="78"/>
      <c r="F231" s="72"/>
      <c r="G231" s="72"/>
      <c r="H231" s="73"/>
      <c r="I231" s="71"/>
      <c r="J231" s="74"/>
      <c r="K231" s="75"/>
      <c r="N231" s="76"/>
      <c r="O231" s="76"/>
      <c r="P231" s="76"/>
      <c r="Q231" s="76"/>
    </row>
    <row r="232" spans="2:17" x14ac:dyDescent="0.25">
      <c r="B232" s="71"/>
      <c r="C232" s="78"/>
      <c r="D232" s="78"/>
      <c r="E232" s="78"/>
      <c r="F232" s="72"/>
      <c r="G232" s="72"/>
      <c r="H232" s="73"/>
      <c r="I232" s="71"/>
      <c r="J232" s="74"/>
      <c r="K232" s="75"/>
      <c r="N232" s="76"/>
      <c r="O232" s="76"/>
      <c r="P232" s="76"/>
      <c r="Q232" s="76"/>
    </row>
    <row r="233" spans="2:17" x14ac:dyDescent="0.25">
      <c r="B233" s="71"/>
      <c r="C233" s="78"/>
      <c r="D233" s="78"/>
      <c r="E233" s="78"/>
      <c r="F233" s="72"/>
      <c r="G233" s="72"/>
      <c r="H233" s="73"/>
      <c r="I233" s="71"/>
      <c r="J233" s="74"/>
      <c r="K233" s="75"/>
      <c r="N233" s="76"/>
      <c r="O233" s="76"/>
      <c r="P233" s="76"/>
      <c r="Q233" s="76"/>
    </row>
    <row r="234" spans="2:17" x14ac:dyDescent="0.25">
      <c r="B234" s="71"/>
      <c r="C234" s="78"/>
      <c r="D234" s="78"/>
      <c r="E234" s="78"/>
      <c r="F234" s="72"/>
      <c r="G234" s="72"/>
      <c r="H234" s="73"/>
      <c r="I234" s="71"/>
      <c r="J234" s="74"/>
      <c r="K234" s="75"/>
      <c r="N234" s="76"/>
      <c r="O234" s="76"/>
      <c r="P234" s="76"/>
      <c r="Q234" s="76"/>
    </row>
    <row r="235" spans="2:17" x14ac:dyDescent="0.25">
      <c r="B235" s="71"/>
      <c r="C235" s="78"/>
      <c r="D235" s="78"/>
      <c r="E235" s="78"/>
      <c r="F235" s="72"/>
      <c r="G235" s="72"/>
      <c r="H235" s="73"/>
      <c r="I235" s="71"/>
      <c r="J235" s="74"/>
      <c r="K235" s="75"/>
      <c r="N235" s="76"/>
      <c r="O235" s="76"/>
      <c r="P235" s="76"/>
      <c r="Q235" s="76"/>
    </row>
    <row r="236" spans="2:17" x14ac:dyDescent="0.25">
      <c r="B236" s="71"/>
      <c r="C236" s="78"/>
      <c r="D236" s="78"/>
      <c r="E236" s="78"/>
      <c r="F236" s="72"/>
      <c r="G236" s="72"/>
      <c r="H236" s="73"/>
      <c r="I236" s="71"/>
      <c r="J236" s="74"/>
      <c r="K236" s="75"/>
      <c r="N236" s="76"/>
      <c r="O236" s="76"/>
      <c r="P236" s="76"/>
      <c r="Q236" s="76"/>
    </row>
    <row r="237" spans="2:17" x14ac:dyDescent="0.25">
      <c r="B237" s="71"/>
      <c r="C237" s="78"/>
      <c r="D237" s="78"/>
      <c r="E237" s="78"/>
      <c r="F237" s="72"/>
      <c r="G237" s="72"/>
      <c r="H237" s="73"/>
      <c r="I237" s="71"/>
      <c r="J237" s="74"/>
      <c r="K237" s="75"/>
      <c r="N237" s="76"/>
      <c r="O237" s="76"/>
      <c r="P237" s="76"/>
      <c r="Q237" s="76"/>
    </row>
    <row r="238" spans="2:17" x14ac:dyDescent="0.25">
      <c r="B238" s="71"/>
      <c r="C238" s="78"/>
      <c r="D238" s="78"/>
      <c r="E238" s="78"/>
      <c r="F238" s="72"/>
      <c r="G238" s="72"/>
      <c r="H238" s="73"/>
      <c r="I238" s="71"/>
      <c r="J238" s="74"/>
      <c r="K238" s="75"/>
      <c r="N238" s="76"/>
      <c r="O238" s="76"/>
      <c r="P238" s="76"/>
      <c r="Q238" s="76"/>
    </row>
    <row r="239" spans="2:17" x14ac:dyDescent="0.25">
      <c r="B239" s="71"/>
      <c r="C239" s="78"/>
      <c r="D239" s="78"/>
      <c r="E239" s="78"/>
      <c r="F239" s="72"/>
      <c r="G239" s="72"/>
      <c r="H239" s="73"/>
      <c r="I239" s="71"/>
      <c r="J239" s="74"/>
      <c r="K239" s="75"/>
      <c r="N239" s="76"/>
      <c r="O239" s="76"/>
      <c r="P239" s="76"/>
      <c r="Q239" s="76"/>
    </row>
    <row r="240" spans="2:17" x14ac:dyDescent="0.25">
      <c r="B240" s="71"/>
      <c r="C240" s="78"/>
      <c r="D240" s="78"/>
      <c r="E240" s="78"/>
      <c r="F240" s="72"/>
      <c r="G240" s="72"/>
      <c r="H240" s="73"/>
      <c r="I240" s="71"/>
      <c r="J240" s="74"/>
      <c r="K240" s="75"/>
      <c r="N240" s="76"/>
      <c r="O240" s="76"/>
      <c r="P240" s="76"/>
      <c r="Q240" s="76"/>
    </row>
    <row r="241" spans="2:17" x14ac:dyDescent="0.25">
      <c r="B241" s="71"/>
      <c r="C241" s="78"/>
      <c r="D241" s="78"/>
      <c r="E241" s="78"/>
      <c r="F241" s="72"/>
      <c r="G241" s="72"/>
      <c r="H241" s="73"/>
      <c r="I241" s="71"/>
      <c r="J241" s="74"/>
      <c r="K241" s="75"/>
      <c r="N241" s="76"/>
      <c r="O241" s="76"/>
      <c r="P241" s="76"/>
      <c r="Q241" s="76"/>
    </row>
    <row r="242" spans="2:17" x14ac:dyDescent="0.25">
      <c r="B242" s="71"/>
      <c r="C242" s="78"/>
      <c r="D242" s="78"/>
      <c r="E242" s="78"/>
      <c r="F242" s="72"/>
      <c r="G242" s="72"/>
      <c r="H242" s="73"/>
      <c r="I242" s="71"/>
      <c r="J242" s="74"/>
      <c r="K242" s="75"/>
      <c r="N242" s="76"/>
      <c r="O242" s="76"/>
      <c r="P242" s="76"/>
      <c r="Q242" s="76"/>
    </row>
    <row r="243" spans="2:17" x14ac:dyDescent="0.25">
      <c r="B243" s="71"/>
      <c r="C243" s="78"/>
      <c r="D243" s="78"/>
      <c r="E243" s="78"/>
      <c r="F243" s="72"/>
      <c r="G243" s="72"/>
      <c r="H243" s="73"/>
      <c r="I243" s="71"/>
      <c r="J243" s="74"/>
      <c r="K243" s="75"/>
      <c r="N243" s="76"/>
      <c r="O243" s="76"/>
      <c r="P243" s="76"/>
      <c r="Q243" s="76"/>
    </row>
    <row r="244" spans="2:17" x14ac:dyDescent="0.25">
      <c r="B244" s="71"/>
      <c r="C244" s="78"/>
      <c r="D244" s="78"/>
      <c r="E244" s="78"/>
      <c r="F244" s="72"/>
      <c r="G244" s="72"/>
      <c r="H244" s="73"/>
      <c r="I244" s="71"/>
      <c r="J244" s="74"/>
      <c r="K244" s="75"/>
      <c r="N244" s="76"/>
      <c r="O244" s="76"/>
      <c r="P244" s="76"/>
      <c r="Q244" s="76"/>
    </row>
    <row r="245" spans="2:17" x14ac:dyDescent="0.25">
      <c r="B245" s="71"/>
      <c r="C245" s="78"/>
      <c r="D245" s="78"/>
      <c r="E245" s="78"/>
      <c r="F245" s="72"/>
      <c r="G245" s="72"/>
      <c r="H245" s="73"/>
      <c r="I245" s="71"/>
      <c r="J245" s="74"/>
      <c r="K245" s="75"/>
      <c r="N245" s="76"/>
      <c r="O245" s="76"/>
      <c r="P245" s="76"/>
      <c r="Q245" s="76"/>
    </row>
    <row r="246" spans="2:17" x14ac:dyDescent="0.25">
      <c r="B246" s="71"/>
      <c r="C246" s="78"/>
      <c r="D246" s="78"/>
      <c r="E246" s="78"/>
      <c r="F246" s="72"/>
      <c r="G246" s="72"/>
      <c r="H246" s="73"/>
      <c r="I246" s="71"/>
      <c r="J246" s="74"/>
      <c r="K246" s="75"/>
      <c r="N246" s="76"/>
      <c r="O246" s="76"/>
      <c r="P246" s="76"/>
      <c r="Q246" s="76"/>
    </row>
    <row r="247" spans="2:17" x14ac:dyDescent="0.25">
      <c r="B247" s="71"/>
      <c r="C247" s="78"/>
      <c r="D247" s="78"/>
      <c r="E247" s="78"/>
      <c r="F247" s="72"/>
      <c r="G247" s="72"/>
      <c r="H247" s="73"/>
      <c r="I247" s="71"/>
      <c r="J247" s="74"/>
      <c r="K247" s="75"/>
      <c r="N247" s="76"/>
      <c r="O247" s="76"/>
      <c r="P247" s="76"/>
      <c r="Q247" s="76"/>
    </row>
    <row r="248" spans="2:17" x14ac:dyDescent="0.25">
      <c r="B248" s="71"/>
      <c r="C248" s="78"/>
      <c r="D248" s="78"/>
      <c r="E248" s="78"/>
      <c r="F248" s="72"/>
      <c r="G248" s="72"/>
      <c r="H248" s="73"/>
      <c r="I248" s="71"/>
      <c r="J248" s="74"/>
      <c r="K248" s="75"/>
      <c r="N248" s="76"/>
      <c r="O248" s="76"/>
      <c r="P248" s="76"/>
      <c r="Q248" s="76"/>
    </row>
    <row r="249" spans="2:17" x14ac:dyDescent="0.25">
      <c r="B249" s="71"/>
      <c r="C249" s="78"/>
      <c r="D249" s="78"/>
      <c r="E249" s="78"/>
      <c r="F249" s="72"/>
      <c r="G249" s="72"/>
      <c r="H249" s="73"/>
      <c r="I249" s="71"/>
      <c r="J249" s="74"/>
      <c r="K249" s="75"/>
      <c r="N249" s="76"/>
      <c r="O249" s="76"/>
      <c r="P249" s="76"/>
      <c r="Q249" s="76"/>
    </row>
    <row r="250" spans="2:17" x14ac:dyDescent="0.25">
      <c r="B250" s="71"/>
      <c r="C250" s="78"/>
      <c r="D250" s="78"/>
      <c r="E250" s="78"/>
      <c r="F250" s="72"/>
      <c r="G250" s="72"/>
      <c r="H250" s="73"/>
      <c r="I250" s="71"/>
      <c r="J250" s="74"/>
      <c r="K250" s="75"/>
      <c r="N250" s="76"/>
      <c r="O250" s="76"/>
      <c r="P250" s="76"/>
      <c r="Q250" s="76"/>
    </row>
    <row r="251" spans="2:17" x14ac:dyDescent="0.25">
      <c r="B251" s="71"/>
      <c r="C251" s="78"/>
      <c r="D251" s="78"/>
      <c r="E251" s="78"/>
      <c r="F251" s="72"/>
      <c r="G251" s="72"/>
      <c r="H251" s="73"/>
      <c r="I251" s="71"/>
      <c r="J251" s="74"/>
      <c r="K251" s="75"/>
      <c r="N251" s="76"/>
      <c r="O251" s="76"/>
      <c r="P251" s="76"/>
      <c r="Q251" s="76"/>
    </row>
    <row r="252" spans="2:17" x14ac:dyDescent="0.25">
      <c r="B252" s="71"/>
      <c r="C252" s="78"/>
      <c r="D252" s="78"/>
      <c r="E252" s="78"/>
      <c r="F252" s="72"/>
      <c r="G252" s="72"/>
      <c r="H252" s="73"/>
      <c r="I252" s="71"/>
      <c r="J252" s="74"/>
      <c r="K252" s="75"/>
      <c r="N252" s="76"/>
      <c r="O252" s="76"/>
      <c r="P252" s="76"/>
      <c r="Q252" s="76"/>
    </row>
    <row r="253" spans="2:17" x14ac:dyDescent="0.25">
      <c r="B253" s="71"/>
      <c r="C253" s="78"/>
      <c r="D253" s="78"/>
      <c r="E253" s="78"/>
      <c r="F253" s="72"/>
      <c r="G253" s="72"/>
      <c r="H253" s="73"/>
      <c r="I253" s="71"/>
      <c r="J253" s="74"/>
      <c r="K253" s="75"/>
      <c r="N253" s="76"/>
      <c r="O253" s="76"/>
      <c r="P253" s="76"/>
      <c r="Q253" s="76"/>
    </row>
    <row r="254" spans="2:17" x14ac:dyDescent="0.25">
      <c r="B254" s="71"/>
      <c r="C254" s="78"/>
      <c r="D254" s="78"/>
      <c r="E254" s="78"/>
      <c r="F254" s="72"/>
      <c r="G254" s="72"/>
      <c r="H254" s="73"/>
      <c r="I254" s="71"/>
      <c r="J254" s="74"/>
      <c r="K254" s="75"/>
      <c r="N254" s="76"/>
      <c r="O254" s="76"/>
      <c r="P254" s="76"/>
      <c r="Q254" s="76"/>
    </row>
    <row r="255" spans="2:17" x14ac:dyDescent="0.25">
      <c r="B255" s="71"/>
      <c r="C255" s="78"/>
      <c r="D255" s="78"/>
      <c r="E255" s="78"/>
      <c r="F255" s="72"/>
      <c r="G255" s="72"/>
      <c r="H255" s="73"/>
      <c r="I255" s="71"/>
      <c r="J255" s="74"/>
      <c r="K255" s="75"/>
      <c r="N255" s="76"/>
      <c r="O255" s="76"/>
      <c r="P255" s="76"/>
      <c r="Q255" s="76"/>
    </row>
    <row r="256" spans="2:17" x14ac:dyDescent="0.25">
      <c r="B256" s="71"/>
      <c r="C256" s="78"/>
      <c r="D256" s="78"/>
      <c r="E256" s="78"/>
      <c r="F256" s="72"/>
      <c r="G256" s="72"/>
      <c r="H256" s="73"/>
      <c r="I256" s="71"/>
      <c r="J256" s="74"/>
      <c r="K256" s="75"/>
      <c r="N256" s="76"/>
      <c r="O256" s="76"/>
      <c r="P256" s="76"/>
      <c r="Q256" s="76"/>
    </row>
    <row r="257" spans="2:17" x14ac:dyDescent="0.25">
      <c r="B257" s="71"/>
      <c r="C257" s="78"/>
      <c r="D257" s="78"/>
      <c r="E257" s="78"/>
      <c r="F257" s="72"/>
      <c r="G257" s="72"/>
      <c r="H257" s="73"/>
      <c r="I257" s="71"/>
      <c r="J257" s="74"/>
      <c r="K257" s="75"/>
      <c r="N257" s="76"/>
      <c r="O257" s="76"/>
      <c r="P257" s="76"/>
      <c r="Q257" s="76"/>
    </row>
    <row r="258" spans="2:17" x14ac:dyDescent="0.25">
      <c r="B258" s="71"/>
      <c r="C258" s="78"/>
      <c r="D258" s="78"/>
      <c r="E258" s="78"/>
      <c r="F258" s="72"/>
      <c r="G258" s="72"/>
      <c r="H258" s="73"/>
      <c r="I258" s="71"/>
      <c r="J258" s="74"/>
      <c r="K258" s="75"/>
      <c r="N258" s="76"/>
      <c r="O258" s="76"/>
      <c r="P258" s="76"/>
      <c r="Q258" s="76"/>
    </row>
    <row r="260" spans="2:17" x14ac:dyDescent="0.25">
      <c r="B260" s="71"/>
      <c r="C260" s="78"/>
      <c r="D260" s="78"/>
      <c r="E260" s="78"/>
      <c r="F260" s="72"/>
      <c r="G260" s="72"/>
      <c r="H260" s="73"/>
      <c r="I260" s="71"/>
      <c r="J260" s="74"/>
      <c r="K260" s="75"/>
      <c r="N260" s="76"/>
      <c r="O260" s="76"/>
      <c r="P260" s="76"/>
      <c r="Q260" s="76"/>
    </row>
    <row r="261" spans="2:17" x14ac:dyDescent="0.25">
      <c r="B261" s="71"/>
      <c r="C261" s="78"/>
      <c r="D261" s="78"/>
      <c r="E261" s="78"/>
      <c r="F261" s="72"/>
      <c r="G261" s="72"/>
      <c r="H261" s="73"/>
      <c r="I261" s="71"/>
      <c r="J261" s="74"/>
      <c r="K261" s="75"/>
      <c r="N261" s="76"/>
      <c r="O261" s="76"/>
      <c r="P261" s="76"/>
      <c r="Q261" s="76"/>
    </row>
    <row r="262" spans="2:17" x14ac:dyDescent="0.25">
      <c r="B262" s="71"/>
      <c r="C262" s="78"/>
      <c r="D262" s="78"/>
      <c r="E262" s="78"/>
      <c r="F262" s="72"/>
      <c r="G262" s="72"/>
      <c r="H262" s="73"/>
      <c r="I262" s="71"/>
      <c r="J262" s="74"/>
      <c r="K262" s="75"/>
      <c r="N262" s="76"/>
      <c r="O262" s="76"/>
      <c r="P262" s="76"/>
      <c r="Q262" s="76"/>
    </row>
    <row r="263" spans="2:17" x14ac:dyDescent="0.25">
      <c r="B263" s="71"/>
      <c r="C263" s="78"/>
      <c r="D263" s="78"/>
      <c r="E263" s="78"/>
      <c r="F263" s="72"/>
      <c r="G263" s="72"/>
      <c r="H263" s="73"/>
      <c r="I263" s="71"/>
      <c r="J263" s="74"/>
      <c r="K263" s="75"/>
      <c r="N263" s="76"/>
      <c r="O263" s="76"/>
      <c r="P263" s="76"/>
      <c r="Q263" s="76"/>
    </row>
    <row r="264" spans="2:17" x14ac:dyDescent="0.25">
      <c r="B264" s="71"/>
      <c r="C264" s="78"/>
      <c r="D264" s="78"/>
      <c r="E264" s="78"/>
      <c r="F264" s="72"/>
      <c r="G264" s="72"/>
      <c r="H264" s="73"/>
      <c r="I264" s="71"/>
      <c r="J264" s="74"/>
      <c r="K264" s="75"/>
      <c r="N264" s="76"/>
      <c r="O264" s="76"/>
      <c r="P264" s="76"/>
      <c r="Q264" s="76"/>
    </row>
    <row r="265" spans="2:17" x14ac:dyDescent="0.25">
      <c r="B265" s="71"/>
      <c r="C265" s="78"/>
      <c r="D265" s="78"/>
      <c r="E265" s="78"/>
      <c r="F265" s="72"/>
      <c r="G265" s="72"/>
      <c r="H265" s="73"/>
      <c r="I265" s="71"/>
      <c r="J265" s="74"/>
      <c r="K265" s="75"/>
      <c r="N265" s="76"/>
      <c r="O265" s="76"/>
      <c r="P265" s="76"/>
      <c r="Q265" s="76"/>
    </row>
    <row r="266" spans="2:17" x14ac:dyDescent="0.25">
      <c r="B266" s="71"/>
      <c r="C266" s="78"/>
      <c r="D266" s="78"/>
      <c r="E266" s="78"/>
      <c r="F266" s="72"/>
      <c r="G266" s="72"/>
      <c r="H266" s="73"/>
      <c r="I266" s="71"/>
      <c r="J266" s="74"/>
      <c r="K266" s="75"/>
      <c r="N266" s="76"/>
      <c r="O266" s="76"/>
      <c r="P266" s="76"/>
      <c r="Q266" s="76"/>
    </row>
    <row r="267" spans="2:17" x14ac:dyDescent="0.25">
      <c r="B267" s="71"/>
      <c r="C267" s="78"/>
      <c r="D267" s="78"/>
      <c r="E267" s="78"/>
      <c r="F267" s="72"/>
      <c r="G267" s="72"/>
      <c r="H267" s="73"/>
      <c r="I267" s="71"/>
      <c r="J267" s="74"/>
      <c r="K267" s="75"/>
      <c r="N267" s="76"/>
      <c r="O267" s="76"/>
      <c r="P267" s="76"/>
      <c r="Q267" s="76"/>
    </row>
    <row r="268" spans="2:17" x14ac:dyDescent="0.25">
      <c r="B268" s="71"/>
      <c r="C268" s="78"/>
      <c r="D268" s="78"/>
      <c r="E268" s="78"/>
      <c r="F268" s="72"/>
      <c r="G268" s="72"/>
      <c r="H268" s="73"/>
      <c r="I268" s="71"/>
      <c r="J268" s="74"/>
      <c r="K268" s="75"/>
      <c r="N268" s="76"/>
      <c r="O268" s="76"/>
      <c r="P268" s="76"/>
      <c r="Q268" s="76"/>
    </row>
    <row r="269" spans="2:17" x14ac:dyDescent="0.25">
      <c r="B269" s="71"/>
      <c r="C269" s="78"/>
      <c r="D269" s="78"/>
      <c r="E269" s="78"/>
      <c r="F269" s="72"/>
      <c r="G269" s="72"/>
      <c r="H269" s="73"/>
      <c r="I269" s="71"/>
      <c r="J269" s="74"/>
      <c r="K269" s="75"/>
      <c r="N269" s="76"/>
      <c r="O269" s="76"/>
      <c r="P269" s="76"/>
      <c r="Q269" s="76"/>
    </row>
    <row r="270" spans="2:17" x14ac:dyDescent="0.25">
      <c r="B270" s="71"/>
      <c r="C270" s="78"/>
      <c r="D270" s="78"/>
      <c r="E270" s="78"/>
      <c r="F270" s="72"/>
      <c r="G270" s="72"/>
      <c r="H270" s="73"/>
      <c r="I270" s="71"/>
      <c r="J270" s="74"/>
      <c r="K270" s="75"/>
      <c r="N270" s="76"/>
      <c r="O270" s="76"/>
      <c r="P270" s="76"/>
      <c r="Q270" s="76"/>
    </row>
    <row r="271" spans="2:17" x14ac:dyDescent="0.25">
      <c r="B271" s="71"/>
      <c r="C271" s="78"/>
      <c r="D271" s="78"/>
      <c r="E271" s="78"/>
      <c r="F271" s="72"/>
      <c r="G271" s="72"/>
      <c r="H271" s="73"/>
      <c r="I271" s="71"/>
      <c r="J271" s="74"/>
      <c r="K271" s="75"/>
      <c r="N271" s="76"/>
      <c r="O271" s="76"/>
      <c r="P271" s="76"/>
      <c r="Q271" s="76"/>
    </row>
    <row r="272" spans="2:17" x14ac:dyDescent="0.25">
      <c r="B272" s="317"/>
      <c r="C272" s="317"/>
      <c r="D272" s="317"/>
      <c r="E272" s="317"/>
      <c r="F272" s="317"/>
      <c r="G272" s="317"/>
      <c r="H272" s="317"/>
      <c r="I272" s="317"/>
      <c r="J272" s="317"/>
      <c r="K272" s="317"/>
      <c r="N272" s="80"/>
      <c r="O272" s="80"/>
      <c r="P272" s="80"/>
      <c r="Q272" s="80"/>
    </row>
    <row r="273" spans="8:17" x14ac:dyDescent="0.25">
      <c r="H273" s="81"/>
      <c r="Q273" s="76"/>
    </row>
  </sheetData>
  <autoFilter ref="B4:Q272"/>
  <mergeCells count="3">
    <mergeCell ref="B3:Q3"/>
    <mergeCell ref="B272:K272"/>
    <mergeCell ref="B15:K15"/>
  </mergeCells>
  <pageMargins left="0.25" right="0.25" top="0.75" bottom="0.75" header="0.3" footer="0.3"/>
  <pageSetup paperSize="9" scale="5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398"/>
  <sheetViews>
    <sheetView workbookViewId="0">
      <selection activeCell="B4" sqref="B4"/>
    </sheetView>
  </sheetViews>
  <sheetFormatPr defaultRowHeight="15" x14ac:dyDescent="0.25"/>
  <cols>
    <col min="1" max="2" width="9.140625" style="83"/>
    <col min="3" max="3" width="22.5703125" style="83" customWidth="1"/>
    <col min="4" max="4" width="18.5703125" style="83" customWidth="1"/>
    <col min="5" max="5" width="10.42578125" style="83" customWidth="1"/>
    <col min="6" max="6" width="15" style="83" customWidth="1"/>
    <col min="7" max="7" width="13.5703125" style="83" customWidth="1"/>
    <col min="8" max="8" width="11.5703125" style="83" bestFit="1" customWidth="1"/>
    <col min="9" max="9" width="16.28515625" style="83" customWidth="1"/>
    <col min="10" max="10" width="9.140625" style="83"/>
    <col min="11" max="11" width="13.28515625" style="83" customWidth="1"/>
    <col min="12" max="13" width="16.28515625" style="84" customWidth="1"/>
    <col min="14" max="14" width="17.42578125" style="83" bestFit="1" customWidth="1"/>
    <col min="15" max="15" width="15.42578125" style="83" customWidth="1"/>
    <col min="16" max="16" width="10.85546875" style="83" customWidth="1"/>
    <col min="17" max="17" width="20.5703125" style="83" customWidth="1"/>
    <col min="18" max="16384" width="9.140625" style="83"/>
  </cols>
  <sheetData>
    <row r="2" spans="2:17" x14ac:dyDescent="0.25">
      <c r="C2" s="252"/>
    </row>
    <row r="3" spans="2:17" s="82" customFormat="1" x14ac:dyDescent="0.25">
      <c r="B3" s="315" t="s">
        <v>395</v>
      </c>
      <c r="C3" s="315"/>
      <c r="D3" s="315"/>
      <c r="E3" s="315"/>
      <c r="F3" s="315"/>
      <c r="G3" s="315"/>
      <c r="H3" s="315"/>
      <c r="I3" s="315"/>
      <c r="J3" s="315"/>
      <c r="K3" s="315"/>
      <c r="L3" s="315"/>
      <c r="M3" s="315"/>
      <c r="N3" s="315"/>
      <c r="O3" s="315"/>
      <c r="P3" s="315"/>
      <c r="Q3" s="315"/>
    </row>
    <row r="4" spans="2:17" s="82" customFormat="1" ht="57.75" x14ac:dyDescent="0.25">
      <c r="B4" s="2" t="s">
        <v>2</v>
      </c>
      <c r="C4" s="2" t="s">
        <v>3</v>
      </c>
      <c r="D4" s="2" t="s">
        <v>60</v>
      </c>
      <c r="E4" s="2" t="s">
        <v>61</v>
      </c>
      <c r="F4" s="2" t="s">
        <v>4</v>
      </c>
      <c r="G4" s="2" t="s">
        <v>5</v>
      </c>
      <c r="H4" s="2" t="s">
        <v>183</v>
      </c>
      <c r="I4" s="2" t="s">
        <v>184</v>
      </c>
      <c r="J4" s="2" t="s">
        <v>22</v>
      </c>
      <c r="K4" s="2" t="s">
        <v>7</v>
      </c>
      <c r="L4" s="49" t="s">
        <v>8</v>
      </c>
      <c r="M4" s="49" t="s">
        <v>41</v>
      </c>
      <c r="N4" s="3" t="s">
        <v>10</v>
      </c>
      <c r="O4" s="3" t="s">
        <v>23</v>
      </c>
      <c r="P4" s="3" t="s">
        <v>42</v>
      </c>
      <c r="Q4" s="3" t="s">
        <v>11</v>
      </c>
    </row>
    <row r="5" spans="2:17" x14ac:dyDescent="0.25">
      <c r="B5" s="45">
        <v>1</v>
      </c>
      <c r="C5" s="50" t="s">
        <v>75</v>
      </c>
      <c r="D5" s="60" t="s">
        <v>83</v>
      </c>
      <c r="E5" s="58">
        <v>1</v>
      </c>
      <c r="F5" s="136">
        <v>2006</v>
      </c>
      <c r="G5" s="89">
        <v>44438</v>
      </c>
      <c r="H5" s="48">
        <f>YEAR(G5)-F5</f>
        <v>15</v>
      </c>
      <c r="I5" s="45">
        <v>6</v>
      </c>
      <c r="J5" s="47">
        <v>0.05</v>
      </c>
      <c r="K5" s="55">
        <f t="shared" ref="K5:K6" si="0">(1-J5)/I5</f>
        <v>0.15833333333333333</v>
      </c>
      <c r="L5" s="59">
        <v>4766415.25</v>
      </c>
      <c r="M5" s="53">
        <v>169936.21</v>
      </c>
      <c r="N5" s="103">
        <f>L5*H5*K5</f>
        <v>11320236.21875</v>
      </c>
      <c r="O5" s="103">
        <f>MAX(L5-N5,0)</f>
        <v>0</v>
      </c>
      <c r="P5" s="104">
        <v>0.05</v>
      </c>
      <c r="Q5" s="28">
        <f>IF(O5&gt;=L5*J5,O5*(1-P5),L5*J5)</f>
        <v>238320.76250000001</v>
      </c>
    </row>
    <row r="6" spans="2:17" x14ac:dyDescent="0.25">
      <c r="B6" s="45">
        <v>2</v>
      </c>
      <c r="C6" s="50" t="s">
        <v>53</v>
      </c>
      <c r="D6" s="60" t="s">
        <v>83</v>
      </c>
      <c r="E6" s="52">
        <v>1</v>
      </c>
      <c r="F6" s="56" t="s">
        <v>84</v>
      </c>
      <c r="G6" s="89">
        <v>44438</v>
      </c>
      <c r="H6" s="48">
        <f t="shared" ref="H6" si="1">(G6-F6)/(EDATE(G6,12)-G6)</f>
        <v>11.172602739726027</v>
      </c>
      <c r="I6" s="45">
        <v>6</v>
      </c>
      <c r="J6" s="47">
        <v>0.05</v>
      </c>
      <c r="K6" s="55">
        <f t="shared" si="0"/>
        <v>0.15833333333333333</v>
      </c>
      <c r="L6" s="57">
        <v>92390</v>
      </c>
      <c r="M6" s="54">
        <v>10374.5</v>
      </c>
      <c r="N6" s="103">
        <f t="shared" ref="N6:N35" si="2">L6*H6*K6</f>
        <v>163437.48812785387</v>
      </c>
      <c r="O6" s="103">
        <f t="shared" ref="O6:O35" si="3">MAX(L6-N6,0)</f>
        <v>0</v>
      </c>
      <c r="P6" s="104">
        <v>0.05</v>
      </c>
      <c r="Q6" s="28">
        <f t="shared" ref="Q6:Q35" si="4">IF(O6&gt;=L6*J6,O6*(1-P6),L6*J6)</f>
        <v>4619.5</v>
      </c>
    </row>
    <row r="7" spans="2:17" x14ac:dyDescent="0.25">
      <c r="B7" s="45">
        <v>3</v>
      </c>
      <c r="C7" s="50" t="s">
        <v>76</v>
      </c>
      <c r="D7" s="60" t="s">
        <v>83</v>
      </c>
      <c r="E7" s="58">
        <v>1</v>
      </c>
      <c r="F7" s="56" t="s">
        <v>85</v>
      </c>
      <c r="G7" s="89">
        <v>44438</v>
      </c>
      <c r="H7" s="48">
        <f t="shared" ref="H7:H35" si="5">(G7-F7)/(EDATE(G7,12)-G7)</f>
        <v>10.608219178082193</v>
      </c>
      <c r="I7" s="45">
        <v>6</v>
      </c>
      <c r="J7" s="47">
        <v>0.05</v>
      </c>
      <c r="K7" s="55">
        <f t="shared" ref="K7:K35" si="6">(1-J7)/I7</f>
        <v>0.15833333333333333</v>
      </c>
      <c r="L7" s="57">
        <v>115202</v>
      </c>
      <c r="M7" s="53">
        <v>15264.68</v>
      </c>
      <c r="N7" s="103">
        <f t="shared" si="2"/>
        <v>193497.27707762559</v>
      </c>
      <c r="O7" s="103">
        <f t="shared" si="3"/>
        <v>0</v>
      </c>
      <c r="P7" s="104">
        <v>0.05</v>
      </c>
      <c r="Q7" s="28">
        <f t="shared" si="4"/>
        <v>5760.1</v>
      </c>
    </row>
    <row r="8" spans="2:17" x14ac:dyDescent="0.25">
      <c r="B8" s="45">
        <v>4</v>
      </c>
      <c r="C8" s="50" t="s">
        <v>77</v>
      </c>
      <c r="D8" s="60" t="s">
        <v>83</v>
      </c>
      <c r="E8" s="58">
        <v>1</v>
      </c>
      <c r="F8" s="56" t="s">
        <v>85</v>
      </c>
      <c r="G8" s="89">
        <v>44438</v>
      </c>
      <c r="H8" s="48">
        <f t="shared" si="5"/>
        <v>10.608219178082193</v>
      </c>
      <c r="I8" s="45">
        <v>6</v>
      </c>
      <c r="J8" s="47">
        <v>0.05</v>
      </c>
      <c r="K8" s="55">
        <f t="shared" si="6"/>
        <v>0.15833333333333333</v>
      </c>
      <c r="L8" s="57">
        <v>166845</v>
      </c>
      <c r="M8" s="53">
        <v>22107.46</v>
      </c>
      <c r="N8" s="103">
        <f t="shared" si="2"/>
        <v>280238.65205479454</v>
      </c>
      <c r="O8" s="103">
        <f t="shared" si="3"/>
        <v>0</v>
      </c>
      <c r="P8" s="104">
        <v>0.05</v>
      </c>
      <c r="Q8" s="28">
        <f t="shared" si="4"/>
        <v>8342.25</v>
      </c>
    </row>
    <row r="9" spans="2:17" x14ac:dyDescent="0.25">
      <c r="B9" s="45">
        <v>5</v>
      </c>
      <c r="C9" s="50" t="s">
        <v>78</v>
      </c>
      <c r="D9" s="60" t="s">
        <v>83</v>
      </c>
      <c r="E9" s="58">
        <v>1</v>
      </c>
      <c r="F9" s="52" t="s">
        <v>85</v>
      </c>
      <c r="G9" s="89">
        <v>44438</v>
      </c>
      <c r="H9" s="48">
        <f t="shared" si="5"/>
        <v>10.608219178082193</v>
      </c>
      <c r="I9" s="45">
        <v>8</v>
      </c>
      <c r="J9" s="47">
        <v>0.05</v>
      </c>
      <c r="K9" s="55">
        <f t="shared" si="6"/>
        <v>0.11874999999999999</v>
      </c>
      <c r="L9" s="57">
        <v>47579</v>
      </c>
      <c r="M9" s="54">
        <v>6304.62</v>
      </c>
      <c r="N9" s="103">
        <f t="shared" si="2"/>
        <v>59936.504657534249</v>
      </c>
      <c r="O9" s="103">
        <f t="shared" si="3"/>
        <v>0</v>
      </c>
      <c r="P9" s="104">
        <v>0.05</v>
      </c>
      <c r="Q9" s="28">
        <f t="shared" si="4"/>
        <v>2378.9500000000003</v>
      </c>
    </row>
    <row r="10" spans="2:17" x14ac:dyDescent="0.25">
      <c r="B10" s="45">
        <v>6</v>
      </c>
      <c r="C10" s="50" t="s">
        <v>78</v>
      </c>
      <c r="D10" s="60" t="s">
        <v>83</v>
      </c>
      <c r="E10" s="52">
        <v>1</v>
      </c>
      <c r="F10" s="52" t="s">
        <v>85</v>
      </c>
      <c r="G10" s="89">
        <v>44438</v>
      </c>
      <c r="H10" s="48">
        <f t="shared" si="5"/>
        <v>10.608219178082193</v>
      </c>
      <c r="I10" s="45">
        <v>8</v>
      </c>
      <c r="J10" s="47">
        <v>0.05</v>
      </c>
      <c r="K10" s="55">
        <f t="shared" si="6"/>
        <v>0.11874999999999999</v>
      </c>
      <c r="L10" s="57">
        <v>63500</v>
      </c>
      <c r="M10" s="54">
        <v>8414.1299999999992</v>
      </c>
      <c r="N10" s="103">
        <f t="shared" si="2"/>
        <v>79992.602739726033</v>
      </c>
      <c r="O10" s="103">
        <f t="shared" si="3"/>
        <v>0</v>
      </c>
      <c r="P10" s="104">
        <v>0.05</v>
      </c>
      <c r="Q10" s="28">
        <f t="shared" si="4"/>
        <v>3175</v>
      </c>
    </row>
    <row r="11" spans="2:17" x14ac:dyDescent="0.25">
      <c r="B11" s="45">
        <v>7</v>
      </c>
      <c r="C11" s="50" t="s">
        <v>79</v>
      </c>
      <c r="D11" s="60" t="s">
        <v>83</v>
      </c>
      <c r="E11" s="58">
        <v>1</v>
      </c>
      <c r="F11" s="52" t="s">
        <v>85</v>
      </c>
      <c r="G11" s="89">
        <v>44438</v>
      </c>
      <c r="H11" s="48">
        <f t="shared" si="5"/>
        <v>10.608219178082193</v>
      </c>
      <c r="I11" s="45">
        <v>6</v>
      </c>
      <c r="J11" s="47">
        <v>0.05</v>
      </c>
      <c r="K11" s="55">
        <f t="shared" si="6"/>
        <v>0.15833333333333333</v>
      </c>
      <c r="L11" s="57">
        <v>250010</v>
      </c>
      <c r="M11" s="54">
        <v>33128.400000000001</v>
      </c>
      <c r="N11" s="103">
        <f t="shared" si="2"/>
        <v>419925.4721461187</v>
      </c>
      <c r="O11" s="103">
        <f t="shared" si="3"/>
        <v>0</v>
      </c>
      <c r="P11" s="104">
        <v>0.05</v>
      </c>
      <c r="Q11" s="28">
        <f t="shared" si="4"/>
        <v>12500.5</v>
      </c>
    </row>
    <row r="12" spans="2:17" x14ac:dyDescent="0.25">
      <c r="B12" s="45">
        <v>8</v>
      </c>
      <c r="C12" s="50" t="s">
        <v>79</v>
      </c>
      <c r="D12" s="60" t="s">
        <v>83</v>
      </c>
      <c r="E12" s="58">
        <v>1</v>
      </c>
      <c r="F12" s="52" t="s">
        <v>85</v>
      </c>
      <c r="G12" s="89">
        <v>44438</v>
      </c>
      <c r="H12" s="48">
        <f t="shared" si="5"/>
        <v>10.608219178082193</v>
      </c>
      <c r="I12" s="45">
        <v>6</v>
      </c>
      <c r="J12" s="47">
        <v>0.05</v>
      </c>
      <c r="K12" s="55">
        <f t="shared" si="6"/>
        <v>0.15833333333333333</v>
      </c>
      <c r="L12" s="57">
        <v>301665</v>
      </c>
      <c r="M12" s="54">
        <v>39971.910000000003</v>
      </c>
      <c r="N12" s="103">
        <f t="shared" si="2"/>
        <v>506687.0027397261</v>
      </c>
      <c r="O12" s="103">
        <f t="shared" si="3"/>
        <v>0</v>
      </c>
      <c r="P12" s="104">
        <v>0.05</v>
      </c>
      <c r="Q12" s="28">
        <f t="shared" si="4"/>
        <v>15083.25</v>
      </c>
    </row>
    <row r="13" spans="2:17" x14ac:dyDescent="0.25">
      <c r="B13" s="45">
        <v>9</v>
      </c>
      <c r="C13" s="50" t="s">
        <v>79</v>
      </c>
      <c r="D13" s="60" t="s">
        <v>83</v>
      </c>
      <c r="E13" s="58">
        <v>1</v>
      </c>
      <c r="F13" s="52" t="s">
        <v>85</v>
      </c>
      <c r="G13" s="89">
        <v>44438</v>
      </c>
      <c r="H13" s="48">
        <f t="shared" si="5"/>
        <v>10.608219178082193</v>
      </c>
      <c r="I13" s="45">
        <v>6</v>
      </c>
      <c r="J13" s="47">
        <v>0.05</v>
      </c>
      <c r="K13" s="55">
        <f t="shared" si="6"/>
        <v>0.15833333333333333</v>
      </c>
      <c r="L13" s="57">
        <v>450086</v>
      </c>
      <c r="M13" s="54">
        <v>59638.400000000001</v>
      </c>
      <c r="N13" s="103">
        <f t="shared" si="2"/>
        <v>755980.06502283108</v>
      </c>
      <c r="O13" s="103">
        <f t="shared" si="3"/>
        <v>0</v>
      </c>
      <c r="P13" s="104">
        <v>0.05</v>
      </c>
      <c r="Q13" s="28">
        <f t="shared" si="4"/>
        <v>22504.300000000003</v>
      </c>
    </row>
    <row r="14" spans="2:17" x14ac:dyDescent="0.25">
      <c r="B14" s="45">
        <v>10</v>
      </c>
      <c r="C14" s="50" t="s">
        <v>80</v>
      </c>
      <c r="D14" s="60" t="s">
        <v>83</v>
      </c>
      <c r="E14" s="58">
        <v>1</v>
      </c>
      <c r="F14" s="52" t="s">
        <v>85</v>
      </c>
      <c r="G14" s="89">
        <v>44438</v>
      </c>
      <c r="H14" s="48">
        <f t="shared" si="5"/>
        <v>10.608219178082193</v>
      </c>
      <c r="I14" s="45">
        <v>6</v>
      </c>
      <c r="J14" s="47">
        <v>0.05</v>
      </c>
      <c r="K14" s="55">
        <f t="shared" si="6"/>
        <v>0.15833333333333333</v>
      </c>
      <c r="L14" s="57">
        <v>1669017</v>
      </c>
      <c r="M14" s="54">
        <v>221153.98</v>
      </c>
      <c r="N14" s="103">
        <f t="shared" si="2"/>
        <v>2803338.8734246576</v>
      </c>
      <c r="O14" s="103">
        <f t="shared" si="3"/>
        <v>0</v>
      </c>
      <c r="P14" s="104">
        <v>0.05</v>
      </c>
      <c r="Q14" s="28">
        <f t="shared" si="4"/>
        <v>83450.850000000006</v>
      </c>
    </row>
    <row r="15" spans="2:17" x14ac:dyDescent="0.25">
      <c r="B15" s="45">
        <v>11</v>
      </c>
      <c r="C15" s="50" t="s">
        <v>81</v>
      </c>
      <c r="D15" s="60" t="s">
        <v>83</v>
      </c>
      <c r="E15" s="58">
        <v>1</v>
      </c>
      <c r="F15" s="52" t="s">
        <v>85</v>
      </c>
      <c r="G15" s="89">
        <v>44438</v>
      </c>
      <c r="H15" s="48">
        <f t="shared" si="5"/>
        <v>10.608219178082193</v>
      </c>
      <c r="I15" s="45">
        <v>6</v>
      </c>
      <c r="J15" s="47">
        <v>0.05</v>
      </c>
      <c r="K15" s="55">
        <f t="shared" si="6"/>
        <v>0.15833333333333333</v>
      </c>
      <c r="L15" s="57">
        <v>194199</v>
      </c>
      <c r="M15" s="54">
        <v>25732.560000000001</v>
      </c>
      <c r="N15" s="103">
        <f t="shared" si="2"/>
        <v>326183.37972602737</v>
      </c>
      <c r="O15" s="103">
        <f t="shared" si="3"/>
        <v>0</v>
      </c>
      <c r="P15" s="104">
        <v>0.05</v>
      </c>
      <c r="Q15" s="28">
        <f t="shared" si="4"/>
        <v>9709.9500000000007</v>
      </c>
    </row>
    <row r="16" spans="2:17" x14ac:dyDescent="0.25">
      <c r="B16" s="45">
        <v>12</v>
      </c>
      <c r="C16" s="50" t="s">
        <v>81</v>
      </c>
      <c r="D16" s="60" t="s">
        <v>83</v>
      </c>
      <c r="E16" s="58">
        <v>1</v>
      </c>
      <c r="F16" s="52" t="s">
        <v>85</v>
      </c>
      <c r="G16" s="89">
        <v>44438</v>
      </c>
      <c r="H16" s="48">
        <f t="shared" si="5"/>
        <v>10.608219178082193</v>
      </c>
      <c r="I16" s="45">
        <v>6</v>
      </c>
      <c r="J16" s="47">
        <v>0.05</v>
      </c>
      <c r="K16" s="55">
        <f t="shared" si="6"/>
        <v>0.15833333333333333</v>
      </c>
      <c r="L16" s="57">
        <v>161823</v>
      </c>
      <c r="M16" s="54">
        <v>21442.16</v>
      </c>
      <c r="N16" s="103">
        <f t="shared" si="2"/>
        <v>271803.52657534246</v>
      </c>
      <c r="O16" s="103">
        <f t="shared" si="3"/>
        <v>0</v>
      </c>
      <c r="P16" s="104">
        <v>0.05</v>
      </c>
      <c r="Q16" s="28">
        <f t="shared" si="4"/>
        <v>8091.1500000000005</v>
      </c>
    </row>
    <row r="17" spans="2:17" x14ac:dyDescent="0.25">
      <c r="B17" s="45">
        <v>13</v>
      </c>
      <c r="C17" s="50" t="s">
        <v>82</v>
      </c>
      <c r="D17" s="60" t="s">
        <v>83</v>
      </c>
      <c r="E17" s="58">
        <v>1</v>
      </c>
      <c r="F17" s="52" t="s">
        <v>86</v>
      </c>
      <c r="G17" s="89">
        <v>44438</v>
      </c>
      <c r="H17" s="48">
        <f t="shared" si="5"/>
        <v>8.4219178082191775</v>
      </c>
      <c r="I17" s="45">
        <v>6</v>
      </c>
      <c r="J17" s="47">
        <v>0.05</v>
      </c>
      <c r="K17" s="55">
        <f t="shared" si="6"/>
        <v>0.15833333333333333</v>
      </c>
      <c r="L17" s="57">
        <v>2632</v>
      </c>
      <c r="M17" s="54" t="s">
        <v>89</v>
      </c>
      <c r="N17" s="103">
        <f t="shared" si="2"/>
        <v>3509.6938812785388</v>
      </c>
      <c r="O17" s="103">
        <f t="shared" si="3"/>
        <v>0</v>
      </c>
      <c r="P17" s="104">
        <v>0.05</v>
      </c>
      <c r="Q17" s="28">
        <f t="shared" si="4"/>
        <v>131.6</v>
      </c>
    </row>
    <row r="18" spans="2:17" x14ac:dyDescent="0.25">
      <c r="B18" s="45">
        <v>14</v>
      </c>
      <c r="C18" s="50" t="s">
        <v>53</v>
      </c>
      <c r="D18" s="60" t="s">
        <v>83</v>
      </c>
      <c r="E18" s="58">
        <v>1</v>
      </c>
      <c r="F18" s="61" t="s">
        <v>87</v>
      </c>
      <c r="G18" s="89">
        <v>44438</v>
      </c>
      <c r="H18" s="48">
        <f t="shared" si="5"/>
        <v>7.8986301369863012</v>
      </c>
      <c r="I18" s="45">
        <v>6</v>
      </c>
      <c r="J18" s="47">
        <v>0.05</v>
      </c>
      <c r="K18" s="55">
        <f t="shared" si="6"/>
        <v>0.15833333333333333</v>
      </c>
      <c r="L18" s="57">
        <v>7000</v>
      </c>
      <c r="M18" s="53">
        <v>1885.99</v>
      </c>
      <c r="N18" s="103">
        <f t="shared" si="2"/>
        <v>8754.3150684931497</v>
      </c>
      <c r="O18" s="103">
        <f t="shared" si="3"/>
        <v>0</v>
      </c>
      <c r="P18" s="104">
        <v>0.05</v>
      </c>
      <c r="Q18" s="28">
        <f t="shared" si="4"/>
        <v>350</v>
      </c>
    </row>
    <row r="19" spans="2:17" x14ac:dyDescent="0.25">
      <c r="B19" s="45">
        <v>15</v>
      </c>
      <c r="C19" s="50" t="s">
        <v>83</v>
      </c>
      <c r="D19" s="60" t="s">
        <v>83</v>
      </c>
      <c r="E19" s="58">
        <v>1</v>
      </c>
      <c r="F19" s="56" t="s">
        <v>88</v>
      </c>
      <c r="G19" s="89">
        <v>44438</v>
      </c>
      <c r="H19" s="48">
        <f t="shared" si="5"/>
        <v>7.7671232876712333</v>
      </c>
      <c r="I19" s="45">
        <v>6</v>
      </c>
      <c r="J19" s="47">
        <v>0.05</v>
      </c>
      <c r="K19" s="55">
        <f t="shared" si="6"/>
        <v>0.15833333333333333</v>
      </c>
      <c r="L19" s="57">
        <v>4500</v>
      </c>
      <c r="M19" s="53">
        <v>1251.49</v>
      </c>
      <c r="N19" s="103">
        <f t="shared" si="2"/>
        <v>5534.0753424657532</v>
      </c>
      <c r="O19" s="103">
        <f t="shared" si="3"/>
        <v>0</v>
      </c>
      <c r="P19" s="104">
        <v>0.05</v>
      </c>
      <c r="Q19" s="28">
        <f t="shared" si="4"/>
        <v>225</v>
      </c>
    </row>
    <row r="20" spans="2:17" x14ac:dyDescent="0.25">
      <c r="B20" s="45">
        <v>16</v>
      </c>
      <c r="C20" s="60" t="s">
        <v>83</v>
      </c>
      <c r="D20" s="60" t="s">
        <v>83</v>
      </c>
      <c r="E20" s="52" t="s">
        <v>64</v>
      </c>
      <c r="F20" s="52" t="s">
        <v>65</v>
      </c>
      <c r="G20" s="89">
        <v>44438</v>
      </c>
      <c r="H20" s="48">
        <f t="shared" si="5"/>
        <v>11.421917808219177</v>
      </c>
      <c r="I20" s="45">
        <v>6</v>
      </c>
      <c r="J20" s="47">
        <v>0.05</v>
      </c>
      <c r="K20" s="55">
        <f t="shared" si="6"/>
        <v>0.15833333333333333</v>
      </c>
      <c r="L20" s="59">
        <v>6443748</v>
      </c>
      <c r="M20" s="53">
        <v>618170.85</v>
      </c>
      <c r="N20" s="103">
        <f t="shared" si="2"/>
        <v>11653327.005205479</v>
      </c>
      <c r="O20" s="103">
        <f t="shared" si="3"/>
        <v>0</v>
      </c>
      <c r="P20" s="104">
        <v>0.05</v>
      </c>
      <c r="Q20" s="28">
        <f t="shared" si="4"/>
        <v>322187.40000000002</v>
      </c>
    </row>
    <row r="21" spans="2:17" x14ac:dyDescent="0.25">
      <c r="B21" s="45">
        <v>17</v>
      </c>
      <c r="C21" s="60" t="s">
        <v>83</v>
      </c>
      <c r="D21" s="60" t="s">
        <v>83</v>
      </c>
      <c r="E21" s="58">
        <v>2</v>
      </c>
      <c r="F21" s="56" t="s">
        <v>86</v>
      </c>
      <c r="G21" s="89">
        <v>44438</v>
      </c>
      <c r="H21" s="48">
        <f t="shared" si="5"/>
        <v>8.4219178082191775</v>
      </c>
      <c r="I21" s="45">
        <v>6</v>
      </c>
      <c r="J21" s="47">
        <v>0.05</v>
      </c>
      <c r="K21" s="55">
        <f t="shared" si="6"/>
        <v>0.15833333333333333</v>
      </c>
      <c r="L21" s="57">
        <v>112181</v>
      </c>
      <c r="M21" s="54">
        <v>26492.01</v>
      </c>
      <c r="N21" s="103">
        <f t="shared" si="2"/>
        <v>149590.03392694064</v>
      </c>
      <c r="O21" s="103">
        <f t="shared" si="3"/>
        <v>0</v>
      </c>
      <c r="P21" s="104">
        <v>0.05</v>
      </c>
      <c r="Q21" s="28">
        <f t="shared" si="4"/>
        <v>5609.05</v>
      </c>
    </row>
    <row r="22" spans="2:17" s="138" customFormat="1" ht="39.75" customHeight="1" x14ac:dyDescent="0.25">
      <c r="B22" s="45">
        <v>18</v>
      </c>
      <c r="C22" s="137" t="s">
        <v>102</v>
      </c>
      <c r="D22" s="107" t="s">
        <v>83</v>
      </c>
      <c r="E22" s="86" t="s">
        <v>64</v>
      </c>
      <c r="F22" s="86" t="s">
        <v>65</v>
      </c>
      <c r="G22" s="89">
        <v>44438</v>
      </c>
      <c r="H22" s="48">
        <f t="shared" si="5"/>
        <v>11.421917808219177</v>
      </c>
      <c r="I22" s="45">
        <v>6</v>
      </c>
      <c r="J22" s="47">
        <v>0.05</v>
      </c>
      <c r="K22" s="55">
        <f t="shared" si="6"/>
        <v>0.15833333333333333</v>
      </c>
      <c r="L22" s="113">
        <v>6443748</v>
      </c>
      <c r="M22" s="96">
        <v>618170.85</v>
      </c>
      <c r="N22" s="103">
        <f t="shared" si="2"/>
        <v>11653327.005205479</v>
      </c>
      <c r="O22" s="103">
        <f t="shared" si="3"/>
        <v>0</v>
      </c>
      <c r="P22" s="104">
        <v>0.05</v>
      </c>
      <c r="Q22" s="28">
        <f t="shared" si="4"/>
        <v>322187.40000000002</v>
      </c>
    </row>
    <row r="23" spans="2:17" x14ac:dyDescent="0.25">
      <c r="B23" s="45">
        <v>19</v>
      </c>
      <c r="C23" s="50" t="s">
        <v>90</v>
      </c>
      <c r="D23" s="60" t="s">
        <v>83</v>
      </c>
      <c r="E23" s="58">
        <v>3</v>
      </c>
      <c r="F23" s="52" t="s">
        <v>65</v>
      </c>
      <c r="G23" s="89">
        <v>44438</v>
      </c>
      <c r="H23" s="48">
        <f t="shared" si="5"/>
        <v>11.421917808219177</v>
      </c>
      <c r="I23" s="45">
        <v>6</v>
      </c>
      <c r="J23" s="47">
        <v>0.05</v>
      </c>
      <c r="K23" s="55">
        <f t="shared" si="6"/>
        <v>0.15833333333333333</v>
      </c>
      <c r="L23" s="59">
        <v>132147</v>
      </c>
      <c r="M23" s="53" t="s">
        <v>89</v>
      </c>
      <c r="N23" s="103">
        <f t="shared" si="2"/>
        <v>238983.92732876711</v>
      </c>
      <c r="O23" s="103">
        <f t="shared" si="3"/>
        <v>0</v>
      </c>
      <c r="P23" s="104">
        <v>0.05</v>
      </c>
      <c r="Q23" s="28">
        <f t="shared" si="4"/>
        <v>6607.35</v>
      </c>
    </row>
    <row r="24" spans="2:17" x14ac:dyDescent="0.25">
      <c r="B24" s="45">
        <v>20</v>
      </c>
      <c r="C24" s="50" t="s">
        <v>91</v>
      </c>
      <c r="D24" s="60" t="s">
        <v>83</v>
      </c>
      <c r="E24" s="58">
        <v>3</v>
      </c>
      <c r="F24" s="52" t="s">
        <v>65</v>
      </c>
      <c r="G24" s="89">
        <v>44438</v>
      </c>
      <c r="H24" s="48">
        <f t="shared" si="5"/>
        <v>11.421917808219177</v>
      </c>
      <c r="I24" s="45">
        <v>6</v>
      </c>
      <c r="J24" s="47">
        <v>0.05</v>
      </c>
      <c r="K24" s="55">
        <f t="shared" si="6"/>
        <v>0.15833333333333333</v>
      </c>
      <c r="L24" s="59">
        <v>3305</v>
      </c>
      <c r="M24" s="53" t="s">
        <v>89</v>
      </c>
      <c r="N24" s="103">
        <f t="shared" si="2"/>
        <v>5976.9944063926941</v>
      </c>
      <c r="O24" s="103">
        <f t="shared" si="3"/>
        <v>0</v>
      </c>
      <c r="P24" s="104">
        <v>0.05</v>
      </c>
      <c r="Q24" s="28">
        <f t="shared" si="4"/>
        <v>165.25</v>
      </c>
    </row>
    <row r="25" spans="2:17" x14ac:dyDescent="0.25">
      <c r="B25" s="45">
        <v>21</v>
      </c>
      <c r="C25" s="50" t="s">
        <v>91</v>
      </c>
      <c r="D25" s="60" t="s">
        <v>83</v>
      </c>
      <c r="E25" s="58">
        <v>3</v>
      </c>
      <c r="F25" s="52" t="s">
        <v>65</v>
      </c>
      <c r="G25" s="89">
        <v>44438</v>
      </c>
      <c r="H25" s="48">
        <f t="shared" si="5"/>
        <v>11.421917808219177</v>
      </c>
      <c r="I25" s="45">
        <v>6</v>
      </c>
      <c r="J25" s="47">
        <v>0.05</v>
      </c>
      <c r="K25" s="55">
        <f t="shared" si="6"/>
        <v>0.15833333333333333</v>
      </c>
      <c r="L25" s="59">
        <v>15997</v>
      </c>
      <c r="M25" s="53" t="s">
        <v>89</v>
      </c>
      <c r="N25" s="103">
        <f t="shared" si="2"/>
        <v>28930.099703196342</v>
      </c>
      <c r="O25" s="103">
        <f t="shared" si="3"/>
        <v>0</v>
      </c>
      <c r="P25" s="104">
        <v>0.05</v>
      </c>
      <c r="Q25" s="28">
        <f t="shared" si="4"/>
        <v>799.85</v>
      </c>
    </row>
    <row r="26" spans="2:17" x14ac:dyDescent="0.25">
      <c r="B26" s="45">
        <v>22</v>
      </c>
      <c r="C26" s="50" t="s">
        <v>51</v>
      </c>
      <c r="D26" s="60" t="s">
        <v>83</v>
      </c>
      <c r="E26" s="58">
        <v>3</v>
      </c>
      <c r="F26" s="56" t="s">
        <v>65</v>
      </c>
      <c r="G26" s="89">
        <v>44438</v>
      </c>
      <c r="H26" s="48">
        <f t="shared" si="5"/>
        <v>11.421917808219177</v>
      </c>
      <c r="I26" s="45">
        <v>8</v>
      </c>
      <c r="J26" s="47">
        <v>0.05</v>
      </c>
      <c r="K26" s="55">
        <f t="shared" si="6"/>
        <v>0.11874999999999999</v>
      </c>
      <c r="L26" s="57">
        <v>17200</v>
      </c>
      <c r="M26" s="53" t="s">
        <v>89</v>
      </c>
      <c r="N26" s="103">
        <f t="shared" si="2"/>
        <v>23329.267123287667</v>
      </c>
      <c r="O26" s="103">
        <f t="shared" si="3"/>
        <v>0</v>
      </c>
      <c r="P26" s="104">
        <v>0.05</v>
      </c>
      <c r="Q26" s="28">
        <f t="shared" si="4"/>
        <v>860</v>
      </c>
    </row>
    <row r="27" spans="2:17" ht="30" x14ac:dyDescent="0.25">
      <c r="B27" s="45">
        <v>23</v>
      </c>
      <c r="C27" s="50" t="s">
        <v>92</v>
      </c>
      <c r="D27" s="60" t="s">
        <v>83</v>
      </c>
      <c r="E27" s="58">
        <v>3</v>
      </c>
      <c r="F27" s="56" t="s">
        <v>65</v>
      </c>
      <c r="G27" s="89">
        <v>44438</v>
      </c>
      <c r="H27" s="48">
        <f t="shared" si="5"/>
        <v>11.421917808219177</v>
      </c>
      <c r="I27" s="45">
        <v>6</v>
      </c>
      <c r="J27" s="47">
        <v>0.05</v>
      </c>
      <c r="K27" s="55">
        <f t="shared" si="6"/>
        <v>0.15833333333333333</v>
      </c>
      <c r="L27" s="57">
        <v>12000</v>
      </c>
      <c r="M27" s="53" t="s">
        <v>89</v>
      </c>
      <c r="N27" s="103">
        <f t="shared" si="2"/>
        <v>21701.643835616436</v>
      </c>
      <c r="O27" s="103">
        <f t="shared" si="3"/>
        <v>0</v>
      </c>
      <c r="P27" s="104">
        <v>0.05</v>
      </c>
      <c r="Q27" s="28">
        <f t="shared" si="4"/>
        <v>600</v>
      </c>
    </row>
    <row r="28" spans="2:17" x14ac:dyDescent="0.25">
      <c r="B28" s="45">
        <v>24</v>
      </c>
      <c r="C28" s="50" t="s">
        <v>93</v>
      </c>
      <c r="D28" s="60" t="s">
        <v>83</v>
      </c>
      <c r="E28" s="58">
        <v>3</v>
      </c>
      <c r="F28" s="56" t="s">
        <v>65</v>
      </c>
      <c r="G28" s="89">
        <v>44438</v>
      </c>
      <c r="H28" s="48">
        <f t="shared" si="5"/>
        <v>11.421917808219177</v>
      </c>
      <c r="I28" s="45">
        <v>6</v>
      </c>
      <c r="J28" s="47">
        <v>0.05</v>
      </c>
      <c r="K28" s="55">
        <f t="shared" si="6"/>
        <v>0.15833333333333333</v>
      </c>
      <c r="L28" s="57">
        <v>2760</v>
      </c>
      <c r="M28" s="53" t="s">
        <v>89</v>
      </c>
      <c r="N28" s="103">
        <f t="shared" si="2"/>
        <v>4991.3780821917808</v>
      </c>
      <c r="O28" s="103">
        <f t="shared" si="3"/>
        <v>0</v>
      </c>
      <c r="P28" s="104">
        <v>0.05</v>
      </c>
      <c r="Q28" s="28">
        <f t="shared" si="4"/>
        <v>138</v>
      </c>
    </row>
    <row r="29" spans="2:17" ht="30" x14ac:dyDescent="0.25">
      <c r="B29" s="45">
        <v>25</v>
      </c>
      <c r="C29" s="50" t="s">
        <v>94</v>
      </c>
      <c r="D29" s="60" t="s">
        <v>83</v>
      </c>
      <c r="E29" s="58">
        <v>3</v>
      </c>
      <c r="F29" s="56" t="s">
        <v>65</v>
      </c>
      <c r="G29" s="89">
        <v>44438</v>
      </c>
      <c r="H29" s="48">
        <f t="shared" si="5"/>
        <v>11.421917808219177</v>
      </c>
      <c r="I29" s="45">
        <v>6</v>
      </c>
      <c r="J29" s="47">
        <v>0.05</v>
      </c>
      <c r="K29" s="55">
        <f t="shared" si="6"/>
        <v>0.15833333333333333</v>
      </c>
      <c r="L29" s="57">
        <v>12800</v>
      </c>
      <c r="M29" s="53" t="s">
        <v>89</v>
      </c>
      <c r="N29" s="103">
        <f t="shared" si="2"/>
        <v>23148.420091324198</v>
      </c>
      <c r="O29" s="103">
        <f t="shared" si="3"/>
        <v>0</v>
      </c>
      <c r="P29" s="104">
        <v>0.05</v>
      </c>
      <c r="Q29" s="28">
        <f t="shared" si="4"/>
        <v>640</v>
      </c>
    </row>
    <row r="30" spans="2:17" x14ac:dyDescent="0.25">
      <c r="B30" s="45">
        <v>26</v>
      </c>
      <c r="C30" s="50" t="s">
        <v>93</v>
      </c>
      <c r="D30" s="60" t="s">
        <v>83</v>
      </c>
      <c r="E30" s="58">
        <v>3</v>
      </c>
      <c r="F30" s="56" t="s">
        <v>65</v>
      </c>
      <c r="G30" s="89">
        <v>44438</v>
      </c>
      <c r="H30" s="48">
        <f t="shared" si="5"/>
        <v>11.421917808219177</v>
      </c>
      <c r="I30" s="45">
        <v>6</v>
      </c>
      <c r="J30" s="47">
        <v>0.05</v>
      </c>
      <c r="K30" s="55">
        <f t="shared" si="6"/>
        <v>0.15833333333333333</v>
      </c>
      <c r="L30" s="57">
        <v>9200</v>
      </c>
      <c r="M30" s="53" t="s">
        <v>89</v>
      </c>
      <c r="N30" s="103">
        <f t="shared" si="2"/>
        <v>16637.926940639267</v>
      </c>
      <c r="O30" s="103">
        <f t="shared" si="3"/>
        <v>0</v>
      </c>
      <c r="P30" s="104">
        <v>0.05</v>
      </c>
      <c r="Q30" s="28">
        <f t="shared" si="4"/>
        <v>460</v>
      </c>
    </row>
    <row r="31" spans="2:17" x14ac:dyDescent="0.25">
      <c r="B31" s="45">
        <v>27</v>
      </c>
      <c r="C31" s="50" t="s">
        <v>52</v>
      </c>
      <c r="D31" s="60" t="s">
        <v>83</v>
      </c>
      <c r="E31" s="58">
        <v>3</v>
      </c>
      <c r="F31" s="56" t="s">
        <v>65</v>
      </c>
      <c r="G31" s="89">
        <v>44438</v>
      </c>
      <c r="H31" s="48">
        <f t="shared" si="5"/>
        <v>11.421917808219177</v>
      </c>
      <c r="I31" s="45">
        <v>6</v>
      </c>
      <c r="J31" s="47">
        <v>0.05</v>
      </c>
      <c r="K31" s="55">
        <f t="shared" si="6"/>
        <v>0.15833333333333333</v>
      </c>
      <c r="L31" s="57">
        <v>3150</v>
      </c>
      <c r="M31" s="53" t="s">
        <v>89</v>
      </c>
      <c r="N31" s="103">
        <f t="shared" si="2"/>
        <v>5696.6815068493152</v>
      </c>
      <c r="O31" s="103">
        <f t="shared" si="3"/>
        <v>0</v>
      </c>
      <c r="P31" s="104">
        <v>0.05</v>
      </c>
      <c r="Q31" s="28">
        <f t="shared" si="4"/>
        <v>157.5</v>
      </c>
    </row>
    <row r="32" spans="2:17" x14ac:dyDescent="0.25">
      <c r="B32" s="45">
        <v>28</v>
      </c>
      <c r="C32" s="50" t="s">
        <v>95</v>
      </c>
      <c r="D32" s="60" t="s">
        <v>83</v>
      </c>
      <c r="E32" s="58">
        <v>3</v>
      </c>
      <c r="F32" s="56" t="s">
        <v>65</v>
      </c>
      <c r="G32" s="89">
        <v>44438</v>
      </c>
      <c r="H32" s="48">
        <f t="shared" si="5"/>
        <v>11.421917808219177</v>
      </c>
      <c r="I32" s="45">
        <v>4</v>
      </c>
      <c r="J32" s="47">
        <v>0.05</v>
      </c>
      <c r="K32" s="55">
        <f t="shared" si="6"/>
        <v>0.23749999999999999</v>
      </c>
      <c r="L32" s="57">
        <v>18110</v>
      </c>
      <c r="M32" s="53" t="s">
        <v>89</v>
      </c>
      <c r="N32" s="103">
        <f t="shared" si="2"/>
        <v>49127.096232876705</v>
      </c>
      <c r="O32" s="103">
        <f t="shared" si="3"/>
        <v>0</v>
      </c>
      <c r="P32" s="104">
        <v>0.05</v>
      </c>
      <c r="Q32" s="28">
        <f t="shared" si="4"/>
        <v>905.5</v>
      </c>
    </row>
    <row r="33" spans="2:17" ht="30" x14ac:dyDescent="0.25">
      <c r="B33" s="45">
        <v>29</v>
      </c>
      <c r="C33" s="50" t="s">
        <v>96</v>
      </c>
      <c r="D33" s="60" t="s">
        <v>83</v>
      </c>
      <c r="E33" s="58">
        <v>3</v>
      </c>
      <c r="F33" s="62" t="s">
        <v>99</v>
      </c>
      <c r="G33" s="89">
        <v>44438</v>
      </c>
      <c r="H33" s="48">
        <f t="shared" si="5"/>
        <v>10.849315068493151</v>
      </c>
      <c r="I33" s="45">
        <v>3</v>
      </c>
      <c r="J33" s="47">
        <v>0.05</v>
      </c>
      <c r="K33" s="55">
        <f t="shared" si="6"/>
        <v>0.31666666666666665</v>
      </c>
      <c r="L33" s="59">
        <v>69270</v>
      </c>
      <c r="M33" s="53">
        <v>8746.94</v>
      </c>
      <c r="N33" s="103">
        <f t="shared" si="2"/>
        <v>237985.15068493152</v>
      </c>
      <c r="O33" s="103">
        <f t="shared" si="3"/>
        <v>0</v>
      </c>
      <c r="P33" s="104">
        <v>0.05</v>
      </c>
      <c r="Q33" s="28">
        <f t="shared" si="4"/>
        <v>3463.5</v>
      </c>
    </row>
    <row r="34" spans="2:17" x14ac:dyDescent="0.25">
      <c r="B34" s="45">
        <v>30</v>
      </c>
      <c r="C34" s="50" t="s">
        <v>97</v>
      </c>
      <c r="D34" s="60" t="s">
        <v>83</v>
      </c>
      <c r="E34" s="58">
        <v>3</v>
      </c>
      <c r="F34" s="52" t="s">
        <v>100</v>
      </c>
      <c r="G34" s="89">
        <v>44438</v>
      </c>
      <c r="H34" s="48">
        <f t="shared" si="5"/>
        <v>8.4410958904109581</v>
      </c>
      <c r="I34" s="45">
        <v>6</v>
      </c>
      <c r="J34" s="47">
        <v>0.05</v>
      </c>
      <c r="K34" s="55">
        <f t="shared" si="6"/>
        <v>0.15833333333333333</v>
      </c>
      <c r="L34" s="57">
        <v>6000</v>
      </c>
      <c r="M34" s="54">
        <v>1410.37</v>
      </c>
      <c r="N34" s="103">
        <f t="shared" si="2"/>
        <v>8019.0410958904095</v>
      </c>
      <c r="O34" s="103">
        <f t="shared" si="3"/>
        <v>0</v>
      </c>
      <c r="P34" s="104">
        <v>0.05</v>
      </c>
      <c r="Q34" s="28">
        <f t="shared" si="4"/>
        <v>300</v>
      </c>
    </row>
    <row r="35" spans="2:17" x14ac:dyDescent="0.25">
      <c r="B35" s="45">
        <v>31</v>
      </c>
      <c r="C35" s="50" t="s">
        <v>98</v>
      </c>
      <c r="D35" s="60" t="s">
        <v>83</v>
      </c>
      <c r="E35" s="58">
        <v>3</v>
      </c>
      <c r="F35" s="56" t="s">
        <v>101</v>
      </c>
      <c r="G35" s="89">
        <v>44438</v>
      </c>
      <c r="H35" s="48">
        <f t="shared" si="5"/>
        <v>4.2904109589041095</v>
      </c>
      <c r="I35" s="45">
        <v>3</v>
      </c>
      <c r="J35" s="47">
        <v>0.05</v>
      </c>
      <c r="K35" s="55">
        <f t="shared" si="6"/>
        <v>0.31666666666666665</v>
      </c>
      <c r="L35" s="57"/>
      <c r="M35" s="54">
        <v>4797.3</v>
      </c>
      <c r="N35" s="103">
        <f t="shared" si="2"/>
        <v>0</v>
      </c>
      <c r="O35" s="103">
        <f t="shared" si="3"/>
        <v>0</v>
      </c>
      <c r="P35" s="104">
        <v>0.05</v>
      </c>
      <c r="Q35" s="28">
        <f t="shared" si="4"/>
        <v>0</v>
      </c>
    </row>
    <row r="36" spans="2:17" x14ac:dyDescent="0.25">
      <c r="B36" s="318" t="s">
        <v>54</v>
      </c>
      <c r="C36" s="319"/>
      <c r="D36" s="319"/>
      <c r="E36" s="319"/>
      <c r="F36" s="319"/>
      <c r="G36" s="319"/>
      <c r="H36" s="319"/>
      <c r="I36" s="319"/>
      <c r="J36" s="319"/>
      <c r="K36" s="320"/>
      <c r="L36" s="85">
        <f>SUM(L5:L35)</f>
        <v>21594479.25</v>
      </c>
      <c r="M36" s="85">
        <f t="shared" ref="M36:Q36" si="7">SUM(M5:M35)</f>
        <v>1914394.8100000003</v>
      </c>
      <c r="N36" s="85">
        <f t="shared" si="7"/>
        <v>41319826.818704337</v>
      </c>
      <c r="O36" s="85">
        <f t="shared" si="7"/>
        <v>0</v>
      </c>
      <c r="P36" s="85"/>
      <c r="Q36" s="85">
        <f t="shared" si="7"/>
        <v>1079723.9625000004</v>
      </c>
    </row>
    <row r="37" spans="2:17" x14ac:dyDescent="0.25">
      <c r="B37" s="71"/>
      <c r="C37" s="117"/>
      <c r="D37" s="117"/>
      <c r="E37" s="117"/>
      <c r="F37" s="72"/>
      <c r="G37" s="72"/>
      <c r="H37" s="73"/>
      <c r="I37" s="71"/>
      <c r="J37" s="74"/>
      <c r="K37" s="75"/>
      <c r="N37" s="116"/>
      <c r="O37" s="116"/>
      <c r="P37" s="116"/>
      <c r="Q37" s="116"/>
    </row>
    <row r="38" spans="2:17" x14ac:dyDescent="0.25">
      <c r="B38" s="71"/>
      <c r="C38" s="117"/>
      <c r="D38" s="117"/>
      <c r="E38" s="117"/>
      <c r="F38" s="72"/>
      <c r="G38" s="72"/>
      <c r="H38" s="73"/>
      <c r="I38" s="71"/>
      <c r="J38" s="74"/>
      <c r="K38" s="75"/>
      <c r="N38" s="116"/>
      <c r="O38" s="116"/>
      <c r="P38" s="116"/>
      <c r="Q38" s="116"/>
    </row>
    <row r="39" spans="2:17" x14ac:dyDescent="0.25">
      <c r="B39" s="71"/>
      <c r="C39" s="117"/>
      <c r="D39" s="117"/>
      <c r="E39" s="117"/>
      <c r="F39" s="72"/>
      <c r="G39" s="72"/>
      <c r="H39" s="73"/>
      <c r="I39" s="71"/>
      <c r="J39" s="74"/>
      <c r="K39" s="75"/>
      <c r="N39" s="116"/>
      <c r="O39" s="116"/>
      <c r="P39" s="116"/>
      <c r="Q39" s="116"/>
    </row>
    <row r="40" spans="2:17" x14ac:dyDescent="0.25">
      <c r="B40" s="71"/>
      <c r="C40" s="117"/>
      <c r="D40" s="117"/>
      <c r="E40" s="117"/>
      <c r="F40" s="72"/>
      <c r="G40" s="72"/>
      <c r="H40" s="73"/>
      <c r="I40" s="71"/>
      <c r="J40" s="74"/>
      <c r="K40" s="75"/>
      <c r="N40" s="116"/>
      <c r="O40" s="116"/>
      <c r="P40" s="116"/>
      <c r="Q40" s="116"/>
    </row>
    <row r="41" spans="2:17" x14ac:dyDescent="0.25">
      <c r="B41" s="71"/>
      <c r="C41" s="117"/>
      <c r="D41" s="117"/>
      <c r="E41" s="117"/>
      <c r="F41" s="72"/>
      <c r="G41" s="72"/>
      <c r="H41" s="73"/>
      <c r="I41" s="71"/>
      <c r="J41" s="74"/>
      <c r="K41" s="75"/>
      <c r="N41" s="116"/>
      <c r="O41" s="116"/>
      <c r="P41" s="116"/>
      <c r="Q41" s="116"/>
    </row>
    <row r="42" spans="2:17" x14ac:dyDescent="0.25">
      <c r="B42" s="71"/>
      <c r="C42" s="117"/>
      <c r="D42" s="117"/>
      <c r="E42" s="117"/>
      <c r="F42" s="72"/>
      <c r="G42" s="72"/>
      <c r="H42" s="73"/>
      <c r="I42" s="71"/>
      <c r="J42" s="74"/>
      <c r="K42" s="75"/>
      <c r="N42" s="116"/>
      <c r="O42" s="116"/>
      <c r="P42" s="116"/>
      <c r="Q42" s="116"/>
    </row>
    <row r="43" spans="2:17" x14ac:dyDescent="0.25">
      <c r="B43" s="71"/>
      <c r="C43" s="117"/>
      <c r="D43" s="117"/>
      <c r="E43" s="117"/>
      <c r="F43" s="72"/>
      <c r="G43" s="72"/>
      <c r="H43" s="73"/>
      <c r="I43" s="71"/>
      <c r="J43" s="74"/>
      <c r="K43" s="75"/>
      <c r="N43" s="116"/>
      <c r="O43" s="116"/>
      <c r="P43" s="116"/>
      <c r="Q43" s="116"/>
    </row>
    <row r="44" spans="2:17" x14ac:dyDescent="0.25">
      <c r="B44" s="71"/>
      <c r="C44" s="117"/>
      <c r="D44" s="117"/>
      <c r="E44" s="117"/>
      <c r="F44" s="72"/>
      <c r="G44" s="72"/>
      <c r="H44" s="73"/>
      <c r="I44" s="71"/>
      <c r="J44" s="74"/>
      <c r="K44" s="75"/>
      <c r="N44" s="116"/>
      <c r="O44" s="116"/>
      <c r="P44" s="116"/>
      <c r="Q44" s="116"/>
    </row>
    <row r="45" spans="2:17" x14ac:dyDescent="0.25">
      <c r="B45" s="71"/>
      <c r="C45" s="117"/>
      <c r="D45" s="117"/>
      <c r="E45" s="117"/>
      <c r="F45" s="72"/>
      <c r="G45" s="72"/>
      <c r="H45" s="73"/>
      <c r="I45" s="71"/>
      <c r="J45" s="74"/>
      <c r="K45" s="75"/>
      <c r="N45" s="116"/>
      <c r="O45" s="116"/>
      <c r="P45" s="116"/>
      <c r="Q45" s="116"/>
    </row>
    <row r="46" spans="2:17" x14ac:dyDescent="0.25">
      <c r="B46" s="71"/>
      <c r="C46" s="117"/>
      <c r="D46" s="117"/>
      <c r="E46" s="117"/>
      <c r="F46" s="72"/>
      <c r="G46" s="72"/>
      <c r="H46" s="73"/>
      <c r="I46" s="71"/>
      <c r="J46" s="74"/>
      <c r="K46" s="75"/>
      <c r="N46" s="116"/>
      <c r="O46" s="116"/>
      <c r="P46" s="116"/>
      <c r="Q46" s="116"/>
    </row>
    <row r="47" spans="2:17" x14ac:dyDescent="0.25">
      <c r="B47" s="71"/>
      <c r="C47" s="117"/>
      <c r="D47" s="117"/>
      <c r="E47" s="117"/>
      <c r="F47" s="72"/>
      <c r="G47" s="72"/>
      <c r="H47" s="73"/>
      <c r="I47" s="71"/>
      <c r="J47" s="74"/>
      <c r="K47" s="75"/>
      <c r="N47" s="116"/>
      <c r="O47" s="116"/>
      <c r="P47" s="116"/>
      <c r="Q47" s="116"/>
    </row>
    <row r="48" spans="2:17" x14ac:dyDescent="0.25">
      <c r="B48" s="71"/>
      <c r="C48" s="117"/>
      <c r="D48" s="117"/>
      <c r="E48" s="117"/>
      <c r="F48" s="72"/>
      <c r="G48" s="72"/>
      <c r="H48" s="73"/>
      <c r="I48" s="71"/>
      <c r="J48" s="74"/>
      <c r="K48" s="75"/>
      <c r="N48" s="116"/>
      <c r="O48" s="116"/>
      <c r="P48" s="116"/>
      <c r="Q48" s="116"/>
    </row>
    <row r="49" spans="2:17" x14ac:dyDescent="0.25">
      <c r="B49" s="71"/>
      <c r="C49" s="117"/>
      <c r="D49" s="117"/>
      <c r="E49" s="117"/>
      <c r="F49" s="72"/>
      <c r="G49" s="72"/>
      <c r="H49" s="73"/>
      <c r="I49" s="71"/>
      <c r="J49" s="74"/>
      <c r="K49" s="75"/>
      <c r="N49" s="116"/>
      <c r="O49" s="116"/>
      <c r="P49" s="116"/>
      <c r="Q49" s="116"/>
    </row>
    <row r="50" spans="2:17" x14ac:dyDescent="0.25">
      <c r="B50" s="71"/>
      <c r="C50" s="117"/>
      <c r="D50" s="117"/>
      <c r="E50" s="117"/>
      <c r="F50" s="72"/>
      <c r="G50" s="72"/>
      <c r="H50" s="73"/>
      <c r="I50" s="71"/>
      <c r="J50" s="74"/>
      <c r="K50" s="75"/>
      <c r="N50" s="116"/>
      <c r="O50" s="116"/>
      <c r="P50" s="116"/>
      <c r="Q50" s="116"/>
    </row>
    <row r="51" spans="2:17" x14ac:dyDescent="0.25">
      <c r="B51" s="71"/>
      <c r="C51" s="118"/>
      <c r="D51" s="118"/>
      <c r="E51" s="118"/>
      <c r="F51" s="72"/>
      <c r="G51" s="72"/>
      <c r="H51" s="73"/>
      <c r="I51" s="71"/>
      <c r="J51" s="74"/>
      <c r="K51" s="75"/>
      <c r="N51" s="116"/>
      <c r="O51" s="116"/>
      <c r="P51" s="116"/>
      <c r="Q51" s="116"/>
    </row>
    <row r="52" spans="2:17" x14ac:dyDescent="0.25">
      <c r="B52" s="71"/>
      <c r="C52" s="118"/>
      <c r="D52" s="118"/>
      <c r="E52" s="118"/>
      <c r="F52" s="72"/>
      <c r="G52" s="72"/>
      <c r="H52" s="73"/>
      <c r="I52" s="71"/>
      <c r="J52" s="74"/>
      <c r="K52" s="75"/>
      <c r="N52" s="116"/>
      <c r="O52" s="116"/>
      <c r="P52" s="116"/>
      <c r="Q52" s="116"/>
    </row>
    <row r="53" spans="2:17" x14ac:dyDescent="0.25">
      <c r="B53" s="71"/>
      <c r="C53" s="118"/>
      <c r="D53" s="118"/>
      <c r="E53" s="118"/>
      <c r="F53" s="72"/>
      <c r="G53" s="72"/>
      <c r="H53" s="73"/>
      <c r="I53" s="71"/>
      <c r="J53" s="74"/>
      <c r="K53" s="75"/>
      <c r="N53" s="116"/>
      <c r="O53" s="116"/>
      <c r="P53" s="116"/>
      <c r="Q53" s="116"/>
    </row>
    <row r="54" spans="2:17" x14ac:dyDescent="0.25">
      <c r="B54" s="71"/>
      <c r="C54" s="118"/>
      <c r="D54" s="118"/>
      <c r="E54" s="118"/>
      <c r="F54" s="72"/>
      <c r="G54" s="72"/>
      <c r="H54" s="73"/>
      <c r="I54" s="71"/>
      <c r="J54" s="74"/>
      <c r="K54" s="75"/>
      <c r="N54" s="116"/>
      <c r="O54" s="116"/>
      <c r="P54" s="116"/>
      <c r="Q54" s="116"/>
    </row>
    <row r="55" spans="2:17" x14ac:dyDescent="0.25">
      <c r="B55" s="71"/>
      <c r="C55" s="118"/>
      <c r="D55" s="118"/>
      <c r="E55" s="118"/>
      <c r="F55" s="72"/>
      <c r="G55" s="72"/>
      <c r="H55" s="73"/>
      <c r="I55" s="71"/>
      <c r="J55" s="74"/>
      <c r="K55" s="75"/>
      <c r="N55" s="116"/>
      <c r="O55" s="116"/>
      <c r="P55" s="116"/>
      <c r="Q55" s="116"/>
    </row>
    <row r="56" spans="2:17" x14ac:dyDescent="0.25">
      <c r="B56" s="71"/>
      <c r="C56" s="118"/>
      <c r="D56" s="118"/>
      <c r="E56" s="118"/>
      <c r="F56" s="72"/>
      <c r="G56" s="72"/>
      <c r="H56" s="73"/>
      <c r="I56" s="71"/>
      <c r="J56" s="74"/>
      <c r="K56" s="75"/>
      <c r="N56" s="116"/>
      <c r="O56" s="116"/>
      <c r="P56" s="116"/>
      <c r="Q56" s="116"/>
    </row>
    <row r="57" spans="2:17" x14ac:dyDescent="0.25">
      <c r="B57" s="71"/>
      <c r="C57" s="118"/>
      <c r="D57" s="118"/>
      <c r="E57" s="118"/>
      <c r="F57" s="72"/>
      <c r="G57" s="72"/>
      <c r="H57" s="73"/>
      <c r="I57" s="71"/>
      <c r="J57" s="74"/>
      <c r="K57" s="75"/>
      <c r="N57" s="116"/>
      <c r="O57" s="116"/>
      <c r="P57" s="116"/>
      <c r="Q57" s="116"/>
    </row>
    <row r="58" spans="2:17" x14ac:dyDescent="0.25">
      <c r="B58" s="71"/>
      <c r="C58" s="118"/>
      <c r="D58" s="118"/>
      <c r="E58" s="118"/>
      <c r="F58" s="72"/>
      <c r="G58" s="72"/>
      <c r="H58" s="73"/>
      <c r="I58" s="71"/>
      <c r="J58" s="74"/>
      <c r="K58" s="75"/>
      <c r="N58" s="116"/>
      <c r="O58" s="116"/>
      <c r="P58" s="116"/>
      <c r="Q58" s="116"/>
    </row>
    <row r="59" spans="2:17" x14ac:dyDescent="0.25">
      <c r="B59" s="71"/>
      <c r="C59" s="118"/>
      <c r="D59" s="118"/>
      <c r="E59" s="118"/>
      <c r="F59" s="72"/>
      <c r="G59" s="72"/>
      <c r="H59" s="73"/>
      <c r="I59" s="71"/>
      <c r="J59" s="74"/>
      <c r="K59" s="75"/>
      <c r="N59" s="116"/>
      <c r="O59" s="116"/>
      <c r="P59" s="116"/>
      <c r="Q59" s="116"/>
    </row>
    <row r="60" spans="2:17" x14ac:dyDescent="0.25">
      <c r="B60" s="71"/>
      <c r="C60" s="118"/>
      <c r="D60" s="118"/>
      <c r="E60" s="118"/>
      <c r="F60" s="72"/>
      <c r="G60" s="72"/>
      <c r="H60" s="73"/>
      <c r="I60" s="71"/>
      <c r="J60" s="74"/>
      <c r="K60" s="75"/>
      <c r="N60" s="116"/>
      <c r="O60" s="116"/>
      <c r="P60" s="116"/>
      <c r="Q60" s="116"/>
    </row>
    <row r="61" spans="2:17" x14ac:dyDescent="0.25">
      <c r="B61" s="71"/>
      <c r="C61" s="118"/>
      <c r="D61" s="118"/>
      <c r="E61" s="118"/>
      <c r="F61" s="72"/>
      <c r="G61" s="72"/>
      <c r="H61" s="73"/>
      <c r="I61" s="71"/>
      <c r="J61" s="74"/>
      <c r="K61" s="75"/>
      <c r="N61" s="116"/>
      <c r="O61" s="116"/>
      <c r="P61" s="116"/>
      <c r="Q61" s="116"/>
    </row>
    <row r="62" spans="2:17" x14ac:dyDescent="0.25">
      <c r="B62" s="71"/>
      <c r="C62" s="118"/>
      <c r="D62" s="118"/>
      <c r="E62" s="118"/>
      <c r="F62" s="72"/>
      <c r="G62" s="72"/>
      <c r="H62" s="73"/>
      <c r="I62" s="71"/>
      <c r="J62" s="74"/>
      <c r="K62" s="75"/>
      <c r="N62" s="116"/>
      <c r="O62" s="116"/>
      <c r="P62" s="116"/>
      <c r="Q62" s="116"/>
    </row>
    <row r="63" spans="2:17" x14ac:dyDescent="0.25">
      <c r="B63" s="71"/>
      <c r="C63" s="118"/>
      <c r="D63" s="118"/>
      <c r="E63" s="118"/>
      <c r="F63" s="72"/>
      <c r="G63" s="72"/>
      <c r="H63" s="73"/>
      <c r="I63" s="71"/>
      <c r="J63" s="74"/>
      <c r="K63" s="75"/>
      <c r="N63" s="116"/>
      <c r="O63" s="116"/>
      <c r="P63" s="116"/>
      <c r="Q63" s="116"/>
    </row>
    <row r="64" spans="2:17" x14ac:dyDescent="0.25">
      <c r="B64" s="71"/>
      <c r="C64" s="118"/>
      <c r="D64" s="118"/>
      <c r="E64" s="118"/>
      <c r="F64" s="72"/>
      <c r="G64" s="72"/>
      <c r="H64" s="73"/>
      <c r="I64" s="71"/>
      <c r="J64" s="74"/>
      <c r="K64" s="75"/>
      <c r="N64" s="116"/>
      <c r="O64" s="116"/>
      <c r="P64" s="116"/>
      <c r="Q64" s="116"/>
    </row>
    <row r="65" spans="2:17" x14ac:dyDescent="0.25">
      <c r="B65" s="71"/>
      <c r="C65" s="118"/>
      <c r="D65" s="118"/>
      <c r="E65" s="118"/>
      <c r="F65" s="72"/>
      <c r="G65" s="72"/>
      <c r="H65" s="73"/>
      <c r="I65" s="71"/>
      <c r="J65" s="74"/>
      <c r="K65" s="75"/>
      <c r="N65" s="116"/>
      <c r="O65" s="116"/>
      <c r="P65" s="116"/>
      <c r="Q65" s="116"/>
    </row>
    <row r="66" spans="2:17" x14ac:dyDescent="0.25">
      <c r="B66" s="71"/>
      <c r="C66" s="118"/>
      <c r="D66" s="118"/>
      <c r="E66" s="118"/>
      <c r="F66" s="72"/>
      <c r="G66" s="72"/>
      <c r="H66" s="73"/>
      <c r="I66" s="71"/>
      <c r="J66" s="74"/>
      <c r="K66" s="75"/>
      <c r="N66" s="116"/>
      <c r="O66" s="116"/>
      <c r="P66" s="116"/>
      <c r="Q66" s="116"/>
    </row>
    <row r="67" spans="2:17" x14ac:dyDescent="0.25">
      <c r="B67" s="71"/>
      <c r="C67" s="118"/>
      <c r="D67" s="118"/>
      <c r="E67" s="118"/>
      <c r="F67" s="72"/>
      <c r="G67" s="72"/>
      <c r="H67" s="73"/>
      <c r="I67" s="71"/>
      <c r="J67" s="74"/>
      <c r="K67" s="75"/>
      <c r="N67" s="116"/>
      <c r="O67" s="116"/>
      <c r="P67" s="116"/>
      <c r="Q67" s="116"/>
    </row>
    <row r="68" spans="2:17" x14ac:dyDescent="0.25">
      <c r="B68" s="71"/>
      <c r="C68" s="118"/>
      <c r="D68" s="118"/>
      <c r="E68" s="118"/>
      <c r="F68" s="72"/>
      <c r="G68" s="72"/>
      <c r="H68" s="73"/>
      <c r="I68" s="71"/>
      <c r="J68" s="74"/>
      <c r="K68" s="75"/>
      <c r="N68" s="116"/>
      <c r="O68" s="116"/>
      <c r="P68" s="116"/>
      <c r="Q68" s="116"/>
    </row>
    <row r="69" spans="2:17" x14ac:dyDescent="0.25">
      <c r="B69" s="71"/>
      <c r="C69" s="119"/>
      <c r="D69" s="119"/>
      <c r="E69" s="119"/>
      <c r="F69" s="72"/>
      <c r="G69" s="72"/>
      <c r="H69" s="73"/>
      <c r="I69" s="71"/>
      <c r="J69" s="74"/>
      <c r="K69" s="75"/>
      <c r="N69" s="116"/>
      <c r="O69" s="116"/>
      <c r="P69" s="116"/>
      <c r="Q69" s="116"/>
    </row>
    <row r="70" spans="2:17" x14ac:dyDescent="0.25">
      <c r="B70" s="71"/>
      <c r="C70" s="119"/>
      <c r="D70" s="119"/>
      <c r="E70" s="119"/>
      <c r="F70" s="72"/>
      <c r="G70" s="72"/>
      <c r="H70" s="73"/>
      <c r="I70" s="71"/>
      <c r="J70" s="74"/>
      <c r="K70" s="75"/>
      <c r="N70" s="116"/>
      <c r="O70" s="116"/>
      <c r="P70" s="116"/>
      <c r="Q70" s="116"/>
    </row>
    <row r="71" spans="2:17" x14ac:dyDescent="0.25">
      <c r="B71" s="71"/>
      <c r="C71" s="119"/>
      <c r="D71" s="119"/>
      <c r="E71" s="119"/>
      <c r="F71" s="72"/>
      <c r="G71" s="72"/>
      <c r="H71" s="73"/>
      <c r="I71" s="71"/>
      <c r="J71" s="74"/>
      <c r="K71" s="75"/>
      <c r="N71" s="116"/>
      <c r="O71" s="116"/>
      <c r="P71" s="116"/>
      <c r="Q71" s="116"/>
    </row>
    <row r="72" spans="2:17" x14ac:dyDescent="0.25">
      <c r="B72" s="71"/>
      <c r="C72" s="120"/>
      <c r="D72" s="120"/>
      <c r="E72" s="120"/>
      <c r="F72" s="72"/>
      <c r="G72" s="72"/>
      <c r="H72" s="73"/>
      <c r="I72" s="71"/>
      <c r="J72" s="74"/>
      <c r="K72" s="75"/>
      <c r="N72" s="116"/>
      <c r="O72" s="116"/>
      <c r="P72" s="116"/>
      <c r="Q72" s="116"/>
    </row>
    <row r="73" spans="2:17" x14ac:dyDescent="0.25">
      <c r="B73" s="71"/>
      <c r="C73" s="120"/>
      <c r="D73" s="120"/>
      <c r="E73" s="120"/>
      <c r="F73" s="72"/>
      <c r="G73" s="72"/>
      <c r="H73" s="73"/>
      <c r="I73" s="71"/>
      <c r="J73" s="74"/>
      <c r="K73" s="75"/>
      <c r="N73" s="116"/>
      <c r="O73" s="116"/>
      <c r="P73" s="116"/>
      <c r="Q73" s="116"/>
    </row>
    <row r="74" spans="2:17" x14ac:dyDescent="0.25">
      <c r="B74" s="71"/>
      <c r="C74" s="120"/>
      <c r="D74" s="120"/>
      <c r="E74" s="120"/>
      <c r="F74" s="72"/>
      <c r="G74" s="72"/>
      <c r="H74" s="73"/>
      <c r="I74" s="71"/>
      <c r="J74" s="74"/>
      <c r="K74" s="75"/>
      <c r="N74" s="116"/>
      <c r="O74" s="116"/>
      <c r="P74" s="116"/>
      <c r="Q74" s="116"/>
    </row>
    <row r="75" spans="2:17" x14ac:dyDescent="0.25">
      <c r="B75" s="71"/>
      <c r="C75" s="120"/>
      <c r="D75" s="120"/>
      <c r="E75" s="120"/>
      <c r="F75" s="72"/>
      <c r="G75" s="72"/>
      <c r="H75" s="73"/>
      <c r="I75" s="71"/>
      <c r="J75" s="74"/>
      <c r="K75" s="75"/>
      <c r="N75" s="116"/>
      <c r="O75" s="116"/>
      <c r="P75" s="116"/>
      <c r="Q75" s="116"/>
    </row>
    <row r="76" spans="2:17" x14ac:dyDescent="0.25">
      <c r="B76" s="71"/>
      <c r="C76" s="120"/>
      <c r="D76" s="120"/>
      <c r="E76" s="120"/>
      <c r="F76" s="72"/>
      <c r="G76" s="72"/>
      <c r="H76" s="73"/>
      <c r="I76" s="71"/>
      <c r="J76" s="74"/>
      <c r="K76" s="75"/>
      <c r="N76" s="116"/>
      <c r="O76" s="116"/>
      <c r="P76" s="116"/>
      <c r="Q76" s="116"/>
    </row>
    <row r="77" spans="2:17" x14ac:dyDescent="0.25">
      <c r="B77" s="71"/>
      <c r="C77" s="120"/>
      <c r="D77" s="120"/>
      <c r="E77" s="120"/>
      <c r="F77" s="72"/>
      <c r="G77" s="72"/>
      <c r="H77" s="73"/>
      <c r="I77" s="71"/>
      <c r="J77" s="74"/>
      <c r="K77" s="75"/>
      <c r="N77" s="116"/>
      <c r="O77" s="116"/>
      <c r="P77" s="116"/>
      <c r="Q77" s="116"/>
    </row>
    <row r="78" spans="2:17" x14ac:dyDescent="0.25">
      <c r="B78" s="71"/>
      <c r="C78" s="120"/>
      <c r="D78" s="120"/>
      <c r="E78" s="120"/>
      <c r="F78" s="72"/>
      <c r="G78" s="72"/>
      <c r="H78" s="73"/>
      <c r="I78" s="71"/>
      <c r="J78" s="74"/>
      <c r="K78" s="75"/>
      <c r="N78" s="116"/>
      <c r="O78" s="116"/>
      <c r="P78" s="116"/>
      <c r="Q78" s="116"/>
    </row>
    <row r="79" spans="2:17" x14ac:dyDescent="0.25">
      <c r="B79" s="71"/>
      <c r="C79" s="120"/>
      <c r="D79" s="120"/>
      <c r="E79" s="120"/>
      <c r="F79" s="72"/>
      <c r="G79" s="72"/>
      <c r="H79" s="73"/>
      <c r="I79" s="71"/>
      <c r="J79" s="74"/>
      <c r="K79" s="75"/>
      <c r="N79" s="116"/>
      <c r="O79" s="116"/>
      <c r="P79" s="116"/>
      <c r="Q79" s="116"/>
    </row>
    <row r="80" spans="2:17" x14ac:dyDescent="0.25">
      <c r="B80" s="71"/>
      <c r="C80" s="120"/>
      <c r="D80" s="120"/>
      <c r="E80" s="120"/>
      <c r="F80" s="72"/>
      <c r="G80" s="72"/>
      <c r="H80" s="73"/>
      <c r="I80" s="71"/>
      <c r="J80" s="74"/>
      <c r="K80" s="75"/>
      <c r="N80" s="116"/>
      <c r="O80" s="116"/>
      <c r="P80" s="116"/>
      <c r="Q80" s="116"/>
    </row>
    <row r="81" spans="2:17" x14ac:dyDescent="0.25">
      <c r="B81" s="71"/>
      <c r="C81" s="120"/>
      <c r="D81" s="120"/>
      <c r="E81" s="120"/>
      <c r="F81" s="72"/>
      <c r="G81" s="72"/>
      <c r="H81" s="73"/>
      <c r="I81" s="71"/>
      <c r="J81" s="74"/>
      <c r="K81" s="75"/>
      <c r="N81" s="116"/>
      <c r="O81" s="116"/>
      <c r="P81" s="116"/>
      <c r="Q81" s="116"/>
    </row>
    <row r="82" spans="2:17" x14ac:dyDescent="0.25">
      <c r="B82" s="71"/>
      <c r="C82" s="120"/>
      <c r="D82" s="120"/>
      <c r="E82" s="120"/>
      <c r="F82" s="72"/>
      <c r="G82" s="72"/>
      <c r="H82" s="73"/>
      <c r="I82" s="71"/>
      <c r="J82" s="74"/>
      <c r="K82" s="75"/>
      <c r="N82" s="116"/>
      <c r="O82" s="116"/>
      <c r="P82" s="116"/>
      <c r="Q82" s="116"/>
    </row>
    <row r="83" spans="2:17" x14ac:dyDescent="0.25">
      <c r="B83" s="71"/>
      <c r="C83" s="120"/>
      <c r="D83" s="120"/>
      <c r="E83" s="120"/>
      <c r="F83" s="72"/>
      <c r="G83" s="72"/>
      <c r="H83" s="73"/>
      <c r="I83" s="71"/>
      <c r="J83" s="74"/>
      <c r="K83" s="75"/>
      <c r="N83" s="116"/>
      <c r="O83" s="116"/>
      <c r="P83" s="116"/>
      <c r="Q83" s="116"/>
    </row>
    <row r="84" spans="2:17" x14ac:dyDescent="0.25">
      <c r="B84" s="71"/>
      <c r="C84" s="120"/>
      <c r="D84" s="120"/>
      <c r="E84" s="120"/>
      <c r="F84" s="72"/>
      <c r="G84" s="72"/>
      <c r="H84" s="73"/>
      <c r="I84" s="71"/>
      <c r="J84" s="74"/>
      <c r="K84" s="75"/>
      <c r="N84" s="116"/>
      <c r="O84" s="116"/>
      <c r="P84" s="116"/>
      <c r="Q84" s="116"/>
    </row>
    <row r="85" spans="2:17" x14ac:dyDescent="0.25">
      <c r="B85" s="71"/>
      <c r="C85" s="120"/>
      <c r="D85" s="120"/>
      <c r="E85" s="120"/>
      <c r="F85" s="72"/>
      <c r="G85" s="72"/>
      <c r="H85" s="73"/>
      <c r="I85" s="71"/>
      <c r="J85" s="74"/>
      <c r="K85" s="75"/>
      <c r="N85" s="116"/>
      <c r="O85" s="116"/>
      <c r="P85" s="116"/>
      <c r="Q85" s="116"/>
    </row>
    <row r="86" spans="2:17" x14ac:dyDescent="0.25">
      <c r="B86" s="71"/>
      <c r="C86" s="120"/>
      <c r="D86" s="120"/>
      <c r="E86" s="120"/>
      <c r="F86" s="72"/>
      <c r="G86" s="72"/>
      <c r="H86" s="73"/>
      <c r="I86" s="71"/>
      <c r="J86" s="74"/>
      <c r="K86" s="75"/>
      <c r="N86" s="116"/>
      <c r="O86" s="116"/>
      <c r="P86" s="116"/>
      <c r="Q86" s="116"/>
    </row>
    <row r="87" spans="2:17" x14ac:dyDescent="0.25">
      <c r="B87" s="71"/>
      <c r="C87" s="120"/>
      <c r="D87" s="120"/>
      <c r="E87" s="120"/>
      <c r="F87" s="72"/>
      <c r="G87" s="72"/>
      <c r="H87" s="73"/>
      <c r="I87" s="71"/>
      <c r="J87" s="74"/>
      <c r="K87" s="75"/>
      <c r="N87" s="116"/>
      <c r="O87" s="116"/>
      <c r="P87" s="116"/>
      <c r="Q87" s="116"/>
    </row>
    <row r="88" spans="2:17" x14ac:dyDescent="0.25">
      <c r="B88" s="71"/>
      <c r="C88" s="120"/>
      <c r="D88" s="120"/>
      <c r="E88" s="120"/>
      <c r="F88" s="72"/>
      <c r="G88" s="72"/>
      <c r="H88" s="73"/>
      <c r="I88" s="71"/>
      <c r="J88" s="74"/>
      <c r="K88" s="75"/>
      <c r="N88" s="116"/>
      <c r="O88" s="116"/>
      <c r="P88" s="116"/>
      <c r="Q88" s="116"/>
    </row>
    <row r="89" spans="2:17" x14ac:dyDescent="0.25">
      <c r="B89" s="71"/>
      <c r="C89" s="120"/>
      <c r="D89" s="120"/>
      <c r="E89" s="120"/>
      <c r="F89" s="72"/>
      <c r="G89" s="72"/>
      <c r="H89" s="73"/>
      <c r="I89" s="71"/>
      <c r="J89" s="74"/>
      <c r="K89" s="75"/>
      <c r="N89" s="116"/>
      <c r="O89" s="116"/>
      <c r="P89" s="116"/>
      <c r="Q89" s="116"/>
    </row>
    <row r="90" spans="2:17" x14ac:dyDescent="0.25">
      <c r="B90" s="71"/>
      <c r="C90" s="120"/>
      <c r="D90" s="120"/>
      <c r="E90" s="120"/>
      <c r="F90" s="72"/>
      <c r="G90" s="72"/>
      <c r="H90" s="73"/>
      <c r="I90" s="71"/>
      <c r="J90" s="74"/>
      <c r="K90" s="75"/>
      <c r="N90" s="116"/>
      <c r="O90" s="116"/>
      <c r="P90" s="116"/>
      <c r="Q90" s="116"/>
    </row>
    <row r="91" spans="2:17" x14ac:dyDescent="0.25">
      <c r="B91" s="71"/>
      <c r="C91" s="120"/>
      <c r="D91" s="120"/>
      <c r="E91" s="120"/>
      <c r="F91" s="72"/>
      <c r="G91" s="72"/>
      <c r="H91" s="73"/>
      <c r="I91" s="71"/>
      <c r="J91" s="74"/>
      <c r="K91" s="75"/>
      <c r="N91" s="116"/>
      <c r="O91" s="116"/>
      <c r="P91" s="116"/>
      <c r="Q91" s="116"/>
    </row>
    <row r="92" spans="2:17" x14ac:dyDescent="0.25">
      <c r="B92" s="71"/>
      <c r="C92" s="120"/>
      <c r="D92" s="120"/>
      <c r="E92" s="120"/>
      <c r="F92" s="72"/>
      <c r="G92" s="72"/>
      <c r="H92" s="73"/>
      <c r="I92" s="71"/>
      <c r="J92" s="74"/>
      <c r="K92" s="75"/>
      <c r="N92" s="116"/>
      <c r="O92" s="116"/>
      <c r="P92" s="116"/>
      <c r="Q92" s="116"/>
    </row>
    <row r="93" spans="2:17" x14ac:dyDescent="0.25">
      <c r="B93" s="71"/>
      <c r="C93" s="120"/>
      <c r="D93" s="120"/>
      <c r="E93" s="120"/>
      <c r="F93" s="72"/>
      <c r="G93" s="72"/>
      <c r="H93" s="73"/>
      <c r="I93" s="71"/>
      <c r="J93" s="74"/>
      <c r="K93" s="75"/>
      <c r="N93" s="116"/>
      <c r="O93" s="116"/>
      <c r="P93" s="116"/>
      <c r="Q93" s="116"/>
    </row>
    <row r="94" spans="2:17" x14ac:dyDescent="0.25">
      <c r="B94" s="71"/>
      <c r="C94" s="120"/>
      <c r="D94" s="120"/>
      <c r="E94" s="120"/>
      <c r="F94" s="72"/>
      <c r="G94" s="72"/>
      <c r="H94" s="73"/>
      <c r="I94" s="71"/>
      <c r="J94" s="74"/>
      <c r="K94" s="75"/>
      <c r="N94" s="116"/>
      <c r="O94" s="116"/>
      <c r="P94" s="116"/>
      <c r="Q94" s="116"/>
    </row>
    <row r="95" spans="2:17" x14ac:dyDescent="0.25">
      <c r="B95" s="71"/>
      <c r="C95" s="120"/>
      <c r="D95" s="120"/>
      <c r="E95" s="120"/>
      <c r="F95" s="72"/>
      <c r="G95" s="72"/>
      <c r="H95" s="73"/>
      <c r="I95" s="71"/>
      <c r="J95" s="74"/>
      <c r="K95" s="75"/>
      <c r="N95" s="116"/>
      <c r="O95" s="116"/>
      <c r="P95" s="116"/>
      <c r="Q95" s="116"/>
    </row>
    <row r="96" spans="2:17" x14ac:dyDescent="0.25">
      <c r="B96" s="71"/>
      <c r="C96" s="120"/>
      <c r="D96" s="120"/>
      <c r="E96" s="120"/>
      <c r="F96" s="72"/>
      <c r="G96" s="72"/>
      <c r="H96" s="73"/>
      <c r="I96" s="71"/>
      <c r="J96" s="74"/>
      <c r="K96" s="75"/>
      <c r="N96" s="116"/>
      <c r="O96" s="116"/>
      <c r="P96" s="116"/>
      <c r="Q96" s="116"/>
    </row>
    <row r="97" spans="2:17" x14ac:dyDescent="0.25">
      <c r="B97" s="71"/>
      <c r="C97" s="120"/>
      <c r="D97" s="120"/>
      <c r="E97" s="120"/>
      <c r="F97" s="72"/>
      <c r="G97" s="72"/>
      <c r="H97" s="73"/>
      <c r="I97" s="71"/>
      <c r="J97" s="74"/>
      <c r="K97" s="75"/>
      <c r="N97" s="116"/>
      <c r="O97" s="116"/>
      <c r="P97" s="116"/>
      <c r="Q97" s="116"/>
    </row>
    <row r="98" spans="2:17" x14ac:dyDescent="0.25">
      <c r="B98" s="71"/>
      <c r="C98" s="120"/>
      <c r="D98" s="120"/>
      <c r="E98" s="120"/>
      <c r="F98" s="72"/>
      <c r="G98" s="72"/>
      <c r="H98" s="73"/>
      <c r="I98" s="71"/>
      <c r="J98" s="74"/>
      <c r="K98" s="75"/>
      <c r="N98" s="116"/>
      <c r="O98" s="116"/>
      <c r="P98" s="116"/>
      <c r="Q98" s="116"/>
    </row>
    <row r="99" spans="2:17" x14ac:dyDescent="0.25">
      <c r="B99" s="71"/>
      <c r="C99" s="120"/>
      <c r="D99" s="120"/>
      <c r="E99" s="120"/>
      <c r="F99" s="72"/>
      <c r="G99" s="72"/>
      <c r="H99" s="73"/>
      <c r="I99" s="71"/>
      <c r="J99" s="74"/>
      <c r="K99" s="75"/>
      <c r="N99" s="116"/>
      <c r="O99" s="116"/>
      <c r="P99" s="116"/>
      <c r="Q99" s="116"/>
    </row>
    <row r="100" spans="2:17" x14ac:dyDescent="0.25">
      <c r="B100" s="71"/>
      <c r="C100" s="120"/>
      <c r="D100" s="120"/>
      <c r="E100" s="120"/>
      <c r="F100" s="72"/>
      <c r="G100" s="72"/>
      <c r="H100" s="73"/>
      <c r="I100" s="71"/>
      <c r="J100" s="74"/>
      <c r="K100" s="75"/>
      <c r="N100" s="116"/>
      <c r="O100" s="116"/>
      <c r="P100" s="116"/>
      <c r="Q100" s="116"/>
    </row>
    <row r="101" spans="2:17" x14ac:dyDescent="0.25">
      <c r="B101" s="71"/>
      <c r="C101" s="120"/>
      <c r="D101" s="120"/>
      <c r="E101" s="120"/>
      <c r="F101" s="72"/>
      <c r="G101" s="72"/>
      <c r="H101" s="73"/>
      <c r="I101" s="71"/>
      <c r="J101" s="74"/>
      <c r="K101" s="75"/>
      <c r="N101" s="116"/>
      <c r="O101" s="116"/>
      <c r="P101" s="116"/>
      <c r="Q101" s="116"/>
    </row>
    <row r="102" spans="2:17" x14ac:dyDescent="0.25">
      <c r="B102" s="71"/>
      <c r="C102" s="120"/>
      <c r="D102" s="120"/>
      <c r="E102" s="120"/>
      <c r="F102" s="72"/>
      <c r="G102" s="72"/>
      <c r="H102" s="73"/>
      <c r="I102" s="71"/>
      <c r="J102" s="74"/>
      <c r="K102" s="75"/>
      <c r="N102" s="116"/>
      <c r="O102" s="116"/>
      <c r="P102" s="116"/>
      <c r="Q102" s="116"/>
    </row>
    <row r="103" spans="2:17" x14ac:dyDescent="0.25">
      <c r="B103" s="71"/>
      <c r="C103" s="120"/>
      <c r="D103" s="120"/>
      <c r="E103" s="120"/>
      <c r="F103" s="72"/>
      <c r="G103" s="72"/>
      <c r="H103" s="73"/>
      <c r="I103" s="71"/>
      <c r="J103" s="74"/>
      <c r="K103" s="75"/>
      <c r="N103" s="116"/>
      <c r="O103" s="116"/>
      <c r="P103" s="116"/>
      <c r="Q103" s="116"/>
    </row>
    <row r="104" spans="2:17" x14ac:dyDescent="0.25">
      <c r="B104" s="71"/>
      <c r="C104" s="120"/>
      <c r="D104" s="120"/>
      <c r="E104" s="120"/>
      <c r="F104" s="72"/>
      <c r="G104" s="72"/>
      <c r="H104" s="73"/>
      <c r="I104" s="71"/>
      <c r="J104" s="74"/>
      <c r="K104" s="75"/>
      <c r="N104" s="116"/>
      <c r="O104" s="116"/>
      <c r="P104" s="116"/>
      <c r="Q104" s="116"/>
    </row>
    <row r="105" spans="2:17" x14ac:dyDescent="0.25">
      <c r="B105" s="71"/>
      <c r="C105" s="120"/>
      <c r="D105" s="120"/>
      <c r="E105" s="120"/>
      <c r="F105" s="72"/>
      <c r="G105" s="72"/>
      <c r="H105" s="73"/>
      <c r="I105" s="71"/>
      <c r="J105" s="74"/>
      <c r="K105" s="75"/>
      <c r="N105" s="116"/>
      <c r="O105" s="116"/>
      <c r="P105" s="116"/>
      <c r="Q105" s="116"/>
    </row>
    <row r="106" spans="2:17" x14ac:dyDescent="0.25">
      <c r="B106" s="71"/>
      <c r="C106" s="120"/>
      <c r="D106" s="120"/>
      <c r="E106" s="120"/>
      <c r="F106" s="72"/>
      <c r="G106" s="72"/>
      <c r="H106" s="73"/>
      <c r="I106" s="71"/>
      <c r="J106" s="74"/>
      <c r="K106" s="75"/>
      <c r="N106" s="116"/>
      <c r="O106" s="116"/>
      <c r="P106" s="116"/>
      <c r="Q106" s="116"/>
    </row>
    <row r="107" spans="2:17" x14ac:dyDescent="0.25">
      <c r="B107" s="71"/>
      <c r="C107" s="120"/>
      <c r="D107" s="120"/>
      <c r="E107" s="120"/>
      <c r="F107" s="72"/>
      <c r="G107" s="72"/>
      <c r="H107" s="73"/>
      <c r="I107" s="71"/>
      <c r="J107" s="74"/>
      <c r="K107" s="75"/>
      <c r="N107" s="116"/>
      <c r="O107" s="116"/>
      <c r="P107" s="116"/>
      <c r="Q107" s="116"/>
    </row>
    <row r="108" spans="2:17" x14ac:dyDescent="0.25">
      <c r="B108" s="71"/>
      <c r="C108" s="120"/>
      <c r="D108" s="120"/>
      <c r="E108" s="120"/>
      <c r="F108" s="72"/>
      <c r="G108" s="72"/>
      <c r="H108" s="73"/>
      <c r="I108" s="71"/>
      <c r="J108" s="74"/>
      <c r="K108" s="75"/>
      <c r="N108" s="116"/>
      <c r="O108" s="116"/>
      <c r="P108" s="116"/>
      <c r="Q108" s="116"/>
    </row>
    <row r="109" spans="2:17" x14ac:dyDescent="0.25">
      <c r="B109" s="71"/>
      <c r="C109" s="120"/>
      <c r="D109" s="120"/>
      <c r="E109" s="120"/>
      <c r="F109" s="72"/>
      <c r="G109" s="72"/>
      <c r="H109" s="73"/>
      <c r="I109" s="71"/>
      <c r="J109" s="74"/>
      <c r="K109" s="75"/>
      <c r="N109" s="116"/>
      <c r="O109" s="116"/>
      <c r="P109" s="116"/>
      <c r="Q109" s="116"/>
    </row>
    <row r="110" spans="2:17" x14ac:dyDescent="0.25">
      <c r="B110" s="71"/>
      <c r="C110" s="120"/>
      <c r="D110" s="120"/>
      <c r="E110" s="120"/>
      <c r="F110" s="72"/>
      <c r="G110" s="72"/>
      <c r="H110" s="73"/>
      <c r="I110" s="71"/>
      <c r="J110" s="74"/>
      <c r="K110" s="75"/>
      <c r="N110" s="116"/>
      <c r="O110" s="116"/>
      <c r="P110" s="116"/>
      <c r="Q110" s="116"/>
    </row>
    <row r="111" spans="2:17" x14ac:dyDescent="0.25">
      <c r="B111" s="71"/>
      <c r="C111" s="120"/>
      <c r="D111" s="120"/>
      <c r="E111" s="120"/>
      <c r="F111" s="72"/>
      <c r="G111" s="72"/>
      <c r="H111" s="73"/>
      <c r="I111" s="71"/>
      <c r="J111" s="74"/>
      <c r="K111" s="75"/>
      <c r="N111" s="116"/>
      <c r="O111" s="116"/>
      <c r="P111" s="116"/>
      <c r="Q111" s="116"/>
    </row>
    <row r="112" spans="2:17" x14ac:dyDescent="0.25">
      <c r="B112" s="71"/>
      <c r="C112" s="120"/>
      <c r="D112" s="120"/>
      <c r="E112" s="120"/>
      <c r="F112" s="72"/>
      <c r="G112" s="72"/>
      <c r="H112" s="73"/>
      <c r="I112" s="71"/>
      <c r="J112" s="74"/>
      <c r="K112" s="75"/>
      <c r="N112" s="116"/>
      <c r="O112" s="116"/>
      <c r="P112" s="116"/>
      <c r="Q112" s="116"/>
    </row>
    <row r="113" spans="2:17" x14ac:dyDescent="0.25">
      <c r="B113" s="71"/>
      <c r="C113" s="120"/>
      <c r="D113" s="120"/>
      <c r="E113" s="120"/>
      <c r="F113" s="72"/>
      <c r="G113" s="72"/>
      <c r="H113" s="73"/>
      <c r="I113" s="71"/>
      <c r="J113" s="74"/>
      <c r="K113" s="75"/>
      <c r="N113" s="116"/>
      <c r="O113" s="116"/>
      <c r="P113" s="116"/>
      <c r="Q113" s="116"/>
    </row>
    <row r="114" spans="2:17" x14ac:dyDescent="0.25">
      <c r="B114" s="71"/>
      <c r="C114" s="120"/>
      <c r="D114" s="120"/>
      <c r="E114" s="120"/>
      <c r="F114" s="72"/>
      <c r="G114" s="72"/>
      <c r="H114" s="73"/>
      <c r="I114" s="71"/>
      <c r="J114" s="74"/>
      <c r="K114" s="75"/>
      <c r="N114" s="116"/>
      <c r="O114" s="116"/>
      <c r="P114" s="116"/>
      <c r="Q114" s="116"/>
    </row>
    <row r="115" spans="2:17" x14ac:dyDescent="0.25">
      <c r="B115" s="71"/>
      <c r="C115" s="120"/>
      <c r="D115" s="120"/>
      <c r="E115" s="120"/>
      <c r="F115" s="72"/>
      <c r="G115" s="72"/>
      <c r="H115" s="73"/>
      <c r="I115" s="71"/>
      <c r="J115" s="74"/>
      <c r="K115" s="75"/>
      <c r="N115" s="116"/>
      <c r="O115" s="116"/>
      <c r="P115" s="116"/>
      <c r="Q115" s="116"/>
    </row>
    <row r="116" spans="2:17" x14ac:dyDescent="0.25">
      <c r="B116" s="71"/>
      <c r="C116" s="120"/>
      <c r="D116" s="120"/>
      <c r="E116" s="120"/>
      <c r="F116" s="72"/>
      <c r="G116" s="72"/>
      <c r="H116" s="73"/>
      <c r="I116" s="71"/>
      <c r="J116" s="74"/>
      <c r="K116" s="75"/>
      <c r="N116" s="116"/>
      <c r="O116" s="116"/>
      <c r="P116" s="116"/>
      <c r="Q116" s="116"/>
    </row>
    <row r="117" spans="2:17" x14ac:dyDescent="0.25">
      <c r="B117" s="71"/>
      <c r="C117" s="120"/>
      <c r="D117" s="120"/>
      <c r="E117" s="120"/>
      <c r="F117" s="72"/>
      <c r="G117" s="72"/>
      <c r="H117" s="73"/>
      <c r="I117" s="71"/>
      <c r="J117" s="74"/>
      <c r="K117" s="75"/>
      <c r="N117" s="116"/>
      <c r="O117" s="116"/>
      <c r="P117" s="116"/>
      <c r="Q117" s="116"/>
    </row>
    <row r="118" spans="2:17" x14ac:dyDescent="0.25">
      <c r="B118" s="71"/>
      <c r="C118" s="121"/>
      <c r="D118" s="121"/>
      <c r="E118" s="121"/>
      <c r="F118" s="72"/>
      <c r="G118" s="72"/>
      <c r="H118" s="73"/>
      <c r="I118" s="71"/>
      <c r="J118" s="74"/>
      <c r="K118" s="75"/>
      <c r="N118" s="116"/>
      <c r="O118" s="116"/>
      <c r="P118" s="116"/>
      <c r="Q118" s="116"/>
    </row>
    <row r="119" spans="2:17" x14ac:dyDescent="0.25">
      <c r="B119" s="71"/>
      <c r="C119" s="121"/>
      <c r="D119" s="121"/>
      <c r="E119" s="121"/>
      <c r="F119" s="72"/>
      <c r="G119" s="72"/>
      <c r="H119" s="73"/>
      <c r="I119" s="71"/>
      <c r="J119" s="74"/>
      <c r="K119" s="75"/>
      <c r="N119" s="116"/>
      <c r="O119" s="116"/>
      <c r="P119" s="116"/>
      <c r="Q119" s="116"/>
    </row>
    <row r="120" spans="2:17" x14ac:dyDescent="0.25">
      <c r="B120" s="71"/>
      <c r="C120" s="121"/>
      <c r="D120" s="121"/>
      <c r="E120" s="121"/>
      <c r="F120" s="72"/>
      <c r="G120" s="72"/>
      <c r="H120" s="73"/>
      <c r="I120" s="71"/>
      <c r="J120" s="74"/>
      <c r="K120" s="75"/>
      <c r="N120" s="116"/>
      <c r="O120" s="116"/>
      <c r="P120" s="116"/>
      <c r="Q120" s="116"/>
    </row>
    <row r="121" spans="2:17" x14ac:dyDescent="0.25">
      <c r="B121" s="71"/>
      <c r="C121" s="121"/>
      <c r="D121" s="121"/>
      <c r="E121" s="121"/>
      <c r="F121" s="72"/>
      <c r="G121" s="72"/>
      <c r="H121" s="73"/>
      <c r="I121" s="71"/>
      <c r="J121" s="74"/>
      <c r="K121" s="75"/>
      <c r="N121" s="116"/>
      <c r="O121" s="116"/>
      <c r="P121" s="116"/>
      <c r="Q121" s="116"/>
    </row>
    <row r="122" spans="2:17" x14ac:dyDescent="0.25">
      <c r="B122" s="71"/>
      <c r="C122" s="121"/>
      <c r="D122" s="121"/>
      <c r="E122" s="121"/>
      <c r="F122" s="72"/>
      <c r="G122" s="72"/>
      <c r="H122" s="73"/>
      <c r="I122" s="71"/>
      <c r="J122" s="74"/>
      <c r="K122" s="75"/>
      <c r="N122" s="116"/>
      <c r="O122" s="116"/>
      <c r="P122" s="116"/>
      <c r="Q122" s="116"/>
    </row>
    <row r="123" spans="2:17" x14ac:dyDescent="0.25">
      <c r="B123" s="71"/>
      <c r="C123" s="121"/>
      <c r="D123" s="121"/>
      <c r="E123" s="121"/>
      <c r="F123" s="72"/>
      <c r="G123" s="72"/>
      <c r="H123" s="73"/>
      <c r="I123" s="71"/>
      <c r="J123" s="74"/>
      <c r="K123" s="75"/>
      <c r="N123" s="116"/>
      <c r="O123" s="116"/>
      <c r="P123" s="116"/>
      <c r="Q123" s="116"/>
    </row>
    <row r="124" spans="2:17" x14ac:dyDescent="0.25">
      <c r="B124" s="71"/>
      <c r="C124" s="122"/>
      <c r="D124" s="122"/>
      <c r="E124" s="122"/>
      <c r="F124" s="72"/>
      <c r="G124" s="72"/>
      <c r="H124" s="73"/>
      <c r="I124" s="71"/>
      <c r="J124" s="74"/>
      <c r="K124" s="75"/>
      <c r="N124" s="116"/>
      <c r="O124" s="116"/>
      <c r="P124" s="116"/>
      <c r="Q124" s="116"/>
    </row>
    <row r="125" spans="2:17" x14ac:dyDescent="0.25">
      <c r="B125" s="71"/>
      <c r="C125" s="121"/>
      <c r="D125" s="121"/>
      <c r="E125" s="121"/>
      <c r="F125" s="72"/>
      <c r="G125" s="72"/>
      <c r="H125" s="73"/>
      <c r="I125" s="71"/>
      <c r="J125" s="74"/>
      <c r="K125" s="75"/>
      <c r="N125" s="116"/>
      <c r="O125" s="116"/>
      <c r="P125" s="116"/>
      <c r="Q125" s="116"/>
    </row>
    <row r="126" spans="2:17" x14ac:dyDescent="0.25">
      <c r="B126" s="71"/>
      <c r="C126" s="117"/>
      <c r="D126" s="117"/>
      <c r="E126" s="117"/>
      <c r="F126" s="72"/>
      <c r="G126" s="72"/>
      <c r="H126" s="73"/>
      <c r="I126" s="71"/>
      <c r="J126" s="74"/>
      <c r="K126" s="75"/>
      <c r="N126" s="116"/>
      <c r="O126" s="116"/>
      <c r="P126" s="116"/>
      <c r="Q126" s="116"/>
    </row>
    <row r="127" spans="2:17" x14ac:dyDescent="0.25">
      <c r="B127" s="71"/>
      <c r="C127" s="117"/>
      <c r="D127" s="117"/>
      <c r="E127" s="117"/>
      <c r="F127" s="72"/>
      <c r="G127" s="72"/>
      <c r="H127" s="73"/>
      <c r="I127" s="71"/>
      <c r="J127" s="74"/>
      <c r="K127" s="75"/>
      <c r="N127" s="116"/>
      <c r="O127" s="116"/>
      <c r="P127" s="116"/>
      <c r="Q127" s="116"/>
    </row>
    <row r="128" spans="2:17" x14ac:dyDescent="0.25">
      <c r="B128" s="71"/>
      <c r="C128" s="117"/>
      <c r="D128" s="117"/>
      <c r="E128" s="117"/>
      <c r="F128" s="72"/>
      <c r="G128" s="72"/>
      <c r="H128" s="73"/>
      <c r="I128" s="71"/>
      <c r="J128" s="74"/>
      <c r="K128" s="75"/>
      <c r="N128" s="116"/>
      <c r="O128" s="116"/>
      <c r="P128" s="116"/>
      <c r="Q128" s="116"/>
    </row>
    <row r="129" spans="2:17" x14ac:dyDescent="0.25">
      <c r="B129" s="71"/>
      <c r="C129" s="117"/>
      <c r="D129" s="117"/>
      <c r="E129" s="117"/>
      <c r="F129" s="72"/>
      <c r="G129" s="72"/>
      <c r="H129" s="73"/>
      <c r="I129" s="71"/>
      <c r="J129" s="74"/>
      <c r="K129" s="75"/>
      <c r="N129" s="116"/>
      <c r="O129" s="116"/>
      <c r="P129" s="116"/>
      <c r="Q129" s="116"/>
    </row>
    <row r="130" spans="2:17" x14ac:dyDescent="0.25">
      <c r="B130" s="71"/>
      <c r="C130" s="117"/>
      <c r="D130" s="117"/>
      <c r="E130" s="117"/>
      <c r="F130" s="72"/>
      <c r="G130" s="72"/>
      <c r="H130" s="73"/>
      <c r="I130" s="71"/>
      <c r="J130" s="74"/>
      <c r="K130" s="75"/>
      <c r="N130" s="116"/>
      <c r="O130" s="116"/>
      <c r="P130" s="116"/>
      <c r="Q130" s="116"/>
    </row>
    <row r="131" spans="2:17" x14ac:dyDescent="0.25">
      <c r="B131" s="71"/>
      <c r="C131" s="117"/>
      <c r="D131" s="117"/>
      <c r="E131" s="117"/>
      <c r="F131" s="72"/>
      <c r="G131" s="72"/>
      <c r="H131" s="73"/>
      <c r="I131" s="71"/>
      <c r="J131" s="74"/>
      <c r="K131" s="75"/>
      <c r="N131" s="116"/>
      <c r="O131" s="116"/>
      <c r="P131" s="116"/>
      <c r="Q131" s="116"/>
    </row>
    <row r="132" spans="2:17" x14ac:dyDescent="0.25">
      <c r="B132" s="71"/>
      <c r="C132" s="117"/>
      <c r="D132" s="117"/>
      <c r="E132" s="117"/>
      <c r="F132" s="72"/>
      <c r="G132" s="72"/>
      <c r="H132" s="73"/>
      <c r="I132" s="71"/>
      <c r="J132" s="74"/>
      <c r="K132" s="75"/>
      <c r="N132" s="116"/>
      <c r="O132" s="116"/>
      <c r="P132" s="116"/>
      <c r="Q132" s="116"/>
    </row>
    <row r="133" spans="2:17" x14ac:dyDescent="0.25">
      <c r="B133" s="71"/>
      <c r="C133" s="117"/>
      <c r="D133" s="117"/>
      <c r="E133" s="117"/>
      <c r="F133" s="72"/>
      <c r="G133" s="72"/>
      <c r="H133" s="73"/>
      <c r="I133" s="71"/>
      <c r="J133" s="74"/>
      <c r="K133" s="75"/>
      <c r="N133" s="116"/>
      <c r="O133" s="116"/>
      <c r="P133" s="116"/>
      <c r="Q133" s="116"/>
    </row>
    <row r="134" spans="2:17" x14ac:dyDescent="0.25">
      <c r="B134" s="71"/>
      <c r="C134" s="123"/>
      <c r="D134" s="123"/>
      <c r="E134" s="123"/>
      <c r="F134" s="72"/>
      <c r="G134" s="72"/>
      <c r="H134" s="73"/>
      <c r="I134" s="71"/>
      <c r="J134" s="74"/>
      <c r="K134" s="75"/>
      <c r="N134" s="116"/>
      <c r="O134" s="116"/>
      <c r="P134" s="116"/>
      <c r="Q134" s="116"/>
    </row>
    <row r="135" spans="2:17" x14ac:dyDescent="0.25">
      <c r="B135" s="71"/>
      <c r="C135" s="123"/>
      <c r="D135" s="123"/>
      <c r="E135" s="123"/>
      <c r="F135" s="72"/>
      <c r="G135" s="72"/>
      <c r="H135" s="73"/>
      <c r="I135" s="71"/>
      <c r="J135" s="74"/>
      <c r="K135" s="75"/>
      <c r="N135" s="116"/>
      <c r="O135" s="116"/>
      <c r="P135" s="116"/>
      <c r="Q135" s="116"/>
    </row>
    <row r="136" spans="2:17" x14ac:dyDescent="0.25">
      <c r="B136" s="71"/>
      <c r="C136" s="123"/>
      <c r="D136" s="123"/>
      <c r="E136" s="123"/>
      <c r="F136" s="72"/>
      <c r="G136" s="72"/>
      <c r="H136" s="73"/>
      <c r="I136" s="71"/>
      <c r="J136" s="74"/>
      <c r="K136" s="75"/>
      <c r="N136" s="116"/>
      <c r="O136" s="116"/>
      <c r="P136" s="116"/>
      <c r="Q136" s="116"/>
    </row>
    <row r="137" spans="2:17" x14ac:dyDescent="0.25">
      <c r="B137" s="71"/>
      <c r="C137" s="123"/>
      <c r="D137" s="123"/>
      <c r="E137" s="123"/>
      <c r="F137" s="72"/>
      <c r="G137" s="72"/>
      <c r="H137" s="73"/>
      <c r="I137" s="71"/>
      <c r="J137" s="74"/>
      <c r="K137" s="75"/>
      <c r="N137" s="116"/>
      <c r="O137" s="116"/>
      <c r="P137" s="116"/>
      <c r="Q137" s="116"/>
    </row>
    <row r="138" spans="2:17" x14ac:dyDescent="0.25">
      <c r="B138" s="71"/>
      <c r="C138" s="123"/>
      <c r="D138" s="123"/>
      <c r="E138" s="123"/>
      <c r="F138" s="72"/>
      <c r="G138" s="72"/>
      <c r="H138" s="73"/>
      <c r="I138" s="71"/>
      <c r="J138" s="74"/>
      <c r="K138" s="75"/>
      <c r="N138" s="116"/>
      <c r="O138" s="116"/>
      <c r="P138" s="116"/>
      <c r="Q138" s="116"/>
    </row>
    <row r="139" spans="2:17" x14ac:dyDescent="0.25">
      <c r="B139" s="71"/>
      <c r="C139" s="123"/>
      <c r="D139" s="123"/>
      <c r="E139" s="123"/>
      <c r="F139" s="72"/>
      <c r="G139" s="72"/>
      <c r="H139" s="73"/>
      <c r="I139" s="71"/>
      <c r="J139" s="74"/>
      <c r="K139" s="75"/>
      <c r="N139" s="116"/>
      <c r="O139" s="116"/>
      <c r="P139" s="116"/>
      <c r="Q139" s="116"/>
    </row>
    <row r="140" spans="2:17" x14ac:dyDescent="0.25">
      <c r="B140" s="71"/>
      <c r="C140" s="123"/>
      <c r="D140" s="123"/>
      <c r="E140" s="123"/>
      <c r="F140" s="72"/>
      <c r="G140" s="72"/>
      <c r="H140" s="73"/>
      <c r="I140" s="71"/>
      <c r="J140" s="74"/>
      <c r="K140" s="75"/>
      <c r="N140" s="116"/>
      <c r="O140" s="116"/>
      <c r="P140" s="116"/>
      <c r="Q140" s="116"/>
    </row>
    <row r="141" spans="2:17" x14ac:dyDescent="0.25">
      <c r="B141" s="71"/>
      <c r="C141" s="123"/>
      <c r="D141" s="123"/>
      <c r="E141" s="123"/>
      <c r="F141" s="72"/>
      <c r="G141" s="72"/>
      <c r="H141" s="73"/>
      <c r="I141" s="71"/>
      <c r="J141" s="74"/>
      <c r="K141" s="75"/>
      <c r="N141" s="116"/>
      <c r="O141" s="116"/>
      <c r="P141" s="116"/>
      <c r="Q141" s="116"/>
    </row>
    <row r="142" spans="2:17" x14ac:dyDescent="0.25">
      <c r="B142" s="71"/>
      <c r="C142" s="123"/>
      <c r="D142" s="123"/>
      <c r="E142" s="123"/>
      <c r="F142" s="72"/>
      <c r="G142" s="72"/>
      <c r="H142" s="73"/>
      <c r="I142" s="71"/>
      <c r="J142" s="74"/>
      <c r="K142" s="75"/>
      <c r="N142" s="116"/>
      <c r="O142" s="116"/>
      <c r="P142" s="116"/>
      <c r="Q142" s="116"/>
    </row>
    <row r="143" spans="2:17" x14ac:dyDescent="0.25">
      <c r="B143" s="71"/>
      <c r="C143" s="123"/>
      <c r="D143" s="123"/>
      <c r="E143" s="123"/>
      <c r="F143" s="72"/>
      <c r="G143" s="72"/>
      <c r="H143" s="73"/>
      <c r="I143" s="71"/>
      <c r="J143" s="74"/>
      <c r="K143" s="75"/>
      <c r="N143" s="116"/>
      <c r="O143" s="116"/>
      <c r="P143" s="116"/>
      <c r="Q143" s="116"/>
    </row>
    <row r="144" spans="2:17" x14ac:dyDescent="0.25">
      <c r="B144" s="71"/>
      <c r="C144" s="123"/>
      <c r="D144" s="123"/>
      <c r="E144" s="123"/>
      <c r="F144" s="72"/>
      <c r="G144" s="72"/>
      <c r="H144" s="73"/>
      <c r="I144" s="71"/>
      <c r="J144" s="74"/>
      <c r="K144" s="75"/>
      <c r="N144" s="116"/>
      <c r="O144" s="116"/>
      <c r="P144" s="116"/>
      <c r="Q144" s="116"/>
    </row>
    <row r="145" spans="2:17" x14ac:dyDescent="0.25">
      <c r="B145" s="71"/>
      <c r="C145" s="123"/>
      <c r="D145" s="123"/>
      <c r="E145" s="123"/>
      <c r="F145" s="72"/>
      <c r="G145" s="72"/>
      <c r="H145" s="73"/>
      <c r="I145" s="71"/>
      <c r="J145" s="74"/>
      <c r="K145" s="75"/>
      <c r="N145" s="116"/>
      <c r="O145" s="116"/>
      <c r="P145" s="116"/>
      <c r="Q145" s="116"/>
    </row>
    <row r="146" spans="2:17" x14ac:dyDescent="0.25">
      <c r="B146" s="71"/>
      <c r="C146" s="123"/>
      <c r="D146" s="123"/>
      <c r="E146" s="123"/>
      <c r="F146" s="72"/>
      <c r="G146" s="72"/>
      <c r="H146" s="73"/>
      <c r="I146" s="71"/>
      <c r="J146" s="74"/>
      <c r="K146" s="75"/>
      <c r="N146" s="116"/>
      <c r="O146" s="116"/>
      <c r="P146" s="116"/>
      <c r="Q146" s="116"/>
    </row>
    <row r="147" spans="2:17" x14ac:dyDescent="0.25">
      <c r="B147" s="71"/>
      <c r="C147" s="123"/>
      <c r="D147" s="123"/>
      <c r="E147" s="123"/>
      <c r="F147" s="72"/>
      <c r="G147" s="72"/>
      <c r="H147" s="73"/>
      <c r="I147" s="71"/>
      <c r="J147" s="74"/>
      <c r="K147" s="75"/>
      <c r="N147" s="116"/>
      <c r="O147" s="116"/>
      <c r="P147" s="116"/>
      <c r="Q147" s="116"/>
    </row>
    <row r="148" spans="2:17" x14ac:dyDescent="0.25">
      <c r="B148" s="71"/>
      <c r="C148" s="123"/>
      <c r="D148" s="123"/>
      <c r="E148" s="123"/>
      <c r="F148" s="72"/>
      <c r="G148" s="72"/>
      <c r="H148" s="73"/>
      <c r="I148" s="71"/>
      <c r="J148" s="74"/>
      <c r="K148" s="75"/>
      <c r="N148" s="116"/>
      <c r="O148" s="116"/>
      <c r="P148" s="116"/>
      <c r="Q148" s="116"/>
    </row>
    <row r="149" spans="2:17" x14ac:dyDescent="0.25">
      <c r="B149" s="71"/>
      <c r="C149" s="123"/>
      <c r="D149" s="123"/>
      <c r="E149" s="123"/>
      <c r="F149" s="72"/>
      <c r="G149" s="72"/>
      <c r="H149" s="73"/>
      <c r="I149" s="71"/>
      <c r="J149" s="74"/>
      <c r="K149" s="75"/>
      <c r="N149" s="116"/>
      <c r="O149" s="116"/>
      <c r="P149" s="116"/>
      <c r="Q149" s="116"/>
    </row>
    <row r="150" spans="2:17" x14ac:dyDescent="0.25">
      <c r="B150" s="71"/>
      <c r="C150" s="123"/>
      <c r="D150" s="123"/>
      <c r="E150" s="123"/>
      <c r="F150" s="72"/>
      <c r="G150" s="72"/>
      <c r="H150" s="73"/>
      <c r="I150" s="71"/>
      <c r="J150" s="74"/>
      <c r="K150" s="75"/>
      <c r="N150" s="116"/>
      <c r="O150" s="116"/>
      <c r="P150" s="116"/>
      <c r="Q150" s="116"/>
    </row>
    <row r="151" spans="2:17" x14ac:dyDescent="0.25">
      <c r="B151" s="71"/>
      <c r="C151" s="123"/>
      <c r="D151" s="123"/>
      <c r="E151" s="123"/>
      <c r="F151" s="72"/>
      <c r="G151" s="72"/>
      <c r="H151" s="73"/>
      <c r="I151" s="71"/>
      <c r="J151" s="74"/>
      <c r="K151" s="75"/>
      <c r="N151" s="116"/>
      <c r="O151" s="116"/>
      <c r="P151" s="116"/>
      <c r="Q151" s="116"/>
    </row>
    <row r="152" spans="2:17" x14ac:dyDescent="0.25">
      <c r="B152" s="71"/>
      <c r="C152" s="123"/>
      <c r="D152" s="123"/>
      <c r="E152" s="123"/>
      <c r="F152" s="72"/>
      <c r="G152" s="72"/>
      <c r="H152" s="73"/>
      <c r="I152" s="71"/>
      <c r="J152" s="74"/>
      <c r="K152" s="75"/>
      <c r="N152" s="116"/>
      <c r="O152" s="116"/>
      <c r="P152" s="116"/>
      <c r="Q152" s="116"/>
    </row>
    <row r="153" spans="2:17" x14ac:dyDescent="0.25">
      <c r="B153" s="71"/>
      <c r="C153" s="123"/>
      <c r="D153" s="123"/>
      <c r="E153" s="123"/>
      <c r="F153" s="72"/>
      <c r="G153" s="72"/>
      <c r="H153" s="73"/>
      <c r="I153" s="71"/>
      <c r="J153" s="74"/>
      <c r="K153" s="75"/>
      <c r="N153" s="116"/>
      <c r="O153" s="116"/>
      <c r="P153" s="116"/>
      <c r="Q153" s="116"/>
    </row>
    <row r="154" spans="2:17" x14ac:dyDescent="0.25">
      <c r="B154" s="71"/>
      <c r="C154" s="123"/>
      <c r="D154" s="123"/>
      <c r="E154" s="123"/>
      <c r="F154" s="72"/>
      <c r="G154" s="72"/>
      <c r="H154" s="73"/>
      <c r="I154" s="71"/>
      <c r="J154" s="74"/>
      <c r="K154" s="75"/>
      <c r="N154" s="116"/>
      <c r="O154" s="116"/>
      <c r="P154" s="116"/>
      <c r="Q154" s="116"/>
    </row>
    <row r="155" spans="2:17" x14ac:dyDescent="0.25">
      <c r="B155" s="71"/>
      <c r="C155" s="123"/>
      <c r="D155" s="123"/>
      <c r="E155" s="123"/>
      <c r="F155" s="72"/>
      <c r="G155" s="72"/>
      <c r="H155" s="73"/>
      <c r="I155" s="71"/>
      <c r="J155" s="74"/>
      <c r="K155" s="75"/>
      <c r="N155" s="116"/>
      <c r="O155" s="116"/>
      <c r="P155" s="116"/>
      <c r="Q155" s="116"/>
    </row>
    <row r="156" spans="2:17" x14ac:dyDescent="0.25">
      <c r="B156" s="71"/>
      <c r="C156" s="124"/>
      <c r="D156" s="124"/>
      <c r="E156" s="124"/>
      <c r="F156" s="72"/>
      <c r="G156" s="72"/>
      <c r="H156" s="73"/>
      <c r="I156" s="71"/>
      <c r="J156" s="74"/>
      <c r="K156" s="75"/>
      <c r="N156" s="116"/>
      <c r="O156" s="116"/>
      <c r="P156" s="116"/>
      <c r="Q156" s="116"/>
    </row>
    <row r="157" spans="2:17" x14ac:dyDescent="0.25">
      <c r="B157" s="71"/>
      <c r="C157" s="124"/>
      <c r="D157" s="124"/>
      <c r="E157" s="124"/>
      <c r="F157" s="72"/>
      <c r="G157" s="72"/>
      <c r="H157" s="73"/>
      <c r="I157" s="71"/>
      <c r="J157" s="74"/>
      <c r="K157" s="75"/>
      <c r="N157" s="116"/>
      <c r="O157" s="116"/>
      <c r="P157" s="116"/>
      <c r="Q157" s="116"/>
    </row>
    <row r="158" spans="2:17" x14ac:dyDescent="0.25">
      <c r="B158" s="71"/>
      <c r="C158" s="125"/>
      <c r="D158" s="125"/>
      <c r="E158" s="125"/>
      <c r="F158" s="72"/>
      <c r="G158" s="72"/>
      <c r="H158" s="73"/>
      <c r="I158" s="71"/>
      <c r="J158" s="74"/>
      <c r="K158" s="75"/>
      <c r="N158" s="116"/>
      <c r="O158" s="116"/>
      <c r="P158" s="116"/>
      <c r="Q158" s="116"/>
    </row>
    <row r="159" spans="2:17" x14ac:dyDescent="0.25">
      <c r="B159" s="71"/>
      <c r="C159" s="125"/>
      <c r="D159" s="125"/>
      <c r="E159" s="125"/>
      <c r="F159" s="72"/>
      <c r="G159" s="72"/>
      <c r="H159" s="73"/>
      <c r="I159" s="71"/>
      <c r="J159" s="74"/>
      <c r="K159" s="75"/>
      <c r="N159" s="116"/>
      <c r="O159" s="116"/>
      <c r="P159" s="116"/>
      <c r="Q159" s="116"/>
    </row>
    <row r="160" spans="2:17" x14ac:dyDescent="0.25">
      <c r="B160" s="71"/>
      <c r="C160" s="126"/>
      <c r="D160" s="126"/>
      <c r="E160" s="126"/>
      <c r="F160" s="72"/>
      <c r="G160" s="72"/>
      <c r="H160" s="73"/>
      <c r="I160" s="71"/>
      <c r="J160" s="74"/>
      <c r="K160" s="75"/>
      <c r="N160" s="116"/>
      <c r="O160" s="116"/>
      <c r="P160" s="116"/>
      <c r="Q160" s="116"/>
    </row>
    <row r="161" spans="2:17" x14ac:dyDescent="0.25">
      <c r="B161" s="71"/>
      <c r="C161" s="126"/>
      <c r="D161" s="126"/>
      <c r="E161" s="126"/>
      <c r="F161" s="72"/>
      <c r="G161" s="72"/>
      <c r="H161" s="73"/>
      <c r="I161" s="71"/>
      <c r="J161" s="74"/>
      <c r="K161" s="75"/>
      <c r="N161" s="116"/>
      <c r="O161" s="116"/>
      <c r="P161" s="116"/>
      <c r="Q161" s="116"/>
    </row>
    <row r="162" spans="2:17" x14ac:dyDescent="0.25">
      <c r="B162" s="71"/>
      <c r="C162" s="126"/>
      <c r="D162" s="126"/>
      <c r="E162" s="126"/>
      <c r="F162" s="72"/>
      <c r="G162" s="72"/>
      <c r="H162" s="73"/>
      <c r="I162" s="71"/>
      <c r="J162" s="74"/>
      <c r="K162" s="75"/>
      <c r="N162" s="116"/>
      <c r="O162" s="116"/>
      <c r="P162" s="116"/>
      <c r="Q162" s="116"/>
    </row>
    <row r="163" spans="2:17" x14ac:dyDescent="0.25">
      <c r="B163" s="71"/>
      <c r="C163" s="126"/>
      <c r="D163" s="126"/>
      <c r="E163" s="126"/>
      <c r="F163" s="72"/>
      <c r="G163" s="72"/>
      <c r="H163" s="73"/>
      <c r="I163" s="71"/>
      <c r="J163" s="74"/>
      <c r="K163" s="75"/>
      <c r="N163" s="116"/>
      <c r="O163" s="116"/>
      <c r="P163" s="116"/>
      <c r="Q163" s="116"/>
    </row>
    <row r="164" spans="2:17" x14ac:dyDescent="0.25">
      <c r="B164" s="71"/>
      <c r="C164" s="127"/>
      <c r="D164" s="127"/>
      <c r="E164" s="127"/>
      <c r="F164" s="72"/>
      <c r="G164" s="72"/>
      <c r="H164" s="73"/>
      <c r="I164" s="71"/>
      <c r="J164" s="74"/>
      <c r="K164" s="75"/>
      <c r="N164" s="116"/>
      <c r="O164" s="116"/>
      <c r="P164" s="116"/>
      <c r="Q164" s="116"/>
    </row>
    <row r="165" spans="2:17" x14ac:dyDescent="0.25">
      <c r="B165" s="71"/>
      <c r="C165" s="125"/>
      <c r="D165" s="125"/>
      <c r="E165" s="125"/>
      <c r="F165" s="72"/>
      <c r="G165" s="72"/>
      <c r="H165" s="73"/>
      <c r="I165" s="71"/>
      <c r="J165" s="74"/>
      <c r="K165" s="75"/>
      <c r="N165" s="116"/>
      <c r="O165" s="116"/>
      <c r="P165" s="116"/>
      <c r="Q165" s="116"/>
    </row>
    <row r="166" spans="2:17" x14ac:dyDescent="0.25">
      <c r="B166" s="71"/>
      <c r="C166" s="125"/>
      <c r="D166" s="125"/>
      <c r="E166" s="125"/>
      <c r="F166" s="72"/>
      <c r="G166" s="72"/>
      <c r="H166" s="73"/>
      <c r="I166" s="71"/>
      <c r="J166" s="74"/>
      <c r="K166" s="75"/>
      <c r="N166" s="116"/>
      <c r="O166" s="116"/>
      <c r="P166" s="116"/>
      <c r="Q166" s="116"/>
    </row>
    <row r="167" spans="2:17" x14ac:dyDescent="0.25">
      <c r="B167" s="71"/>
      <c r="C167" s="128"/>
      <c r="D167" s="128"/>
      <c r="E167" s="128"/>
      <c r="F167" s="72"/>
      <c r="G167" s="72"/>
      <c r="H167" s="73"/>
      <c r="I167" s="71"/>
      <c r="J167" s="74"/>
      <c r="K167" s="75"/>
      <c r="N167" s="116"/>
      <c r="O167" s="116"/>
      <c r="P167" s="116"/>
      <c r="Q167" s="116"/>
    </row>
    <row r="168" spans="2:17" x14ac:dyDescent="0.25">
      <c r="B168" s="71"/>
      <c r="C168" s="126"/>
      <c r="D168" s="126"/>
      <c r="E168" s="126"/>
      <c r="F168" s="72"/>
      <c r="G168" s="72"/>
      <c r="H168" s="73"/>
      <c r="I168" s="71"/>
      <c r="J168" s="74"/>
      <c r="K168" s="75"/>
      <c r="N168" s="116"/>
      <c r="O168" s="116"/>
      <c r="P168" s="116"/>
      <c r="Q168" s="116"/>
    </row>
    <row r="169" spans="2:17" x14ac:dyDescent="0.25">
      <c r="B169" s="71"/>
      <c r="C169" s="117"/>
      <c r="D169" s="117"/>
      <c r="E169" s="117"/>
      <c r="F169" s="72"/>
      <c r="G169" s="72"/>
      <c r="H169" s="73"/>
      <c r="I169" s="71"/>
      <c r="J169" s="74"/>
      <c r="K169" s="75"/>
      <c r="N169" s="116"/>
      <c r="O169" s="116"/>
      <c r="P169" s="116"/>
      <c r="Q169" s="116"/>
    </row>
    <row r="170" spans="2:17" x14ac:dyDescent="0.25">
      <c r="B170" s="71"/>
      <c r="C170" s="117"/>
      <c r="D170" s="117"/>
      <c r="E170" s="117"/>
      <c r="F170" s="72"/>
      <c r="G170" s="72"/>
      <c r="H170" s="73"/>
      <c r="I170" s="71"/>
      <c r="J170" s="74"/>
      <c r="K170" s="75"/>
      <c r="N170" s="116"/>
      <c r="O170" s="116"/>
      <c r="P170" s="116"/>
      <c r="Q170" s="116"/>
    </row>
    <row r="171" spans="2:17" x14ac:dyDescent="0.25">
      <c r="B171" s="71"/>
      <c r="C171" s="117"/>
      <c r="D171" s="117"/>
      <c r="E171" s="117"/>
      <c r="F171" s="72"/>
      <c r="G171" s="72"/>
      <c r="H171" s="73"/>
      <c r="I171" s="71"/>
      <c r="J171" s="74"/>
      <c r="K171" s="75"/>
      <c r="N171" s="116"/>
      <c r="O171" s="116"/>
      <c r="P171" s="116"/>
      <c r="Q171" s="116"/>
    </row>
    <row r="172" spans="2:17" x14ac:dyDescent="0.25">
      <c r="B172" s="71"/>
      <c r="C172" s="117"/>
      <c r="D172" s="117"/>
      <c r="E172" s="117"/>
      <c r="F172" s="72"/>
      <c r="G172" s="72"/>
      <c r="H172" s="73"/>
      <c r="I172" s="71"/>
      <c r="J172" s="74"/>
      <c r="K172" s="75"/>
      <c r="N172" s="116"/>
      <c r="O172" s="116"/>
      <c r="P172" s="116"/>
      <c r="Q172" s="116"/>
    </row>
    <row r="173" spans="2:17" x14ac:dyDescent="0.25">
      <c r="B173" s="71"/>
      <c r="C173" s="117"/>
      <c r="D173" s="117"/>
      <c r="E173" s="117"/>
      <c r="F173" s="72"/>
      <c r="G173" s="72"/>
      <c r="H173" s="73"/>
      <c r="I173" s="71"/>
      <c r="J173" s="74"/>
      <c r="K173" s="75"/>
      <c r="N173" s="116"/>
      <c r="O173" s="116"/>
      <c r="P173" s="116"/>
      <c r="Q173" s="116"/>
    </row>
    <row r="174" spans="2:17" x14ac:dyDescent="0.25">
      <c r="B174" s="71"/>
      <c r="C174" s="117"/>
      <c r="D174" s="117"/>
      <c r="E174" s="117"/>
      <c r="F174" s="72"/>
      <c r="G174" s="72"/>
      <c r="H174" s="73"/>
      <c r="I174" s="71"/>
      <c r="J174" s="74"/>
      <c r="K174" s="75"/>
      <c r="N174" s="116"/>
      <c r="O174" s="116"/>
      <c r="P174" s="116"/>
      <c r="Q174" s="116"/>
    </row>
    <row r="175" spans="2:17" x14ac:dyDescent="0.25">
      <c r="B175" s="71"/>
      <c r="C175" s="117"/>
      <c r="D175" s="117"/>
      <c r="E175" s="117"/>
      <c r="F175" s="72"/>
      <c r="G175" s="72"/>
      <c r="H175" s="73"/>
      <c r="I175" s="71"/>
      <c r="J175" s="74"/>
      <c r="K175" s="75"/>
      <c r="N175" s="116"/>
      <c r="O175" s="116"/>
      <c r="P175" s="116"/>
      <c r="Q175" s="116"/>
    </row>
    <row r="176" spans="2:17" x14ac:dyDescent="0.25">
      <c r="B176" s="71"/>
      <c r="C176" s="117"/>
      <c r="D176" s="117"/>
      <c r="E176" s="117"/>
      <c r="F176" s="72"/>
      <c r="G176" s="72"/>
      <c r="H176" s="73"/>
      <c r="I176" s="71"/>
      <c r="J176" s="74"/>
      <c r="K176" s="75"/>
      <c r="N176" s="116"/>
      <c r="O176" s="116"/>
      <c r="P176" s="116"/>
      <c r="Q176" s="116"/>
    </row>
    <row r="177" spans="2:17" x14ac:dyDescent="0.25">
      <c r="B177" s="71"/>
      <c r="C177" s="117"/>
      <c r="D177" s="117"/>
      <c r="E177" s="117"/>
      <c r="F177" s="72"/>
      <c r="G177" s="72"/>
      <c r="H177" s="73"/>
      <c r="I177" s="71"/>
      <c r="J177" s="74"/>
      <c r="K177" s="75"/>
      <c r="N177" s="116"/>
      <c r="O177" s="116"/>
      <c r="P177" s="116"/>
      <c r="Q177" s="116"/>
    </row>
    <row r="178" spans="2:17" x14ac:dyDescent="0.25">
      <c r="B178" s="71"/>
      <c r="C178" s="129"/>
      <c r="D178" s="129"/>
      <c r="E178" s="129"/>
      <c r="F178" s="72"/>
      <c r="G178" s="72"/>
      <c r="H178" s="73"/>
      <c r="I178" s="71"/>
      <c r="J178" s="74"/>
      <c r="K178" s="75"/>
      <c r="N178" s="116"/>
      <c r="O178" s="116"/>
      <c r="P178" s="116"/>
      <c r="Q178" s="116"/>
    </row>
    <row r="179" spans="2:17" x14ac:dyDescent="0.25">
      <c r="B179" s="71"/>
      <c r="C179" s="129"/>
      <c r="D179" s="129"/>
      <c r="E179" s="129"/>
      <c r="F179" s="72"/>
      <c r="G179" s="72"/>
      <c r="H179" s="73"/>
      <c r="I179" s="71"/>
      <c r="J179" s="74"/>
      <c r="K179" s="75"/>
      <c r="N179" s="116"/>
      <c r="O179" s="116"/>
      <c r="P179" s="116"/>
      <c r="Q179" s="116"/>
    </row>
    <row r="180" spans="2:17" x14ac:dyDescent="0.25">
      <c r="B180" s="71"/>
      <c r="C180" s="129"/>
      <c r="D180" s="129"/>
      <c r="E180" s="129"/>
      <c r="F180" s="72"/>
      <c r="G180" s="72"/>
      <c r="H180" s="73"/>
      <c r="I180" s="71"/>
      <c r="J180" s="74"/>
      <c r="K180" s="75"/>
      <c r="N180" s="116"/>
      <c r="O180" s="116"/>
      <c r="P180" s="116"/>
      <c r="Q180" s="116"/>
    </row>
    <row r="181" spans="2:17" x14ac:dyDescent="0.25">
      <c r="B181" s="71"/>
      <c r="C181" s="129"/>
      <c r="D181" s="129"/>
      <c r="E181" s="129"/>
      <c r="F181" s="72"/>
      <c r="G181" s="72"/>
      <c r="H181" s="73"/>
      <c r="I181" s="71"/>
      <c r="J181" s="74"/>
      <c r="K181" s="75"/>
      <c r="N181" s="116"/>
      <c r="O181" s="116"/>
      <c r="P181" s="116"/>
      <c r="Q181" s="116"/>
    </row>
    <row r="182" spans="2:17" x14ac:dyDescent="0.25">
      <c r="B182" s="71"/>
      <c r="C182" s="129"/>
      <c r="D182" s="129"/>
      <c r="E182" s="129"/>
      <c r="F182" s="72"/>
      <c r="G182" s="72"/>
      <c r="H182" s="73"/>
      <c r="I182" s="71"/>
      <c r="J182" s="74"/>
      <c r="K182" s="75"/>
      <c r="N182" s="116"/>
      <c r="O182" s="116"/>
      <c r="P182" s="116"/>
      <c r="Q182" s="116"/>
    </row>
    <row r="183" spans="2:17" x14ac:dyDescent="0.25">
      <c r="B183" s="71"/>
      <c r="C183" s="129"/>
      <c r="D183" s="129"/>
      <c r="E183" s="129"/>
      <c r="F183" s="72"/>
      <c r="G183" s="72"/>
      <c r="H183" s="73"/>
      <c r="I183" s="71"/>
      <c r="J183" s="74"/>
      <c r="K183" s="75"/>
      <c r="N183" s="116"/>
      <c r="O183" s="116"/>
      <c r="P183" s="116"/>
      <c r="Q183" s="116"/>
    </row>
    <row r="184" spans="2:17" x14ac:dyDescent="0.25">
      <c r="B184" s="71"/>
      <c r="C184" s="129"/>
      <c r="D184" s="129"/>
      <c r="E184" s="129"/>
      <c r="F184" s="72"/>
      <c r="G184" s="72"/>
      <c r="H184" s="73"/>
      <c r="I184" s="71"/>
      <c r="J184" s="74"/>
      <c r="K184" s="75"/>
      <c r="N184" s="116"/>
      <c r="O184" s="116"/>
      <c r="P184" s="116"/>
      <c r="Q184" s="116"/>
    </row>
    <row r="185" spans="2:17" x14ac:dyDescent="0.25">
      <c r="B185" s="71"/>
      <c r="C185" s="129"/>
      <c r="D185" s="129"/>
      <c r="E185" s="129"/>
      <c r="F185" s="72"/>
      <c r="G185" s="72"/>
      <c r="H185" s="73"/>
      <c r="I185" s="71"/>
      <c r="J185" s="74"/>
      <c r="K185" s="75"/>
      <c r="N185" s="116"/>
      <c r="O185" s="116"/>
      <c r="P185" s="116"/>
      <c r="Q185" s="116"/>
    </row>
    <row r="186" spans="2:17" x14ac:dyDescent="0.25">
      <c r="B186" s="71"/>
      <c r="C186" s="129"/>
      <c r="D186" s="129"/>
      <c r="E186" s="129"/>
      <c r="F186" s="72"/>
      <c r="G186" s="72"/>
      <c r="H186" s="73"/>
      <c r="I186" s="71"/>
      <c r="J186" s="74"/>
      <c r="K186" s="75"/>
      <c r="N186" s="116"/>
      <c r="O186" s="116"/>
      <c r="P186" s="116"/>
      <c r="Q186" s="116"/>
    </row>
    <row r="187" spans="2:17" x14ac:dyDescent="0.25">
      <c r="B187" s="71"/>
      <c r="C187" s="129"/>
      <c r="D187" s="129"/>
      <c r="E187" s="129"/>
      <c r="F187" s="72"/>
      <c r="G187" s="72"/>
      <c r="H187" s="73"/>
      <c r="I187" s="71"/>
      <c r="J187" s="74"/>
      <c r="K187" s="75"/>
      <c r="N187" s="116"/>
      <c r="O187" s="116"/>
      <c r="P187" s="116"/>
      <c r="Q187" s="116"/>
    </row>
    <row r="188" spans="2:17" x14ac:dyDescent="0.25">
      <c r="B188" s="71"/>
      <c r="C188" s="129"/>
      <c r="D188" s="129"/>
      <c r="E188" s="129"/>
      <c r="F188" s="72"/>
      <c r="G188" s="72"/>
      <c r="H188" s="73"/>
      <c r="I188" s="71"/>
      <c r="J188" s="74"/>
      <c r="K188" s="75"/>
      <c r="N188" s="116"/>
      <c r="O188" s="116"/>
      <c r="P188" s="116"/>
      <c r="Q188" s="116"/>
    </row>
    <row r="189" spans="2:17" x14ac:dyDescent="0.25">
      <c r="B189" s="71"/>
      <c r="C189" s="129"/>
      <c r="D189" s="129"/>
      <c r="E189" s="129"/>
      <c r="F189" s="72"/>
      <c r="G189" s="72"/>
      <c r="H189" s="73"/>
      <c r="I189" s="71"/>
      <c r="J189" s="74"/>
      <c r="K189" s="75"/>
      <c r="N189" s="116"/>
      <c r="O189" s="116"/>
      <c r="P189" s="116"/>
      <c r="Q189" s="116"/>
    </row>
    <row r="190" spans="2:17" x14ac:dyDescent="0.25">
      <c r="B190" s="71"/>
      <c r="C190" s="130"/>
      <c r="D190" s="130"/>
      <c r="E190" s="130"/>
      <c r="F190" s="72"/>
      <c r="G190" s="72"/>
      <c r="H190" s="73"/>
      <c r="I190" s="71"/>
      <c r="J190" s="74"/>
      <c r="K190" s="75"/>
      <c r="N190" s="116"/>
      <c r="O190" s="116"/>
      <c r="P190" s="116"/>
      <c r="Q190" s="116"/>
    </row>
    <row r="191" spans="2:17" x14ac:dyDescent="0.25">
      <c r="B191" s="71"/>
      <c r="C191" s="129"/>
      <c r="D191" s="129"/>
      <c r="E191" s="129"/>
      <c r="F191" s="72"/>
      <c r="G191" s="72"/>
      <c r="H191" s="73"/>
      <c r="I191" s="71"/>
      <c r="J191" s="74"/>
      <c r="K191" s="75"/>
      <c r="N191" s="116"/>
      <c r="O191" s="116"/>
      <c r="P191" s="116"/>
      <c r="Q191" s="116"/>
    </row>
    <row r="192" spans="2:17" x14ac:dyDescent="0.25">
      <c r="B192" s="71"/>
      <c r="C192" s="129"/>
      <c r="D192" s="129"/>
      <c r="E192" s="129"/>
      <c r="F192" s="72"/>
      <c r="G192" s="72"/>
      <c r="H192" s="73"/>
      <c r="I192" s="71"/>
      <c r="J192" s="74"/>
      <c r="K192" s="75"/>
      <c r="N192" s="116"/>
      <c r="O192" s="116"/>
      <c r="P192" s="116"/>
      <c r="Q192" s="116"/>
    </row>
    <row r="193" spans="2:17" x14ac:dyDescent="0.25">
      <c r="B193" s="71"/>
      <c r="C193" s="131"/>
      <c r="D193" s="131"/>
      <c r="E193" s="131"/>
      <c r="F193" s="72"/>
      <c r="G193" s="72"/>
      <c r="H193" s="73"/>
      <c r="I193" s="71"/>
      <c r="J193" s="74"/>
      <c r="K193" s="75"/>
      <c r="N193" s="116"/>
      <c r="O193" s="116"/>
      <c r="P193" s="116"/>
      <c r="Q193" s="116"/>
    </row>
    <row r="194" spans="2:17" x14ac:dyDescent="0.25">
      <c r="B194" s="71"/>
      <c r="C194" s="82"/>
      <c r="D194" s="82"/>
      <c r="E194" s="82"/>
      <c r="F194" s="72"/>
      <c r="G194" s="72"/>
      <c r="H194" s="73"/>
      <c r="I194" s="71"/>
      <c r="J194" s="74"/>
      <c r="K194" s="75"/>
      <c r="N194" s="116"/>
      <c r="O194" s="116"/>
      <c r="P194" s="116"/>
      <c r="Q194" s="116"/>
    </row>
    <row r="195" spans="2:17" x14ac:dyDescent="0.25">
      <c r="B195" s="71"/>
      <c r="C195" s="82"/>
      <c r="D195" s="82"/>
      <c r="E195" s="82"/>
      <c r="F195" s="72"/>
      <c r="G195" s="72"/>
      <c r="H195" s="73"/>
      <c r="I195" s="71"/>
      <c r="J195" s="74"/>
      <c r="K195" s="75"/>
      <c r="N195" s="116"/>
      <c r="O195" s="116"/>
      <c r="P195" s="116"/>
      <c r="Q195" s="116"/>
    </row>
    <row r="196" spans="2:17" x14ac:dyDescent="0.25">
      <c r="B196" s="71"/>
      <c r="C196" s="132"/>
      <c r="D196" s="132"/>
      <c r="E196" s="132"/>
      <c r="F196" s="72"/>
      <c r="G196" s="72"/>
      <c r="H196" s="73"/>
      <c r="I196" s="71"/>
      <c r="J196" s="74"/>
      <c r="K196" s="75"/>
      <c r="N196" s="116"/>
      <c r="O196" s="116"/>
      <c r="P196" s="116"/>
      <c r="Q196" s="116"/>
    </row>
    <row r="197" spans="2:17" x14ac:dyDescent="0.25">
      <c r="B197" s="71"/>
      <c r="C197" s="132"/>
      <c r="D197" s="132"/>
      <c r="E197" s="132"/>
      <c r="F197" s="72"/>
      <c r="G197" s="72"/>
      <c r="H197" s="73"/>
      <c r="I197" s="71"/>
      <c r="J197" s="74"/>
      <c r="K197" s="75"/>
      <c r="N197" s="116"/>
      <c r="O197" s="116"/>
      <c r="P197" s="116"/>
      <c r="Q197" s="116"/>
    </row>
    <row r="198" spans="2:17" x14ac:dyDescent="0.25">
      <c r="B198" s="71"/>
      <c r="C198" s="132"/>
      <c r="D198" s="132"/>
      <c r="E198" s="132"/>
      <c r="F198" s="72"/>
      <c r="G198" s="72"/>
      <c r="H198" s="73"/>
      <c r="I198" s="71"/>
      <c r="J198" s="74"/>
      <c r="K198" s="75"/>
      <c r="N198" s="116"/>
      <c r="O198" s="116"/>
      <c r="P198" s="116"/>
      <c r="Q198" s="116"/>
    </row>
    <row r="199" spans="2:17" x14ac:dyDescent="0.25">
      <c r="B199" s="71"/>
      <c r="C199" s="132"/>
      <c r="D199" s="132"/>
      <c r="E199" s="132"/>
      <c r="F199" s="72"/>
      <c r="G199" s="72"/>
      <c r="H199" s="73"/>
      <c r="I199" s="71"/>
      <c r="J199" s="74"/>
      <c r="K199" s="75"/>
      <c r="N199" s="116"/>
      <c r="O199" s="116"/>
      <c r="P199" s="116"/>
      <c r="Q199" s="116"/>
    </row>
    <row r="200" spans="2:17" x14ac:dyDescent="0.25">
      <c r="B200" s="71"/>
      <c r="C200" s="132"/>
      <c r="D200" s="132"/>
      <c r="E200" s="132"/>
      <c r="F200" s="72"/>
      <c r="G200" s="72"/>
      <c r="H200" s="73"/>
      <c r="I200" s="71"/>
      <c r="J200" s="74"/>
      <c r="K200" s="75"/>
      <c r="N200" s="116"/>
      <c r="O200" s="116"/>
      <c r="P200" s="116"/>
      <c r="Q200" s="116"/>
    </row>
    <row r="201" spans="2:17" x14ac:dyDescent="0.25">
      <c r="B201" s="71"/>
      <c r="C201" s="132"/>
      <c r="D201" s="132"/>
      <c r="E201" s="132"/>
      <c r="F201" s="72"/>
      <c r="G201" s="72"/>
      <c r="H201" s="73"/>
      <c r="I201" s="71"/>
      <c r="J201" s="74"/>
      <c r="K201" s="75"/>
      <c r="N201" s="116"/>
      <c r="O201" s="116"/>
      <c r="P201" s="116"/>
      <c r="Q201" s="116"/>
    </row>
    <row r="202" spans="2:17" x14ac:dyDescent="0.25">
      <c r="B202" s="71"/>
      <c r="C202" s="132"/>
      <c r="D202" s="132"/>
      <c r="E202" s="132"/>
      <c r="F202" s="72"/>
      <c r="G202" s="72"/>
      <c r="H202" s="73"/>
      <c r="I202" s="71"/>
      <c r="J202" s="74"/>
      <c r="K202" s="75"/>
      <c r="N202" s="116"/>
      <c r="O202" s="116"/>
      <c r="P202" s="116"/>
      <c r="Q202" s="116"/>
    </row>
    <row r="203" spans="2:17" x14ac:dyDescent="0.25">
      <c r="B203" s="71"/>
      <c r="C203" s="132"/>
      <c r="D203" s="132"/>
      <c r="E203" s="132"/>
      <c r="F203" s="72"/>
      <c r="G203" s="72"/>
      <c r="H203" s="73"/>
      <c r="I203" s="71"/>
      <c r="J203" s="74"/>
      <c r="K203" s="75"/>
      <c r="N203" s="116"/>
      <c r="O203" s="116"/>
      <c r="P203" s="116"/>
      <c r="Q203" s="116"/>
    </row>
    <row r="204" spans="2:17" x14ac:dyDescent="0.25">
      <c r="B204" s="71"/>
      <c r="C204" s="132"/>
      <c r="D204" s="132"/>
      <c r="E204" s="132"/>
      <c r="F204" s="72"/>
      <c r="G204" s="72"/>
      <c r="H204" s="73"/>
      <c r="I204" s="71"/>
      <c r="J204" s="74"/>
      <c r="K204" s="75"/>
      <c r="N204" s="116"/>
      <c r="O204" s="116"/>
      <c r="P204" s="116"/>
      <c r="Q204" s="116"/>
    </row>
    <row r="205" spans="2:17" x14ac:dyDescent="0.25">
      <c r="B205" s="71"/>
      <c r="C205" s="132"/>
      <c r="D205" s="132"/>
      <c r="E205" s="132"/>
      <c r="F205" s="72"/>
      <c r="G205" s="72"/>
      <c r="H205" s="73"/>
      <c r="I205" s="71"/>
      <c r="J205" s="74"/>
      <c r="K205" s="75"/>
      <c r="N205" s="116"/>
      <c r="O205" s="116"/>
      <c r="P205" s="116"/>
      <c r="Q205" s="116"/>
    </row>
    <row r="206" spans="2:17" x14ac:dyDescent="0.25">
      <c r="B206" s="71"/>
      <c r="C206" s="132"/>
      <c r="D206" s="132"/>
      <c r="E206" s="132"/>
      <c r="F206" s="72"/>
      <c r="G206" s="72"/>
      <c r="H206" s="73"/>
      <c r="I206" s="71"/>
      <c r="J206" s="74"/>
      <c r="K206" s="75"/>
      <c r="N206" s="116"/>
      <c r="O206" s="116"/>
      <c r="P206" s="116"/>
      <c r="Q206" s="116"/>
    </row>
    <row r="207" spans="2:17" x14ac:dyDescent="0.25">
      <c r="B207" s="71"/>
      <c r="C207" s="132"/>
      <c r="D207" s="132"/>
      <c r="E207" s="132"/>
      <c r="F207" s="72"/>
      <c r="G207" s="72"/>
      <c r="H207" s="73"/>
      <c r="I207" s="71"/>
      <c r="J207" s="74"/>
      <c r="K207" s="75"/>
      <c r="N207" s="116"/>
      <c r="O207" s="116"/>
      <c r="P207" s="116"/>
      <c r="Q207" s="116"/>
    </row>
    <row r="208" spans="2:17" x14ac:dyDescent="0.25">
      <c r="B208" s="71"/>
      <c r="C208" s="132"/>
      <c r="D208" s="132"/>
      <c r="E208" s="132"/>
      <c r="F208" s="72"/>
      <c r="G208" s="72"/>
      <c r="H208" s="73"/>
      <c r="I208" s="71"/>
      <c r="J208" s="74"/>
      <c r="K208" s="75"/>
      <c r="N208" s="116"/>
      <c r="O208" s="116"/>
      <c r="P208" s="116"/>
      <c r="Q208" s="116"/>
    </row>
    <row r="209" spans="2:17" x14ac:dyDescent="0.25">
      <c r="B209" s="71"/>
      <c r="C209" s="132"/>
      <c r="D209" s="132"/>
      <c r="E209" s="132"/>
      <c r="F209" s="72"/>
      <c r="G209" s="72"/>
      <c r="H209" s="73"/>
      <c r="I209" s="71"/>
      <c r="J209" s="74"/>
      <c r="K209" s="75"/>
      <c r="N209" s="116"/>
      <c r="O209" s="116"/>
      <c r="P209" s="116"/>
      <c r="Q209" s="116"/>
    </row>
    <row r="210" spans="2:17" x14ac:dyDescent="0.25">
      <c r="B210" s="71"/>
      <c r="C210" s="132"/>
      <c r="D210" s="132"/>
      <c r="E210" s="132"/>
      <c r="F210" s="72"/>
      <c r="G210" s="72"/>
      <c r="H210" s="73"/>
      <c r="I210" s="71"/>
      <c r="J210" s="74"/>
      <c r="K210" s="75"/>
      <c r="N210" s="116"/>
      <c r="O210" s="116"/>
      <c r="P210" s="116"/>
      <c r="Q210" s="116"/>
    </row>
    <row r="211" spans="2:17" x14ac:dyDescent="0.25">
      <c r="B211" s="71"/>
      <c r="C211" s="132"/>
      <c r="D211" s="132"/>
      <c r="E211" s="132"/>
      <c r="F211" s="72"/>
      <c r="G211" s="72"/>
      <c r="H211" s="73"/>
      <c r="I211" s="71"/>
      <c r="J211" s="74"/>
      <c r="K211" s="75"/>
      <c r="N211" s="116"/>
      <c r="O211" s="116"/>
      <c r="P211" s="116"/>
      <c r="Q211" s="116"/>
    </row>
    <row r="212" spans="2:17" x14ac:dyDescent="0.25">
      <c r="B212" s="71"/>
      <c r="C212" s="132"/>
      <c r="D212" s="132"/>
      <c r="E212" s="132"/>
      <c r="F212" s="72"/>
      <c r="G212" s="72"/>
      <c r="H212" s="73"/>
      <c r="I212" s="71"/>
      <c r="J212" s="74"/>
      <c r="K212" s="75"/>
      <c r="N212" s="116"/>
      <c r="O212" s="116"/>
      <c r="P212" s="116"/>
      <c r="Q212" s="116"/>
    </row>
    <row r="213" spans="2:17" x14ac:dyDescent="0.25">
      <c r="B213" s="71"/>
      <c r="C213" s="132"/>
      <c r="D213" s="132"/>
      <c r="E213" s="132"/>
      <c r="F213" s="72"/>
      <c r="G213" s="72"/>
      <c r="H213" s="73"/>
      <c r="I213" s="71"/>
      <c r="J213" s="74"/>
      <c r="K213" s="75"/>
      <c r="N213" s="116"/>
      <c r="O213" s="116"/>
      <c r="P213" s="116"/>
      <c r="Q213" s="116"/>
    </row>
    <row r="214" spans="2:17" x14ac:dyDescent="0.25">
      <c r="B214" s="71"/>
      <c r="C214" s="132"/>
      <c r="D214" s="132"/>
      <c r="E214" s="132"/>
      <c r="F214" s="72"/>
      <c r="G214" s="72"/>
      <c r="H214" s="73"/>
      <c r="I214" s="71"/>
      <c r="J214" s="74"/>
      <c r="K214" s="75"/>
      <c r="N214" s="116"/>
      <c r="O214" s="116"/>
      <c r="P214" s="116"/>
      <c r="Q214" s="116"/>
    </row>
    <row r="215" spans="2:17" x14ac:dyDescent="0.25">
      <c r="B215" s="71"/>
      <c r="C215" s="132"/>
      <c r="D215" s="132"/>
      <c r="E215" s="132"/>
      <c r="F215" s="72"/>
      <c r="G215" s="72"/>
      <c r="H215" s="73"/>
      <c r="I215" s="71"/>
      <c r="J215" s="74"/>
      <c r="K215" s="75"/>
      <c r="N215" s="116"/>
      <c r="O215" s="116"/>
      <c r="P215" s="116"/>
      <c r="Q215" s="116"/>
    </row>
    <row r="216" spans="2:17" x14ac:dyDescent="0.25">
      <c r="B216" s="71"/>
      <c r="C216" s="132"/>
      <c r="D216" s="132"/>
      <c r="E216" s="132"/>
      <c r="F216" s="72"/>
      <c r="G216" s="72"/>
      <c r="H216" s="73"/>
      <c r="I216" s="71"/>
      <c r="J216" s="74"/>
      <c r="K216" s="75"/>
      <c r="N216" s="116"/>
      <c r="O216" s="116"/>
      <c r="P216" s="116"/>
      <c r="Q216" s="116"/>
    </row>
    <row r="217" spans="2:17" x14ac:dyDescent="0.25">
      <c r="B217" s="71"/>
      <c r="C217" s="132"/>
      <c r="D217" s="132"/>
      <c r="E217" s="132"/>
      <c r="F217" s="72"/>
      <c r="G217" s="72"/>
      <c r="H217" s="73"/>
      <c r="I217" s="71"/>
      <c r="J217" s="74"/>
      <c r="K217" s="75"/>
      <c r="N217" s="116"/>
      <c r="O217" s="116"/>
      <c r="P217" s="116"/>
      <c r="Q217" s="116"/>
    </row>
    <row r="218" spans="2:17" x14ac:dyDescent="0.25">
      <c r="B218" s="71"/>
      <c r="C218" s="132"/>
      <c r="D218" s="132"/>
      <c r="E218" s="132"/>
      <c r="F218" s="72"/>
      <c r="G218" s="72"/>
      <c r="H218" s="73"/>
      <c r="I218" s="71"/>
      <c r="J218" s="74"/>
      <c r="K218" s="75"/>
      <c r="N218" s="116"/>
      <c r="O218" s="116"/>
      <c r="P218" s="116"/>
      <c r="Q218" s="116"/>
    </row>
    <row r="219" spans="2:17" x14ac:dyDescent="0.25">
      <c r="B219" s="71"/>
      <c r="C219" s="132"/>
      <c r="D219" s="132"/>
      <c r="E219" s="132"/>
      <c r="F219" s="72"/>
      <c r="G219" s="72"/>
      <c r="H219" s="73"/>
      <c r="I219" s="71"/>
      <c r="J219" s="74"/>
      <c r="K219" s="75"/>
      <c r="N219" s="116"/>
      <c r="O219" s="116"/>
      <c r="P219" s="116"/>
      <c r="Q219" s="116"/>
    </row>
    <row r="220" spans="2:17" x14ac:dyDescent="0.25">
      <c r="B220" s="71"/>
      <c r="C220" s="132"/>
      <c r="D220" s="132"/>
      <c r="E220" s="132"/>
      <c r="F220" s="72"/>
      <c r="G220" s="72"/>
      <c r="H220" s="73"/>
      <c r="I220" s="71"/>
      <c r="J220" s="74"/>
      <c r="K220" s="75"/>
      <c r="N220" s="116"/>
      <c r="O220" s="116"/>
      <c r="P220" s="116"/>
      <c r="Q220" s="116"/>
    </row>
    <row r="221" spans="2:17" x14ac:dyDescent="0.25">
      <c r="B221" s="71"/>
      <c r="C221" s="132"/>
      <c r="D221" s="132"/>
      <c r="E221" s="132"/>
      <c r="F221" s="72"/>
      <c r="G221" s="72"/>
      <c r="H221" s="73"/>
      <c r="I221" s="71"/>
      <c r="J221" s="74"/>
      <c r="K221" s="75"/>
      <c r="N221" s="116"/>
      <c r="O221" s="116"/>
      <c r="P221" s="116"/>
      <c r="Q221" s="116"/>
    </row>
    <row r="222" spans="2:17" x14ac:dyDescent="0.25">
      <c r="B222" s="71"/>
      <c r="C222" s="132"/>
      <c r="D222" s="132"/>
      <c r="E222" s="132"/>
      <c r="F222" s="72"/>
      <c r="G222" s="72"/>
      <c r="H222" s="73"/>
      <c r="I222" s="71"/>
      <c r="J222" s="74"/>
      <c r="K222" s="75"/>
      <c r="N222" s="116"/>
      <c r="O222" s="116"/>
      <c r="P222" s="116"/>
      <c r="Q222" s="116"/>
    </row>
    <row r="223" spans="2:17" x14ac:dyDescent="0.25">
      <c r="B223" s="71"/>
      <c r="C223" s="132"/>
      <c r="D223" s="132"/>
      <c r="E223" s="132"/>
      <c r="F223" s="72"/>
      <c r="G223" s="72"/>
      <c r="H223" s="73"/>
      <c r="I223" s="71"/>
      <c r="J223" s="74"/>
      <c r="K223" s="75"/>
      <c r="N223" s="116"/>
      <c r="O223" s="116"/>
      <c r="P223" s="116"/>
      <c r="Q223" s="116"/>
    </row>
    <row r="224" spans="2:17" x14ac:dyDescent="0.25">
      <c r="B224" s="71"/>
      <c r="C224" s="132"/>
      <c r="D224" s="132"/>
      <c r="E224" s="132"/>
      <c r="F224" s="72"/>
      <c r="G224" s="72"/>
      <c r="H224" s="73"/>
      <c r="I224" s="71"/>
      <c r="J224" s="74"/>
      <c r="K224" s="75"/>
      <c r="N224" s="116"/>
      <c r="O224" s="116"/>
      <c r="P224" s="116"/>
      <c r="Q224" s="116"/>
    </row>
    <row r="225" spans="2:17" x14ac:dyDescent="0.25">
      <c r="B225" s="71"/>
      <c r="C225" s="132"/>
      <c r="D225" s="132"/>
      <c r="E225" s="132"/>
      <c r="F225" s="72"/>
      <c r="G225" s="72"/>
      <c r="H225" s="73"/>
      <c r="I225" s="71"/>
      <c r="J225" s="74"/>
      <c r="K225" s="75"/>
      <c r="N225" s="116"/>
      <c r="O225" s="116"/>
      <c r="P225" s="116"/>
      <c r="Q225" s="116"/>
    </row>
    <row r="226" spans="2:17" x14ac:dyDescent="0.25">
      <c r="B226" s="71"/>
      <c r="C226" s="132"/>
      <c r="D226" s="132"/>
      <c r="E226" s="132"/>
      <c r="F226" s="72"/>
      <c r="G226" s="72"/>
      <c r="H226" s="73"/>
      <c r="I226" s="71"/>
      <c r="J226" s="74"/>
      <c r="K226" s="75"/>
      <c r="N226" s="116"/>
      <c r="O226" s="116"/>
      <c r="P226" s="116"/>
      <c r="Q226" s="116"/>
    </row>
    <row r="227" spans="2:17" x14ac:dyDescent="0.25">
      <c r="B227" s="71"/>
      <c r="C227" s="132"/>
      <c r="D227" s="132"/>
      <c r="E227" s="132"/>
      <c r="F227" s="72"/>
      <c r="G227" s="72"/>
      <c r="H227" s="73"/>
      <c r="I227" s="71"/>
      <c r="J227" s="74"/>
      <c r="K227" s="75"/>
      <c r="N227" s="116"/>
      <c r="O227" s="116"/>
      <c r="P227" s="116"/>
      <c r="Q227" s="116"/>
    </row>
    <row r="228" spans="2:17" x14ac:dyDescent="0.25">
      <c r="B228" s="71"/>
      <c r="C228" s="132"/>
      <c r="D228" s="132"/>
      <c r="E228" s="132"/>
      <c r="F228" s="72"/>
      <c r="G228" s="72"/>
      <c r="H228" s="73"/>
      <c r="I228" s="71"/>
      <c r="J228" s="74"/>
      <c r="K228" s="75"/>
      <c r="N228" s="116"/>
      <c r="O228" s="116"/>
      <c r="P228" s="116"/>
      <c r="Q228" s="116"/>
    </row>
    <row r="229" spans="2:17" x14ac:dyDescent="0.25">
      <c r="B229" s="71"/>
      <c r="C229" s="132"/>
      <c r="D229" s="132"/>
      <c r="E229" s="132"/>
      <c r="F229" s="72"/>
      <c r="G229" s="72"/>
      <c r="H229" s="73"/>
      <c r="I229" s="71"/>
      <c r="J229" s="74"/>
      <c r="K229" s="75"/>
      <c r="N229" s="116"/>
      <c r="O229" s="116"/>
      <c r="P229" s="116"/>
      <c r="Q229" s="116"/>
    </row>
    <row r="230" spans="2:17" x14ac:dyDescent="0.25">
      <c r="B230" s="71"/>
      <c r="C230" s="132"/>
      <c r="D230" s="132"/>
      <c r="E230" s="132"/>
      <c r="F230" s="72"/>
      <c r="G230" s="72"/>
      <c r="H230" s="73"/>
      <c r="I230" s="71"/>
      <c r="J230" s="74"/>
      <c r="K230" s="75"/>
      <c r="N230" s="116"/>
      <c r="O230" s="116"/>
      <c r="P230" s="116"/>
      <c r="Q230" s="116"/>
    </row>
    <row r="231" spans="2:17" x14ac:dyDescent="0.25">
      <c r="B231" s="71"/>
      <c r="C231" s="132"/>
      <c r="D231" s="132"/>
      <c r="E231" s="132"/>
      <c r="F231" s="72"/>
      <c r="G231" s="72"/>
      <c r="H231" s="73"/>
      <c r="I231" s="71"/>
      <c r="J231" s="74"/>
      <c r="K231" s="75"/>
      <c r="N231" s="116"/>
      <c r="O231" s="116"/>
      <c r="P231" s="116"/>
      <c r="Q231" s="116"/>
    </row>
    <row r="232" spans="2:17" x14ac:dyDescent="0.25">
      <c r="B232" s="71"/>
      <c r="C232" s="132"/>
      <c r="D232" s="132"/>
      <c r="E232" s="132"/>
      <c r="F232" s="72"/>
      <c r="G232" s="72"/>
      <c r="H232" s="73"/>
      <c r="I232" s="71"/>
      <c r="J232" s="74"/>
      <c r="K232" s="75"/>
      <c r="N232" s="116"/>
      <c r="O232" s="116"/>
      <c r="P232" s="116"/>
      <c r="Q232" s="116"/>
    </row>
    <row r="233" spans="2:17" x14ac:dyDescent="0.25">
      <c r="B233" s="71"/>
      <c r="C233" s="132"/>
      <c r="D233" s="132"/>
      <c r="E233" s="132"/>
      <c r="F233" s="72"/>
      <c r="G233" s="72"/>
      <c r="H233" s="73"/>
      <c r="I233" s="71"/>
      <c r="J233" s="74"/>
      <c r="K233" s="75"/>
      <c r="N233" s="116"/>
      <c r="O233" s="116"/>
      <c r="P233" s="116"/>
      <c r="Q233" s="116"/>
    </row>
    <row r="234" spans="2:17" x14ac:dyDescent="0.25">
      <c r="B234" s="71"/>
      <c r="C234" s="132"/>
      <c r="D234" s="132"/>
      <c r="E234" s="132"/>
      <c r="F234" s="72"/>
      <c r="G234" s="72"/>
      <c r="H234" s="73"/>
      <c r="I234" s="71"/>
      <c r="J234" s="74"/>
      <c r="K234" s="75"/>
      <c r="N234" s="116"/>
      <c r="O234" s="116"/>
      <c r="P234" s="116"/>
      <c r="Q234" s="116"/>
    </row>
    <row r="235" spans="2:17" x14ac:dyDescent="0.25">
      <c r="B235" s="71"/>
      <c r="C235" s="132"/>
      <c r="D235" s="132"/>
      <c r="E235" s="132"/>
      <c r="F235" s="72"/>
      <c r="G235" s="72"/>
      <c r="H235" s="73"/>
      <c r="I235" s="71"/>
      <c r="J235" s="74"/>
      <c r="K235" s="75"/>
      <c r="N235" s="116"/>
      <c r="O235" s="116"/>
      <c r="P235" s="116"/>
      <c r="Q235" s="116"/>
    </row>
    <row r="236" spans="2:17" x14ac:dyDescent="0.25">
      <c r="B236" s="71"/>
      <c r="C236" s="132"/>
      <c r="D236" s="132"/>
      <c r="E236" s="132"/>
      <c r="F236" s="72"/>
      <c r="G236" s="72"/>
      <c r="H236" s="73"/>
      <c r="I236" s="71"/>
      <c r="J236" s="74"/>
      <c r="K236" s="75"/>
      <c r="N236" s="116"/>
      <c r="O236" s="116"/>
      <c r="P236" s="116"/>
      <c r="Q236" s="116"/>
    </row>
    <row r="237" spans="2:17" x14ac:dyDescent="0.25">
      <c r="B237" s="71"/>
      <c r="C237" s="132"/>
      <c r="D237" s="132"/>
      <c r="E237" s="132"/>
      <c r="F237" s="72"/>
      <c r="G237" s="72"/>
      <c r="H237" s="73"/>
      <c r="I237" s="71"/>
      <c r="J237" s="74"/>
      <c r="K237" s="75"/>
      <c r="N237" s="116"/>
      <c r="O237" s="116"/>
      <c r="P237" s="116"/>
      <c r="Q237" s="116"/>
    </row>
    <row r="238" spans="2:17" x14ac:dyDescent="0.25">
      <c r="B238" s="71"/>
      <c r="C238" s="132"/>
      <c r="D238" s="132"/>
      <c r="E238" s="132"/>
      <c r="F238" s="72"/>
      <c r="G238" s="72"/>
      <c r="H238" s="73"/>
      <c r="I238" s="71"/>
      <c r="J238" s="74"/>
      <c r="K238" s="75"/>
      <c r="N238" s="116"/>
      <c r="O238" s="116"/>
      <c r="P238" s="116"/>
      <c r="Q238" s="116"/>
    </row>
    <row r="239" spans="2:17" x14ac:dyDescent="0.25">
      <c r="B239" s="71"/>
      <c r="C239" s="132"/>
      <c r="D239" s="132"/>
      <c r="E239" s="132"/>
      <c r="F239" s="72"/>
      <c r="G239" s="72"/>
      <c r="H239" s="73"/>
      <c r="I239" s="71"/>
      <c r="J239" s="74"/>
      <c r="K239" s="75"/>
      <c r="N239" s="116"/>
      <c r="O239" s="116"/>
      <c r="P239" s="116"/>
      <c r="Q239" s="116"/>
    </row>
    <row r="240" spans="2:17" x14ac:dyDescent="0.25">
      <c r="B240" s="71"/>
      <c r="C240" s="132"/>
      <c r="D240" s="132"/>
      <c r="E240" s="132"/>
      <c r="F240" s="72"/>
      <c r="G240" s="72"/>
      <c r="H240" s="73"/>
      <c r="I240" s="71"/>
      <c r="J240" s="74"/>
      <c r="K240" s="75"/>
      <c r="N240" s="116"/>
      <c r="O240" s="116"/>
      <c r="P240" s="116"/>
      <c r="Q240" s="116"/>
    </row>
    <row r="241" spans="2:17" x14ac:dyDescent="0.25">
      <c r="B241" s="71"/>
      <c r="C241" s="132"/>
      <c r="D241" s="132"/>
      <c r="E241" s="132"/>
      <c r="F241" s="72"/>
      <c r="G241" s="72"/>
      <c r="H241" s="73"/>
      <c r="I241" s="71"/>
      <c r="J241" s="74"/>
      <c r="K241" s="75"/>
      <c r="N241" s="116"/>
      <c r="O241" s="116"/>
      <c r="P241" s="116"/>
      <c r="Q241" s="116"/>
    </row>
    <row r="242" spans="2:17" x14ac:dyDescent="0.25">
      <c r="B242" s="71"/>
      <c r="C242" s="132"/>
      <c r="D242" s="132"/>
      <c r="E242" s="132"/>
      <c r="F242" s="72"/>
      <c r="G242" s="72"/>
      <c r="H242" s="73"/>
      <c r="I242" s="71"/>
      <c r="J242" s="74"/>
      <c r="K242" s="75"/>
      <c r="N242" s="116"/>
      <c r="O242" s="116"/>
      <c r="P242" s="116"/>
      <c r="Q242" s="116"/>
    </row>
    <row r="243" spans="2:17" x14ac:dyDescent="0.25">
      <c r="B243" s="71"/>
      <c r="C243" s="132"/>
      <c r="D243" s="132"/>
      <c r="E243" s="132"/>
      <c r="F243" s="72"/>
      <c r="G243" s="72"/>
      <c r="H243" s="73"/>
      <c r="I243" s="71"/>
      <c r="J243" s="74"/>
      <c r="K243" s="75"/>
      <c r="N243" s="116"/>
      <c r="O243" s="116"/>
      <c r="P243" s="116"/>
      <c r="Q243" s="116"/>
    </row>
    <row r="244" spans="2:17" x14ac:dyDescent="0.25">
      <c r="B244" s="71"/>
      <c r="C244" s="132"/>
      <c r="D244" s="132"/>
      <c r="E244" s="132"/>
      <c r="F244" s="72"/>
      <c r="G244" s="72"/>
      <c r="H244" s="73"/>
      <c r="I244" s="71"/>
      <c r="J244" s="74"/>
      <c r="K244" s="75"/>
      <c r="N244" s="116"/>
      <c r="O244" s="116"/>
      <c r="P244" s="116"/>
      <c r="Q244" s="116"/>
    </row>
    <row r="245" spans="2:17" x14ac:dyDescent="0.25">
      <c r="B245" s="71"/>
      <c r="C245" s="132"/>
      <c r="D245" s="132"/>
      <c r="E245" s="132"/>
      <c r="F245" s="72"/>
      <c r="G245" s="72"/>
      <c r="H245" s="73"/>
      <c r="I245" s="71"/>
      <c r="J245" s="74"/>
      <c r="K245" s="75"/>
      <c r="N245" s="116"/>
      <c r="O245" s="116"/>
      <c r="P245" s="116"/>
      <c r="Q245" s="116"/>
    </row>
    <row r="246" spans="2:17" x14ac:dyDescent="0.25">
      <c r="B246" s="71"/>
      <c r="C246" s="132"/>
      <c r="D246" s="132"/>
      <c r="E246" s="132"/>
      <c r="F246" s="72"/>
      <c r="G246" s="72"/>
      <c r="H246" s="73"/>
      <c r="I246" s="71"/>
      <c r="J246" s="74"/>
      <c r="K246" s="75"/>
      <c r="N246" s="116"/>
      <c r="O246" s="116"/>
      <c r="P246" s="116"/>
      <c r="Q246" s="116"/>
    </row>
    <row r="247" spans="2:17" x14ac:dyDescent="0.25">
      <c r="B247" s="71"/>
      <c r="C247" s="132"/>
      <c r="D247" s="132"/>
      <c r="E247" s="132"/>
      <c r="F247" s="72"/>
      <c r="G247" s="72"/>
      <c r="H247" s="73"/>
      <c r="I247" s="71"/>
      <c r="J247" s="74"/>
      <c r="K247" s="75"/>
      <c r="N247" s="116"/>
      <c r="O247" s="116"/>
      <c r="P247" s="116"/>
      <c r="Q247" s="116"/>
    </row>
    <row r="248" spans="2:17" x14ac:dyDescent="0.25">
      <c r="B248" s="71"/>
      <c r="C248" s="132"/>
      <c r="D248" s="132"/>
      <c r="E248" s="132"/>
      <c r="F248" s="72"/>
      <c r="G248" s="72"/>
      <c r="H248" s="73"/>
      <c r="I248" s="71"/>
      <c r="J248" s="74"/>
      <c r="K248" s="75"/>
      <c r="N248" s="116"/>
      <c r="O248" s="116"/>
      <c r="P248" s="116"/>
      <c r="Q248" s="116"/>
    </row>
    <row r="249" spans="2:17" x14ac:dyDescent="0.25">
      <c r="B249" s="71"/>
      <c r="C249" s="132"/>
      <c r="D249" s="132"/>
      <c r="E249" s="132"/>
      <c r="F249" s="72"/>
      <c r="G249" s="72"/>
      <c r="H249" s="73"/>
      <c r="I249" s="71"/>
      <c r="J249" s="74"/>
      <c r="K249" s="75"/>
      <c r="N249" s="116"/>
      <c r="O249" s="116"/>
      <c r="P249" s="116"/>
      <c r="Q249" s="116"/>
    </row>
    <row r="250" spans="2:17" x14ac:dyDescent="0.25">
      <c r="B250" s="71"/>
      <c r="C250" s="132"/>
      <c r="D250" s="132"/>
      <c r="E250" s="132"/>
      <c r="F250" s="72"/>
      <c r="G250" s="72"/>
      <c r="H250" s="73"/>
      <c r="I250" s="71"/>
      <c r="J250" s="74"/>
      <c r="K250" s="75"/>
      <c r="N250" s="116"/>
      <c r="O250" s="116"/>
      <c r="P250" s="116"/>
      <c r="Q250" s="116"/>
    </row>
    <row r="251" spans="2:17" x14ac:dyDescent="0.25">
      <c r="B251" s="71"/>
      <c r="C251" s="132"/>
      <c r="D251" s="132"/>
      <c r="E251" s="132"/>
      <c r="F251" s="72"/>
      <c r="G251" s="72"/>
      <c r="H251" s="73"/>
      <c r="I251" s="71"/>
      <c r="J251" s="74"/>
      <c r="K251" s="75"/>
      <c r="N251" s="116"/>
      <c r="O251" s="116"/>
      <c r="P251" s="116"/>
      <c r="Q251" s="116"/>
    </row>
    <row r="252" spans="2:17" x14ac:dyDescent="0.25">
      <c r="B252" s="71"/>
      <c r="C252" s="132"/>
      <c r="D252" s="132"/>
      <c r="E252" s="132"/>
      <c r="F252" s="72"/>
      <c r="G252" s="72"/>
      <c r="H252" s="73"/>
      <c r="I252" s="71"/>
      <c r="J252" s="74"/>
      <c r="K252" s="75"/>
      <c r="N252" s="116"/>
      <c r="O252" s="116"/>
      <c r="P252" s="116"/>
      <c r="Q252" s="116"/>
    </row>
    <row r="253" spans="2:17" x14ac:dyDescent="0.25">
      <c r="B253" s="71"/>
      <c r="C253" s="132"/>
      <c r="D253" s="132"/>
      <c r="E253" s="132"/>
      <c r="F253" s="72"/>
      <c r="G253" s="72"/>
      <c r="H253" s="73"/>
      <c r="I253" s="71"/>
      <c r="J253" s="74"/>
      <c r="K253" s="75"/>
      <c r="N253" s="116"/>
      <c r="O253" s="116"/>
      <c r="P253" s="116"/>
      <c r="Q253" s="116"/>
    </row>
    <row r="254" spans="2:17" x14ac:dyDescent="0.25">
      <c r="B254" s="71"/>
      <c r="C254" s="132"/>
      <c r="D254" s="132"/>
      <c r="E254" s="132"/>
      <c r="F254" s="72"/>
      <c r="G254" s="72"/>
      <c r="H254" s="73"/>
      <c r="I254" s="71"/>
      <c r="J254" s="74"/>
      <c r="K254" s="75"/>
      <c r="N254" s="116"/>
      <c r="O254" s="116"/>
      <c r="P254" s="116"/>
      <c r="Q254" s="116"/>
    </row>
    <row r="255" spans="2:17" x14ac:dyDescent="0.25">
      <c r="B255" s="71"/>
      <c r="C255" s="132"/>
      <c r="D255" s="132"/>
      <c r="E255" s="132"/>
      <c r="F255" s="72"/>
      <c r="G255" s="72"/>
      <c r="H255" s="73"/>
      <c r="I255" s="71"/>
      <c r="J255" s="74"/>
      <c r="K255" s="75"/>
      <c r="N255" s="116"/>
      <c r="O255" s="116"/>
      <c r="P255" s="116"/>
      <c r="Q255" s="116"/>
    </row>
    <row r="256" spans="2:17" x14ac:dyDescent="0.25">
      <c r="B256" s="71"/>
      <c r="C256" s="132"/>
      <c r="D256" s="132"/>
      <c r="E256" s="132"/>
      <c r="F256" s="72"/>
      <c r="G256" s="72"/>
      <c r="H256" s="73"/>
      <c r="I256" s="71"/>
      <c r="J256" s="74"/>
      <c r="K256" s="75"/>
      <c r="N256" s="116"/>
      <c r="O256" s="116"/>
      <c r="P256" s="116"/>
      <c r="Q256" s="116"/>
    </row>
    <row r="257" spans="2:17" x14ac:dyDescent="0.25">
      <c r="B257" s="71"/>
      <c r="C257" s="132"/>
      <c r="D257" s="132"/>
      <c r="E257" s="132"/>
      <c r="F257" s="72"/>
      <c r="G257" s="72"/>
      <c r="H257" s="73"/>
      <c r="I257" s="71"/>
      <c r="J257" s="74"/>
      <c r="K257" s="75"/>
      <c r="N257" s="116"/>
      <c r="O257" s="116"/>
      <c r="P257" s="116"/>
      <c r="Q257" s="116"/>
    </row>
    <row r="258" spans="2:17" x14ac:dyDescent="0.25">
      <c r="B258" s="71"/>
      <c r="C258" s="132"/>
      <c r="D258" s="132"/>
      <c r="E258" s="132"/>
      <c r="F258" s="72"/>
      <c r="G258" s="72"/>
      <c r="H258" s="73"/>
      <c r="I258" s="71"/>
      <c r="J258" s="74"/>
      <c r="K258" s="75"/>
      <c r="N258" s="116"/>
      <c r="O258" s="116"/>
      <c r="P258" s="116"/>
      <c r="Q258" s="116"/>
    </row>
    <row r="259" spans="2:17" x14ac:dyDescent="0.25">
      <c r="B259" s="71"/>
      <c r="C259" s="132"/>
      <c r="D259" s="132"/>
      <c r="E259" s="132"/>
      <c r="F259" s="72"/>
      <c r="G259" s="72"/>
      <c r="H259" s="73"/>
      <c r="I259" s="71"/>
      <c r="J259" s="74"/>
      <c r="K259" s="75"/>
      <c r="N259" s="116"/>
      <c r="O259" s="116"/>
      <c r="P259" s="116"/>
      <c r="Q259" s="116"/>
    </row>
    <row r="260" spans="2:17" x14ac:dyDescent="0.25">
      <c r="B260" s="71"/>
      <c r="C260" s="132"/>
      <c r="D260" s="132"/>
      <c r="E260" s="132"/>
      <c r="F260" s="72"/>
      <c r="G260" s="72"/>
      <c r="H260" s="73"/>
      <c r="I260" s="71"/>
      <c r="J260" s="74"/>
      <c r="K260" s="75"/>
      <c r="N260" s="116"/>
      <c r="O260" s="116"/>
      <c r="P260" s="116"/>
      <c r="Q260" s="116"/>
    </row>
    <row r="261" spans="2:17" x14ac:dyDescent="0.25">
      <c r="B261" s="71"/>
      <c r="C261" s="132"/>
      <c r="D261" s="132"/>
      <c r="E261" s="132"/>
      <c r="F261" s="72"/>
      <c r="G261" s="72"/>
      <c r="H261" s="73"/>
      <c r="I261" s="71"/>
      <c r="J261" s="74"/>
      <c r="K261" s="75"/>
      <c r="N261" s="116"/>
      <c r="O261" s="116"/>
      <c r="P261" s="116"/>
      <c r="Q261" s="116"/>
    </row>
    <row r="262" spans="2:17" x14ac:dyDescent="0.25">
      <c r="B262" s="71"/>
      <c r="C262" s="132"/>
      <c r="D262" s="132"/>
      <c r="E262" s="132"/>
      <c r="F262" s="72"/>
      <c r="G262" s="72"/>
      <c r="H262" s="73"/>
      <c r="I262" s="71"/>
      <c r="J262" s="74"/>
      <c r="K262" s="75"/>
      <c r="N262" s="116"/>
      <c r="O262" s="116"/>
      <c r="P262" s="116"/>
      <c r="Q262" s="116"/>
    </row>
    <row r="263" spans="2:17" x14ac:dyDescent="0.25">
      <c r="B263" s="71"/>
      <c r="C263" s="132"/>
      <c r="D263" s="132"/>
      <c r="E263" s="132"/>
      <c r="F263" s="72"/>
      <c r="G263" s="72"/>
      <c r="H263" s="73"/>
      <c r="I263" s="71"/>
      <c r="J263" s="74"/>
      <c r="K263" s="75"/>
      <c r="N263" s="116"/>
      <c r="O263" s="116"/>
      <c r="P263" s="116"/>
      <c r="Q263" s="116"/>
    </row>
    <row r="264" spans="2:17" x14ac:dyDescent="0.25">
      <c r="B264" s="71"/>
      <c r="C264" s="132"/>
      <c r="D264" s="132"/>
      <c r="E264" s="132"/>
      <c r="F264" s="72"/>
      <c r="G264" s="72"/>
      <c r="H264" s="73"/>
      <c r="I264" s="71"/>
      <c r="J264" s="74"/>
      <c r="K264" s="75"/>
      <c r="N264" s="116"/>
      <c r="O264" s="116"/>
      <c r="P264" s="116"/>
      <c r="Q264" s="116"/>
    </row>
    <row r="265" spans="2:17" x14ac:dyDescent="0.25">
      <c r="B265" s="71"/>
      <c r="C265" s="132"/>
      <c r="D265" s="132"/>
      <c r="E265" s="132"/>
      <c r="F265" s="72"/>
      <c r="G265" s="72"/>
      <c r="H265" s="73"/>
      <c r="I265" s="71"/>
      <c r="J265" s="74"/>
      <c r="K265" s="75"/>
      <c r="N265" s="116"/>
      <c r="O265" s="116"/>
      <c r="P265" s="116"/>
      <c r="Q265" s="116"/>
    </row>
    <row r="266" spans="2:17" x14ac:dyDescent="0.25">
      <c r="B266" s="71"/>
      <c r="C266" s="132"/>
      <c r="D266" s="132"/>
      <c r="E266" s="132"/>
      <c r="F266" s="72"/>
      <c r="G266" s="72"/>
      <c r="H266" s="73"/>
      <c r="I266" s="71"/>
      <c r="J266" s="74"/>
      <c r="K266" s="75"/>
      <c r="N266" s="116"/>
      <c r="O266" s="116"/>
      <c r="P266" s="116"/>
      <c r="Q266" s="116"/>
    </row>
    <row r="267" spans="2:17" x14ac:dyDescent="0.25">
      <c r="B267" s="71"/>
      <c r="C267" s="132"/>
      <c r="D267" s="132"/>
      <c r="E267" s="132"/>
      <c r="F267" s="72"/>
      <c r="G267" s="72"/>
      <c r="H267" s="73"/>
      <c r="I267" s="71"/>
      <c r="J267" s="74"/>
      <c r="K267" s="75"/>
      <c r="N267" s="116"/>
      <c r="O267" s="116"/>
      <c r="P267" s="116"/>
      <c r="Q267" s="116"/>
    </row>
    <row r="268" spans="2:17" x14ac:dyDescent="0.25">
      <c r="B268" s="71"/>
      <c r="C268" s="132"/>
      <c r="D268" s="132"/>
      <c r="E268" s="132"/>
      <c r="F268" s="72"/>
      <c r="G268" s="72"/>
      <c r="H268" s="73"/>
      <c r="I268" s="71"/>
      <c r="J268" s="74"/>
      <c r="K268" s="75"/>
      <c r="N268" s="116"/>
      <c r="O268" s="116"/>
      <c r="P268" s="116"/>
      <c r="Q268" s="116"/>
    </row>
    <row r="269" spans="2:17" x14ac:dyDescent="0.25">
      <c r="B269" s="71"/>
      <c r="C269" s="132"/>
      <c r="D269" s="132"/>
      <c r="E269" s="132"/>
      <c r="F269" s="72"/>
      <c r="G269" s="72"/>
      <c r="H269" s="73"/>
      <c r="I269" s="71"/>
      <c r="J269" s="74"/>
      <c r="K269" s="75"/>
      <c r="N269" s="116"/>
      <c r="O269" s="116"/>
      <c r="P269" s="116"/>
      <c r="Q269" s="116"/>
    </row>
    <row r="270" spans="2:17" x14ac:dyDescent="0.25">
      <c r="B270" s="71"/>
      <c r="C270" s="132"/>
      <c r="D270" s="132"/>
      <c r="E270" s="132"/>
      <c r="F270" s="72"/>
      <c r="G270" s="72"/>
      <c r="H270" s="73"/>
      <c r="I270" s="71"/>
      <c r="J270" s="74"/>
      <c r="K270" s="75"/>
      <c r="N270" s="116"/>
      <c r="O270" s="116"/>
      <c r="P270" s="116"/>
      <c r="Q270" s="116"/>
    </row>
    <row r="271" spans="2:17" x14ac:dyDescent="0.25">
      <c r="B271" s="71"/>
      <c r="C271" s="132"/>
      <c r="D271" s="132"/>
      <c r="E271" s="132"/>
      <c r="F271" s="72"/>
      <c r="G271" s="72"/>
      <c r="H271" s="73"/>
      <c r="I271" s="71"/>
      <c r="J271" s="74"/>
      <c r="K271" s="75"/>
      <c r="N271" s="116"/>
      <c r="O271" s="116"/>
      <c r="P271" s="116"/>
      <c r="Q271" s="116"/>
    </row>
    <row r="272" spans="2:17" x14ac:dyDescent="0.25">
      <c r="B272" s="71"/>
      <c r="C272" s="132"/>
      <c r="D272" s="132"/>
      <c r="E272" s="132"/>
      <c r="F272" s="72"/>
      <c r="G272" s="72"/>
      <c r="H272" s="73"/>
      <c r="I272" s="71"/>
      <c r="J272" s="74"/>
      <c r="K272" s="75"/>
      <c r="N272" s="116"/>
      <c r="O272" s="116"/>
      <c r="P272" s="116"/>
      <c r="Q272" s="116"/>
    </row>
    <row r="273" spans="2:17" x14ac:dyDescent="0.25">
      <c r="B273" s="71"/>
      <c r="C273" s="132"/>
      <c r="D273" s="132"/>
      <c r="E273" s="132"/>
      <c r="F273" s="72"/>
      <c r="G273" s="72"/>
      <c r="H273" s="73"/>
      <c r="I273" s="71"/>
      <c r="J273" s="74"/>
      <c r="K273" s="75"/>
      <c r="N273" s="116"/>
      <c r="O273" s="116"/>
      <c r="P273" s="116"/>
      <c r="Q273" s="116"/>
    </row>
    <row r="274" spans="2:17" x14ac:dyDescent="0.25">
      <c r="B274" s="71"/>
      <c r="C274" s="132"/>
      <c r="D274" s="132"/>
      <c r="E274" s="132"/>
      <c r="F274" s="72"/>
      <c r="G274" s="72"/>
      <c r="H274" s="73"/>
      <c r="I274" s="71"/>
      <c r="J274" s="74"/>
      <c r="K274" s="75"/>
      <c r="N274" s="116"/>
      <c r="O274" s="116"/>
      <c r="P274" s="116"/>
      <c r="Q274" s="116"/>
    </row>
    <row r="275" spans="2:17" x14ac:dyDescent="0.25">
      <c r="B275" s="71"/>
      <c r="C275" s="132"/>
      <c r="D275" s="132"/>
      <c r="E275" s="132"/>
      <c r="F275" s="72"/>
      <c r="G275" s="72"/>
      <c r="H275" s="73"/>
      <c r="I275" s="71"/>
      <c r="J275" s="74"/>
      <c r="K275" s="75"/>
      <c r="N275" s="116"/>
      <c r="O275" s="116"/>
      <c r="P275" s="116"/>
      <c r="Q275" s="116"/>
    </row>
    <row r="276" spans="2:17" x14ac:dyDescent="0.25">
      <c r="B276" s="71"/>
      <c r="C276" s="132"/>
      <c r="D276" s="132"/>
      <c r="E276" s="132"/>
      <c r="F276" s="72"/>
      <c r="G276" s="72"/>
      <c r="H276" s="73"/>
      <c r="I276" s="71"/>
      <c r="J276" s="74"/>
      <c r="K276" s="75"/>
      <c r="N276" s="116"/>
      <c r="O276" s="116"/>
      <c r="P276" s="116"/>
      <c r="Q276" s="116"/>
    </row>
    <row r="277" spans="2:17" x14ac:dyDescent="0.25">
      <c r="B277" s="71"/>
      <c r="C277" s="132"/>
      <c r="D277" s="132"/>
      <c r="E277" s="132"/>
      <c r="F277" s="72"/>
      <c r="G277" s="72"/>
      <c r="H277" s="73"/>
      <c r="I277" s="71"/>
      <c r="J277" s="74"/>
      <c r="K277" s="75"/>
      <c r="N277" s="116"/>
      <c r="O277" s="116"/>
      <c r="P277" s="116"/>
      <c r="Q277" s="116"/>
    </row>
    <row r="278" spans="2:17" x14ac:dyDescent="0.25">
      <c r="B278" s="71"/>
      <c r="C278" s="132"/>
      <c r="D278" s="132"/>
      <c r="E278" s="132"/>
      <c r="F278" s="72"/>
      <c r="G278" s="72"/>
      <c r="H278" s="73"/>
      <c r="I278" s="71"/>
      <c r="J278" s="74"/>
      <c r="K278" s="75"/>
      <c r="N278" s="116"/>
      <c r="O278" s="116"/>
      <c r="P278" s="116"/>
      <c r="Q278" s="116"/>
    </row>
    <row r="279" spans="2:17" x14ac:dyDescent="0.25">
      <c r="B279" s="71"/>
      <c r="C279" s="132"/>
      <c r="D279" s="132"/>
      <c r="E279" s="132"/>
      <c r="F279" s="72"/>
      <c r="G279" s="72"/>
      <c r="H279" s="73"/>
      <c r="I279" s="71"/>
      <c r="J279" s="74"/>
      <c r="K279" s="75"/>
      <c r="N279" s="116"/>
      <c r="O279" s="116"/>
      <c r="P279" s="116"/>
      <c r="Q279" s="116"/>
    </row>
    <row r="280" spans="2:17" x14ac:dyDescent="0.25">
      <c r="B280" s="71"/>
      <c r="C280" s="132"/>
      <c r="D280" s="132"/>
      <c r="E280" s="132"/>
      <c r="F280" s="72"/>
      <c r="G280" s="72"/>
      <c r="H280" s="73"/>
      <c r="I280" s="71"/>
      <c r="J280" s="74"/>
      <c r="K280" s="75"/>
      <c r="N280" s="116"/>
      <c r="O280" s="116"/>
      <c r="P280" s="116"/>
      <c r="Q280" s="116"/>
    </row>
    <row r="281" spans="2:17" x14ac:dyDescent="0.25">
      <c r="B281" s="71"/>
      <c r="C281" s="132"/>
      <c r="D281" s="132"/>
      <c r="E281" s="132"/>
      <c r="F281" s="72"/>
      <c r="G281" s="72"/>
      <c r="H281" s="73"/>
      <c r="I281" s="71"/>
      <c r="J281" s="74"/>
      <c r="K281" s="75"/>
      <c r="N281" s="116"/>
      <c r="O281" s="116"/>
      <c r="P281" s="116"/>
      <c r="Q281" s="116"/>
    </row>
    <row r="282" spans="2:17" x14ac:dyDescent="0.25">
      <c r="B282" s="71"/>
      <c r="C282" s="132"/>
      <c r="D282" s="132"/>
      <c r="E282" s="132"/>
      <c r="F282" s="72"/>
      <c r="G282" s="72"/>
      <c r="H282" s="73"/>
      <c r="I282" s="71"/>
      <c r="J282" s="74"/>
      <c r="K282" s="75"/>
      <c r="N282" s="116"/>
      <c r="O282" s="116"/>
      <c r="P282" s="116"/>
      <c r="Q282" s="116"/>
    </row>
    <row r="283" spans="2:17" x14ac:dyDescent="0.25">
      <c r="B283" s="71"/>
      <c r="C283" s="132"/>
      <c r="D283" s="132"/>
      <c r="E283" s="132"/>
      <c r="F283" s="72"/>
      <c r="G283" s="72"/>
      <c r="H283" s="73"/>
      <c r="I283" s="71"/>
      <c r="J283" s="74"/>
      <c r="K283" s="75"/>
      <c r="N283" s="116"/>
      <c r="O283" s="116"/>
      <c r="P283" s="116"/>
      <c r="Q283" s="116"/>
    </row>
    <row r="284" spans="2:17" x14ac:dyDescent="0.25">
      <c r="B284" s="71"/>
      <c r="C284" s="132"/>
      <c r="D284" s="132"/>
      <c r="E284" s="132"/>
      <c r="F284" s="72"/>
      <c r="G284" s="72"/>
      <c r="H284" s="73"/>
      <c r="I284" s="71"/>
      <c r="J284" s="74"/>
      <c r="K284" s="75"/>
      <c r="N284" s="116"/>
      <c r="O284" s="116"/>
      <c r="P284" s="116"/>
      <c r="Q284" s="116"/>
    </row>
    <row r="285" spans="2:17" x14ac:dyDescent="0.25">
      <c r="B285" s="71"/>
      <c r="C285" s="132"/>
      <c r="D285" s="132"/>
      <c r="E285" s="132"/>
      <c r="F285" s="72"/>
      <c r="G285" s="72"/>
      <c r="H285" s="73"/>
      <c r="I285" s="71"/>
      <c r="J285" s="74"/>
      <c r="K285" s="75"/>
      <c r="N285" s="116"/>
      <c r="O285" s="116"/>
      <c r="P285" s="116"/>
      <c r="Q285" s="116"/>
    </row>
    <row r="286" spans="2:17" x14ac:dyDescent="0.25">
      <c r="B286" s="71"/>
      <c r="C286" s="132"/>
      <c r="D286" s="132"/>
      <c r="E286" s="132"/>
      <c r="F286" s="72"/>
      <c r="G286" s="72"/>
      <c r="H286" s="73"/>
      <c r="I286" s="71"/>
      <c r="J286" s="74"/>
      <c r="K286" s="75"/>
      <c r="N286" s="116"/>
      <c r="O286" s="116"/>
      <c r="P286" s="116"/>
      <c r="Q286" s="116"/>
    </row>
    <row r="287" spans="2:17" x14ac:dyDescent="0.25">
      <c r="B287" s="71"/>
      <c r="C287" s="132"/>
      <c r="D287" s="132"/>
      <c r="E287" s="132"/>
      <c r="F287" s="72"/>
      <c r="G287" s="72"/>
      <c r="H287" s="73"/>
      <c r="I287" s="71"/>
      <c r="J287" s="74"/>
      <c r="K287" s="75"/>
      <c r="N287" s="116"/>
      <c r="O287" s="116"/>
      <c r="P287" s="116"/>
      <c r="Q287" s="116"/>
    </row>
    <row r="288" spans="2:17" x14ac:dyDescent="0.25">
      <c r="B288" s="71"/>
      <c r="C288" s="132"/>
      <c r="D288" s="132"/>
      <c r="E288" s="132"/>
      <c r="F288" s="72"/>
      <c r="G288" s="72"/>
      <c r="H288" s="73"/>
      <c r="I288" s="71"/>
      <c r="J288" s="74"/>
      <c r="K288" s="75"/>
      <c r="N288" s="116"/>
      <c r="O288" s="116"/>
      <c r="P288" s="116"/>
      <c r="Q288" s="116"/>
    </row>
    <row r="289" spans="2:17" x14ac:dyDescent="0.25">
      <c r="B289" s="71"/>
      <c r="C289" s="132"/>
      <c r="D289" s="132"/>
      <c r="E289" s="132"/>
      <c r="F289" s="72"/>
      <c r="G289" s="72"/>
      <c r="H289" s="73"/>
      <c r="I289" s="71"/>
      <c r="J289" s="74"/>
      <c r="K289" s="75"/>
      <c r="N289" s="116"/>
      <c r="O289" s="116"/>
      <c r="P289" s="116"/>
      <c r="Q289" s="116"/>
    </row>
    <row r="290" spans="2:17" x14ac:dyDescent="0.25">
      <c r="B290" s="71"/>
      <c r="C290" s="132"/>
      <c r="D290" s="132"/>
      <c r="E290" s="132"/>
      <c r="F290" s="72"/>
      <c r="G290" s="72"/>
      <c r="H290" s="73"/>
      <c r="I290" s="71"/>
      <c r="J290" s="74"/>
      <c r="K290" s="75"/>
      <c r="N290" s="116"/>
      <c r="O290" s="116"/>
      <c r="P290" s="116"/>
      <c r="Q290" s="116"/>
    </row>
    <row r="291" spans="2:17" x14ac:dyDescent="0.25">
      <c r="B291" s="71"/>
      <c r="C291" s="132"/>
      <c r="D291" s="132"/>
      <c r="E291" s="132"/>
      <c r="F291" s="72"/>
      <c r="G291" s="72"/>
      <c r="H291" s="73"/>
      <c r="I291" s="71"/>
      <c r="J291" s="74"/>
      <c r="K291" s="75"/>
      <c r="N291" s="116"/>
      <c r="O291" s="116"/>
      <c r="P291" s="116"/>
      <c r="Q291" s="116"/>
    </row>
    <row r="292" spans="2:17" x14ac:dyDescent="0.25">
      <c r="B292" s="71"/>
      <c r="C292" s="132"/>
      <c r="D292" s="132"/>
      <c r="E292" s="132"/>
      <c r="F292" s="72"/>
      <c r="G292" s="72"/>
      <c r="H292" s="73"/>
      <c r="I292" s="71"/>
      <c r="J292" s="74"/>
      <c r="K292" s="75"/>
      <c r="N292" s="116"/>
      <c r="O292" s="116"/>
      <c r="P292" s="116"/>
      <c r="Q292" s="116"/>
    </row>
    <row r="293" spans="2:17" x14ac:dyDescent="0.25">
      <c r="B293" s="71"/>
      <c r="C293" s="132"/>
      <c r="D293" s="132"/>
      <c r="E293" s="132"/>
      <c r="F293" s="72"/>
      <c r="G293" s="72"/>
      <c r="H293" s="73"/>
      <c r="I293" s="71"/>
      <c r="J293" s="74"/>
      <c r="K293" s="75"/>
      <c r="N293" s="116"/>
      <c r="O293" s="116"/>
      <c r="P293" s="116"/>
      <c r="Q293" s="116"/>
    </row>
    <row r="294" spans="2:17" x14ac:dyDescent="0.25">
      <c r="B294" s="71"/>
      <c r="C294" s="132"/>
      <c r="D294" s="132"/>
      <c r="E294" s="132"/>
      <c r="F294" s="72"/>
      <c r="G294" s="72"/>
      <c r="H294" s="73"/>
      <c r="I294" s="71"/>
      <c r="J294" s="74"/>
      <c r="K294" s="75"/>
      <c r="N294" s="116"/>
      <c r="O294" s="116"/>
      <c r="P294" s="116"/>
      <c r="Q294" s="116"/>
    </row>
    <row r="295" spans="2:17" x14ac:dyDescent="0.25">
      <c r="B295" s="71"/>
      <c r="C295" s="132"/>
      <c r="D295" s="132"/>
      <c r="E295" s="132"/>
      <c r="F295" s="72"/>
      <c r="G295" s="72"/>
      <c r="H295" s="73"/>
      <c r="I295" s="71"/>
      <c r="J295" s="74"/>
      <c r="K295" s="75"/>
      <c r="N295" s="116"/>
      <c r="O295" s="116"/>
      <c r="P295" s="116"/>
      <c r="Q295" s="116"/>
    </row>
    <row r="296" spans="2:17" x14ac:dyDescent="0.25">
      <c r="B296" s="71"/>
      <c r="C296" s="132"/>
      <c r="D296" s="132"/>
      <c r="E296" s="132"/>
      <c r="F296" s="72"/>
      <c r="G296" s="72"/>
      <c r="H296" s="73"/>
      <c r="I296" s="71"/>
      <c r="J296" s="74"/>
      <c r="K296" s="75"/>
      <c r="N296" s="116"/>
      <c r="O296" s="116"/>
      <c r="P296" s="116"/>
      <c r="Q296" s="116"/>
    </row>
    <row r="297" spans="2:17" x14ac:dyDescent="0.25">
      <c r="B297" s="71"/>
      <c r="C297" s="132"/>
      <c r="D297" s="132"/>
      <c r="E297" s="132"/>
      <c r="F297" s="72"/>
      <c r="G297" s="72"/>
      <c r="H297" s="73"/>
      <c r="I297" s="71"/>
      <c r="J297" s="74"/>
      <c r="K297" s="75"/>
      <c r="N297" s="116"/>
      <c r="O297" s="116"/>
      <c r="P297" s="116"/>
      <c r="Q297" s="116"/>
    </row>
    <row r="298" spans="2:17" x14ac:dyDescent="0.25">
      <c r="B298" s="71"/>
      <c r="C298" s="132"/>
      <c r="D298" s="132"/>
      <c r="E298" s="132"/>
      <c r="F298" s="72"/>
      <c r="G298" s="72"/>
      <c r="H298" s="73"/>
      <c r="I298" s="71"/>
      <c r="J298" s="74"/>
      <c r="K298" s="75"/>
      <c r="N298" s="116"/>
      <c r="O298" s="116"/>
      <c r="P298" s="116"/>
      <c r="Q298" s="116"/>
    </row>
    <row r="299" spans="2:17" x14ac:dyDescent="0.25">
      <c r="B299" s="71"/>
      <c r="C299" s="132"/>
      <c r="D299" s="132"/>
      <c r="E299" s="132"/>
      <c r="F299" s="72"/>
      <c r="G299" s="72"/>
      <c r="H299" s="73"/>
      <c r="I299" s="71"/>
      <c r="J299" s="74"/>
      <c r="K299" s="75"/>
      <c r="N299" s="116"/>
      <c r="O299" s="116"/>
      <c r="P299" s="116"/>
      <c r="Q299" s="116"/>
    </row>
    <row r="300" spans="2:17" x14ac:dyDescent="0.25">
      <c r="B300" s="71"/>
      <c r="C300" s="132"/>
      <c r="D300" s="132"/>
      <c r="E300" s="132"/>
      <c r="F300" s="72"/>
      <c r="G300" s="72"/>
      <c r="H300" s="73"/>
      <c r="I300" s="71"/>
      <c r="J300" s="74"/>
      <c r="K300" s="75"/>
      <c r="N300" s="116"/>
      <c r="O300" s="116"/>
      <c r="P300" s="116"/>
      <c r="Q300" s="116"/>
    </row>
    <row r="301" spans="2:17" x14ac:dyDescent="0.25">
      <c r="B301" s="71"/>
      <c r="C301" s="132"/>
      <c r="D301" s="132"/>
      <c r="E301" s="132"/>
      <c r="F301" s="72"/>
      <c r="G301" s="72"/>
      <c r="H301" s="73"/>
      <c r="I301" s="71"/>
      <c r="J301" s="74"/>
      <c r="K301" s="75"/>
      <c r="N301" s="116"/>
      <c r="O301" s="116"/>
      <c r="P301" s="116"/>
      <c r="Q301" s="116"/>
    </row>
    <row r="302" spans="2:17" x14ac:dyDescent="0.25">
      <c r="B302" s="71"/>
      <c r="C302" s="132"/>
      <c r="D302" s="132"/>
      <c r="E302" s="132"/>
      <c r="F302" s="72"/>
      <c r="G302" s="72"/>
      <c r="H302" s="73"/>
      <c r="I302" s="71"/>
      <c r="J302" s="74"/>
      <c r="K302" s="75"/>
      <c r="N302" s="116"/>
      <c r="O302" s="116"/>
      <c r="P302" s="116"/>
      <c r="Q302" s="116"/>
    </row>
    <row r="303" spans="2:17" x14ac:dyDescent="0.25">
      <c r="B303" s="71"/>
      <c r="C303" s="132"/>
      <c r="D303" s="132"/>
      <c r="E303" s="132"/>
      <c r="F303" s="72"/>
      <c r="G303" s="72"/>
      <c r="H303" s="73"/>
      <c r="I303" s="71"/>
      <c r="J303" s="74"/>
      <c r="K303" s="75"/>
      <c r="N303" s="116"/>
      <c r="O303" s="116"/>
      <c r="P303" s="116"/>
      <c r="Q303" s="116"/>
    </row>
    <row r="304" spans="2:17" x14ac:dyDescent="0.25">
      <c r="B304" s="71"/>
      <c r="C304" s="132"/>
      <c r="D304" s="132"/>
      <c r="E304" s="132"/>
      <c r="F304" s="72"/>
      <c r="G304" s="72"/>
      <c r="H304" s="73"/>
      <c r="I304" s="71"/>
      <c r="J304" s="74"/>
      <c r="K304" s="75"/>
      <c r="N304" s="116"/>
      <c r="O304" s="116"/>
      <c r="P304" s="116"/>
      <c r="Q304" s="116"/>
    </row>
    <row r="305" spans="2:17" x14ac:dyDescent="0.25">
      <c r="B305" s="71"/>
      <c r="C305" s="132"/>
      <c r="D305" s="132"/>
      <c r="E305" s="132"/>
      <c r="F305" s="72"/>
      <c r="G305" s="72"/>
      <c r="H305" s="73"/>
      <c r="I305" s="71"/>
      <c r="J305" s="74"/>
      <c r="K305" s="75"/>
      <c r="N305" s="116"/>
      <c r="O305" s="116"/>
      <c r="P305" s="116"/>
      <c r="Q305" s="116"/>
    </row>
    <row r="306" spans="2:17" x14ac:dyDescent="0.25">
      <c r="B306" s="71"/>
      <c r="C306" s="132"/>
      <c r="D306" s="132"/>
      <c r="E306" s="132"/>
      <c r="F306" s="72"/>
      <c r="G306" s="72"/>
      <c r="H306" s="73"/>
      <c r="I306" s="71"/>
      <c r="J306" s="74"/>
      <c r="K306" s="75"/>
      <c r="N306" s="116"/>
      <c r="O306" s="116"/>
      <c r="P306" s="116"/>
      <c r="Q306" s="116"/>
    </row>
    <row r="307" spans="2:17" x14ac:dyDescent="0.25">
      <c r="B307" s="71"/>
      <c r="C307" s="132"/>
      <c r="D307" s="132"/>
      <c r="E307" s="132"/>
      <c r="F307" s="72"/>
      <c r="G307" s="72"/>
      <c r="H307" s="73"/>
      <c r="I307" s="71"/>
      <c r="J307" s="74"/>
      <c r="K307" s="75"/>
      <c r="N307" s="116"/>
      <c r="O307" s="116"/>
      <c r="P307" s="116"/>
      <c r="Q307" s="116"/>
    </row>
    <row r="308" spans="2:17" x14ac:dyDescent="0.25">
      <c r="B308" s="71"/>
      <c r="C308" s="132"/>
      <c r="D308" s="132"/>
      <c r="E308" s="132"/>
      <c r="F308" s="72"/>
      <c r="G308" s="72"/>
      <c r="H308" s="73"/>
      <c r="I308" s="71"/>
      <c r="J308" s="74"/>
      <c r="K308" s="75"/>
      <c r="N308" s="116"/>
      <c r="O308" s="116"/>
      <c r="P308" s="116"/>
      <c r="Q308" s="116"/>
    </row>
    <row r="309" spans="2:17" x14ac:dyDescent="0.25">
      <c r="B309" s="71"/>
      <c r="C309" s="132"/>
      <c r="D309" s="132"/>
      <c r="E309" s="132"/>
      <c r="F309" s="72"/>
      <c r="G309" s="72"/>
      <c r="H309" s="73"/>
      <c r="I309" s="71"/>
      <c r="J309" s="74"/>
      <c r="K309" s="75"/>
      <c r="N309" s="116"/>
      <c r="O309" s="116"/>
      <c r="P309" s="116"/>
      <c r="Q309" s="116"/>
    </row>
    <row r="310" spans="2:17" x14ac:dyDescent="0.25">
      <c r="B310" s="71"/>
      <c r="C310" s="132"/>
      <c r="D310" s="132"/>
      <c r="E310" s="132"/>
      <c r="F310" s="72"/>
      <c r="G310" s="72"/>
      <c r="H310" s="73"/>
      <c r="I310" s="71"/>
      <c r="J310" s="74"/>
      <c r="K310" s="75"/>
      <c r="N310" s="116"/>
      <c r="O310" s="116"/>
      <c r="P310" s="116"/>
      <c r="Q310" s="116"/>
    </row>
    <row r="311" spans="2:17" x14ac:dyDescent="0.25">
      <c r="B311" s="71"/>
      <c r="C311" s="132"/>
      <c r="D311" s="132"/>
      <c r="E311" s="132"/>
      <c r="F311" s="72"/>
      <c r="G311" s="72"/>
      <c r="H311" s="73"/>
      <c r="I311" s="71"/>
      <c r="J311" s="74"/>
      <c r="K311" s="75"/>
      <c r="N311" s="116"/>
      <c r="O311" s="116"/>
      <c r="P311" s="116"/>
      <c r="Q311" s="116"/>
    </row>
    <row r="312" spans="2:17" x14ac:dyDescent="0.25">
      <c r="B312" s="71"/>
      <c r="C312" s="132"/>
      <c r="D312" s="132"/>
      <c r="E312" s="132"/>
      <c r="F312" s="72"/>
      <c r="G312" s="72"/>
      <c r="H312" s="73"/>
      <c r="I312" s="71"/>
      <c r="J312" s="74"/>
      <c r="K312" s="75"/>
      <c r="N312" s="116"/>
      <c r="O312" s="116"/>
      <c r="P312" s="116"/>
      <c r="Q312" s="116"/>
    </row>
    <row r="313" spans="2:17" x14ac:dyDescent="0.25">
      <c r="B313" s="71"/>
      <c r="C313" s="132"/>
      <c r="D313" s="132"/>
      <c r="E313" s="132"/>
      <c r="F313" s="72"/>
      <c r="G313" s="72"/>
      <c r="H313" s="73"/>
      <c r="I313" s="71"/>
      <c r="J313" s="74"/>
      <c r="K313" s="75"/>
      <c r="N313" s="116"/>
      <c r="O313" s="116"/>
      <c r="P313" s="116"/>
      <c r="Q313" s="116"/>
    </row>
    <row r="314" spans="2:17" x14ac:dyDescent="0.25">
      <c r="B314" s="71"/>
      <c r="C314" s="132"/>
      <c r="D314" s="132"/>
      <c r="E314" s="132"/>
      <c r="F314" s="72"/>
      <c r="G314" s="72"/>
      <c r="H314" s="73"/>
      <c r="I314" s="71"/>
      <c r="J314" s="74"/>
      <c r="K314" s="75"/>
      <c r="N314" s="116"/>
      <c r="O314" s="116"/>
      <c r="P314" s="116"/>
      <c r="Q314" s="116"/>
    </row>
    <row r="315" spans="2:17" x14ac:dyDescent="0.25">
      <c r="B315" s="71"/>
      <c r="C315" s="132"/>
      <c r="D315" s="132"/>
      <c r="E315" s="132"/>
      <c r="F315" s="72"/>
      <c r="G315" s="72"/>
      <c r="H315" s="73"/>
      <c r="I315" s="71"/>
      <c r="J315" s="74"/>
      <c r="K315" s="75"/>
      <c r="N315" s="116"/>
      <c r="O315" s="116"/>
      <c r="P315" s="116"/>
      <c r="Q315" s="116"/>
    </row>
    <row r="316" spans="2:17" x14ac:dyDescent="0.25">
      <c r="B316" s="71"/>
      <c r="C316" s="132"/>
      <c r="D316" s="132"/>
      <c r="E316" s="132"/>
      <c r="F316" s="72"/>
      <c r="G316" s="72"/>
      <c r="H316" s="73"/>
      <c r="I316" s="71"/>
      <c r="J316" s="74"/>
      <c r="K316" s="75"/>
      <c r="N316" s="116"/>
      <c r="O316" s="116"/>
      <c r="P316" s="116"/>
      <c r="Q316" s="116"/>
    </row>
    <row r="317" spans="2:17" x14ac:dyDescent="0.25">
      <c r="B317" s="71"/>
      <c r="C317" s="132"/>
      <c r="D317" s="132"/>
      <c r="E317" s="132"/>
      <c r="F317" s="72"/>
      <c r="G317" s="72"/>
      <c r="H317" s="73"/>
      <c r="I317" s="71"/>
      <c r="J317" s="74"/>
      <c r="K317" s="75"/>
      <c r="N317" s="116"/>
      <c r="O317" s="116"/>
      <c r="P317" s="116"/>
      <c r="Q317" s="116"/>
    </row>
    <row r="318" spans="2:17" x14ac:dyDescent="0.25">
      <c r="B318" s="71"/>
      <c r="C318" s="132"/>
      <c r="D318" s="132"/>
      <c r="E318" s="132"/>
      <c r="F318" s="72"/>
      <c r="G318" s="72"/>
      <c r="H318" s="73"/>
      <c r="I318" s="71"/>
      <c r="J318" s="74"/>
      <c r="K318" s="75"/>
      <c r="N318" s="116"/>
      <c r="O318" s="116"/>
      <c r="P318" s="116"/>
      <c r="Q318" s="116"/>
    </row>
    <row r="319" spans="2:17" x14ac:dyDescent="0.25">
      <c r="B319" s="71"/>
      <c r="C319" s="132"/>
      <c r="D319" s="132"/>
      <c r="E319" s="132"/>
      <c r="F319" s="72"/>
      <c r="G319" s="72"/>
      <c r="H319" s="73"/>
      <c r="I319" s="71"/>
      <c r="J319" s="74"/>
      <c r="K319" s="75"/>
      <c r="N319" s="116"/>
      <c r="O319" s="116"/>
      <c r="P319" s="116"/>
      <c r="Q319" s="116"/>
    </row>
    <row r="320" spans="2:17" x14ac:dyDescent="0.25">
      <c r="B320" s="71"/>
      <c r="C320" s="132"/>
      <c r="D320" s="132"/>
      <c r="E320" s="132"/>
      <c r="F320" s="72"/>
      <c r="G320" s="72"/>
      <c r="H320" s="73"/>
      <c r="I320" s="71"/>
      <c r="J320" s="74"/>
      <c r="K320" s="75"/>
      <c r="N320" s="116"/>
      <c r="O320" s="116"/>
      <c r="P320" s="116"/>
      <c r="Q320" s="116"/>
    </row>
    <row r="321" spans="2:17" x14ac:dyDescent="0.25">
      <c r="B321" s="71"/>
      <c r="C321" s="132"/>
      <c r="D321" s="132"/>
      <c r="E321" s="132"/>
      <c r="F321" s="72"/>
      <c r="G321" s="72"/>
      <c r="H321" s="73"/>
      <c r="I321" s="71"/>
      <c r="J321" s="74"/>
      <c r="K321" s="75"/>
      <c r="N321" s="116"/>
      <c r="O321" s="116"/>
      <c r="P321" s="116"/>
      <c r="Q321" s="116"/>
    </row>
    <row r="322" spans="2:17" x14ac:dyDescent="0.25">
      <c r="B322" s="71"/>
      <c r="C322" s="132"/>
      <c r="D322" s="132"/>
      <c r="E322" s="132"/>
      <c r="F322" s="72"/>
      <c r="G322" s="72"/>
      <c r="H322" s="73"/>
      <c r="I322" s="71"/>
      <c r="J322" s="74"/>
      <c r="K322" s="75"/>
      <c r="N322" s="116"/>
      <c r="O322" s="116"/>
      <c r="P322" s="116"/>
      <c r="Q322" s="116"/>
    </row>
    <row r="323" spans="2:17" x14ac:dyDescent="0.25">
      <c r="B323" s="71"/>
      <c r="C323" s="132"/>
      <c r="D323" s="132"/>
      <c r="E323" s="132"/>
      <c r="F323" s="72"/>
      <c r="G323" s="72"/>
      <c r="H323" s="73"/>
      <c r="I323" s="71"/>
      <c r="J323" s="74"/>
      <c r="K323" s="75"/>
      <c r="N323" s="116"/>
      <c r="O323" s="116"/>
      <c r="P323" s="116"/>
      <c r="Q323" s="116"/>
    </row>
    <row r="324" spans="2:17" x14ac:dyDescent="0.25">
      <c r="B324" s="71"/>
      <c r="C324" s="132"/>
      <c r="D324" s="132"/>
      <c r="E324" s="132"/>
      <c r="F324" s="72"/>
      <c r="G324" s="72"/>
      <c r="H324" s="73"/>
      <c r="I324" s="71"/>
      <c r="J324" s="74"/>
      <c r="K324" s="75"/>
      <c r="N324" s="116"/>
      <c r="O324" s="116"/>
      <c r="P324" s="116"/>
      <c r="Q324" s="116"/>
    </row>
    <row r="325" spans="2:17" x14ac:dyDescent="0.25">
      <c r="B325" s="71"/>
      <c r="C325" s="132"/>
      <c r="D325" s="132"/>
      <c r="E325" s="132"/>
      <c r="F325" s="72"/>
      <c r="G325" s="72"/>
      <c r="H325" s="73"/>
      <c r="I325" s="71"/>
      <c r="J325" s="74"/>
      <c r="K325" s="75"/>
      <c r="N325" s="116"/>
      <c r="O325" s="116"/>
      <c r="P325" s="116"/>
      <c r="Q325" s="116"/>
    </row>
    <row r="326" spans="2:17" x14ac:dyDescent="0.25">
      <c r="B326" s="71"/>
      <c r="C326" s="132"/>
      <c r="D326" s="132"/>
      <c r="E326" s="132"/>
      <c r="F326" s="72"/>
      <c r="G326" s="72"/>
      <c r="H326" s="73"/>
      <c r="I326" s="71"/>
      <c r="J326" s="74"/>
      <c r="K326" s="75"/>
      <c r="N326" s="116"/>
      <c r="O326" s="116"/>
      <c r="P326" s="116"/>
      <c r="Q326" s="116"/>
    </row>
    <row r="327" spans="2:17" x14ac:dyDescent="0.25">
      <c r="B327" s="71"/>
      <c r="C327" s="132"/>
      <c r="D327" s="132"/>
      <c r="E327" s="132"/>
      <c r="F327" s="72"/>
      <c r="G327" s="72"/>
      <c r="H327" s="73"/>
      <c r="I327" s="71"/>
      <c r="J327" s="74"/>
      <c r="K327" s="75"/>
      <c r="N327" s="116"/>
      <c r="O327" s="116"/>
      <c r="P327" s="116"/>
      <c r="Q327" s="116"/>
    </row>
    <row r="328" spans="2:17" x14ac:dyDescent="0.25">
      <c r="B328" s="71"/>
      <c r="C328" s="132"/>
      <c r="D328" s="132"/>
      <c r="E328" s="132"/>
      <c r="F328" s="72"/>
      <c r="G328" s="72"/>
      <c r="H328" s="73"/>
      <c r="I328" s="71"/>
      <c r="J328" s="74"/>
      <c r="K328" s="75"/>
      <c r="N328" s="116"/>
      <c r="O328" s="116"/>
      <c r="P328" s="116"/>
      <c r="Q328" s="116"/>
    </row>
    <row r="329" spans="2:17" x14ac:dyDescent="0.25">
      <c r="B329" s="71"/>
      <c r="C329" s="132"/>
      <c r="D329" s="132"/>
      <c r="E329" s="132"/>
      <c r="F329" s="72"/>
      <c r="G329" s="72"/>
      <c r="H329" s="73"/>
      <c r="I329" s="71"/>
      <c r="J329" s="74"/>
      <c r="K329" s="75"/>
      <c r="N329" s="116"/>
      <c r="O329" s="116"/>
      <c r="P329" s="116"/>
      <c r="Q329" s="116"/>
    </row>
    <row r="330" spans="2:17" x14ac:dyDescent="0.25">
      <c r="B330" s="71"/>
      <c r="C330" s="132"/>
      <c r="D330" s="132"/>
      <c r="E330" s="132"/>
      <c r="F330" s="72"/>
      <c r="G330" s="72"/>
      <c r="H330" s="73"/>
      <c r="I330" s="71"/>
      <c r="J330" s="74"/>
      <c r="K330" s="75"/>
      <c r="N330" s="116"/>
      <c r="O330" s="116"/>
      <c r="P330" s="116"/>
      <c r="Q330" s="116"/>
    </row>
    <row r="331" spans="2:17" x14ac:dyDescent="0.25">
      <c r="B331" s="71"/>
      <c r="C331" s="132"/>
      <c r="D331" s="132"/>
      <c r="E331" s="132"/>
      <c r="F331" s="72"/>
      <c r="G331" s="72"/>
      <c r="H331" s="73"/>
      <c r="I331" s="71"/>
      <c r="J331" s="74"/>
      <c r="K331" s="75"/>
      <c r="N331" s="116"/>
      <c r="O331" s="116"/>
      <c r="P331" s="116"/>
      <c r="Q331" s="116"/>
    </row>
    <row r="332" spans="2:17" x14ac:dyDescent="0.25">
      <c r="B332" s="71"/>
      <c r="C332" s="132"/>
      <c r="D332" s="132"/>
      <c r="E332" s="132"/>
      <c r="F332" s="72"/>
      <c r="G332" s="72"/>
      <c r="H332" s="73"/>
      <c r="I332" s="71"/>
      <c r="J332" s="74"/>
      <c r="K332" s="75"/>
      <c r="N332" s="116"/>
      <c r="O332" s="116"/>
      <c r="P332" s="116"/>
      <c r="Q332" s="116"/>
    </row>
    <row r="333" spans="2:17" x14ac:dyDescent="0.25">
      <c r="B333" s="71"/>
      <c r="C333" s="132"/>
      <c r="D333" s="132"/>
      <c r="E333" s="132"/>
      <c r="F333" s="72"/>
      <c r="G333" s="72"/>
      <c r="H333" s="73"/>
      <c r="I333" s="71"/>
      <c r="J333" s="74"/>
      <c r="K333" s="75"/>
      <c r="N333" s="116"/>
      <c r="O333" s="116"/>
      <c r="P333" s="116"/>
      <c r="Q333" s="116"/>
    </row>
    <row r="334" spans="2:17" x14ac:dyDescent="0.25">
      <c r="B334" s="71"/>
      <c r="C334" s="132"/>
      <c r="D334" s="132"/>
      <c r="E334" s="132"/>
      <c r="F334" s="72"/>
      <c r="G334" s="72"/>
      <c r="H334" s="73"/>
      <c r="I334" s="71"/>
      <c r="J334" s="74"/>
      <c r="K334" s="75"/>
      <c r="N334" s="116"/>
      <c r="O334" s="116"/>
      <c r="P334" s="116"/>
      <c r="Q334" s="116"/>
    </row>
    <row r="335" spans="2:17" x14ac:dyDescent="0.25">
      <c r="B335" s="71"/>
      <c r="C335" s="132"/>
      <c r="D335" s="132"/>
      <c r="E335" s="132"/>
      <c r="F335" s="72"/>
      <c r="G335" s="72"/>
      <c r="H335" s="73"/>
      <c r="I335" s="71"/>
      <c r="J335" s="74"/>
      <c r="K335" s="75"/>
      <c r="N335" s="116"/>
      <c r="O335" s="116"/>
      <c r="P335" s="116"/>
      <c r="Q335" s="116"/>
    </row>
    <row r="336" spans="2:17" x14ac:dyDescent="0.25">
      <c r="B336" s="71"/>
      <c r="C336" s="132"/>
      <c r="D336" s="132"/>
      <c r="E336" s="132"/>
      <c r="F336" s="72"/>
      <c r="G336" s="72"/>
      <c r="H336" s="73"/>
      <c r="I336" s="71"/>
      <c r="J336" s="74"/>
      <c r="K336" s="75"/>
      <c r="N336" s="116"/>
      <c r="O336" s="116"/>
      <c r="P336" s="116"/>
      <c r="Q336" s="116"/>
    </row>
    <row r="337" spans="2:17" x14ac:dyDescent="0.25">
      <c r="B337" s="71"/>
      <c r="C337" s="132"/>
      <c r="D337" s="132"/>
      <c r="E337" s="132"/>
      <c r="F337" s="72"/>
      <c r="G337" s="72"/>
      <c r="H337" s="73"/>
      <c r="I337" s="71"/>
      <c r="J337" s="74"/>
      <c r="K337" s="75"/>
      <c r="N337" s="116"/>
      <c r="O337" s="116"/>
      <c r="P337" s="116"/>
      <c r="Q337" s="116"/>
    </row>
    <row r="338" spans="2:17" x14ac:dyDescent="0.25">
      <c r="B338" s="71"/>
      <c r="C338" s="132"/>
      <c r="D338" s="132"/>
      <c r="E338" s="132"/>
      <c r="F338" s="72"/>
      <c r="G338" s="72"/>
      <c r="H338" s="73"/>
      <c r="I338" s="71"/>
      <c r="J338" s="74"/>
      <c r="K338" s="75"/>
      <c r="N338" s="116"/>
      <c r="O338" s="116"/>
      <c r="P338" s="116"/>
      <c r="Q338" s="116"/>
    </row>
    <row r="339" spans="2:17" x14ac:dyDescent="0.25">
      <c r="B339" s="71"/>
      <c r="C339" s="132"/>
      <c r="D339" s="132"/>
      <c r="E339" s="132"/>
      <c r="F339" s="72"/>
      <c r="G339" s="72"/>
      <c r="H339" s="73"/>
      <c r="I339" s="71"/>
      <c r="J339" s="74"/>
      <c r="K339" s="75"/>
      <c r="N339" s="116"/>
      <c r="O339" s="116"/>
      <c r="P339" s="116"/>
      <c r="Q339" s="116"/>
    </row>
    <row r="340" spans="2:17" x14ac:dyDescent="0.25">
      <c r="B340" s="71"/>
      <c r="C340" s="132"/>
      <c r="D340" s="132"/>
      <c r="E340" s="132"/>
      <c r="F340" s="72"/>
      <c r="G340" s="72"/>
      <c r="H340" s="73"/>
      <c r="I340" s="71"/>
      <c r="J340" s="74"/>
      <c r="K340" s="75"/>
      <c r="N340" s="116"/>
      <c r="O340" s="116"/>
      <c r="P340" s="116"/>
      <c r="Q340" s="116"/>
    </row>
    <row r="341" spans="2:17" x14ac:dyDescent="0.25">
      <c r="B341" s="71"/>
      <c r="C341" s="132"/>
      <c r="D341" s="132"/>
      <c r="E341" s="132"/>
      <c r="F341" s="72"/>
      <c r="G341" s="72"/>
      <c r="H341" s="73"/>
      <c r="I341" s="71"/>
      <c r="J341" s="74"/>
      <c r="K341" s="75"/>
      <c r="N341" s="116"/>
      <c r="O341" s="116"/>
      <c r="P341" s="116"/>
      <c r="Q341" s="116"/>
    </row>
    <row r="342" spans="2:17" x14ac:dyDescent="0.25">
      <c r="B342" s="71"/>
      <c r="C342" s="132"/>
      <c r="D342" s="132"/>
      <c r="E342" s="132"/>
      <c r="F342" s="72"/>
      <c r="G342" s="72"/>
      <c r="H342" s="73"/>
      <c r="I342" s="71"/>
      <c r="J342" s="74"/>
      <c r="K342" s="75"/>
      <c r="N342" s="116"/>
      <c r="O342" s="116"/>
      <c r="P342" s="116"/>
      <c r="Q342" s="116"/>
    </row>
    <row r="343" spans="2:17" x14ac:dyDescent="0.25">
      <c r="B343" s="71"/>
      <c r="C343" s="132"/>
      <c r="D343" s="132"/>
      <c r="E343" s="132"/>
      <c r="F343" s="72"/>
      <c r="G343" s="72"/>
      <c r="H343" s="73"/>
      <c r="I343" s="71"/>
      <c r="J343" s="74"/>
      <c r="K343" s="75"/>
      <c r="N343" s="116"/>
      <c r="O343" s="116"/>
      <c r="P343" s="116"/>
      <c r="Q343" s="116"/>
    </row>
    <row r="344" spans="2:17" x14ac:dyDescent="0.25">
      <c r="B344" s="71"/>
      <c r="C344" s="132"/>
      <c r="D344" s="132"/>
      <c r="E344" s="132"/>
      <c r="F344" s="72"/>
      <c r="G344" s="72"/>
      <c r="H344" s="73"/>
      <c r="I344" s="71"/>
      <c r="J344" s="74"/>
      <c r="K344" s="75"/>
      <c r="N344" s="116"/>
      <c r="O344" s="116"/>
      <c r="P344" s="116"/>
      <c r="Q344" s="116"/>
    </row>
    <row r="345" spans="2:17" x14ac:dyDescent="0.25">
      <c r="B345" s="71"/>
      <c r="C345" s="132"/>
      <c r="D345" s="132"/>
      <c r="E345" s="132"/>
      <c r="F345" s="72"/>
      <c r="G345" s="72"/>
      <c r="H345" s="73"/>
      <c r="I345" s="71"/>
      <c r="J345" s="74"/>
      <c r="K345" s="75"/>
      <c r="N345" s="116"/>
      <c r="O345" s="116"/>
      <c r="P345" s="116"/>
      <c r="Q345" s="116"/>
    </row>
    <row r="346" spans="2:17" x14ac:dyDescent="0.25">
      <c r="B346" s="71"/>
      <c r="C346" s="132"/>
      <c r="D346" s="132"/>
      <c r="E346" s="132"/>
      <c r="F346" s="72"/>
      <c r="G346" s="72"/>
      <c r="H346" s="73"/>
      <c r="I346" s="71"/>
      <c r="J346" s="74"/>
      <c r="K346" s="75"/>
      <c r="N346" s="116"/>
      <c r="O346" s="116"/>
      <c r="P346" s="116"/>
      <c r="Q346" s="116"/>
    </row>
    <row r="347" spans="2:17" x14ac:dyDescent="0.25">
      <c r="B347" s="71"/>
      <c r="C347" s="132"/>
      <c r="D347" s="132"/>
      <c r="E347" s="132"/>
      <c r="F347" s="72"/>
      <c r="G347" s="72"/>
      <c r="H347" s="73"/>
      <c r="I347" s="71"/>
      <c r="J347" s="74"/>
      <c r="K347" s="75"/>
      <c r="N347" s="116"/>
      <c r="O347" s="116"/>
      <c r="P347" s="116"/>
      <c r="Q347" s="116"/>
    </row>
    <row r="348" spans="2:17" x14ac:dyDescent="0.25">
      <c r="B348" s="71"/>
      <c r="C348" s="132"/>
      <c r="D348" s="132"/>
      <c r="E348" s="132"/>
      <c r="F348" s="72"/>
      <c r="G348" s="72"/>
      <c r="H348" s="73"/>
      <c r="I348" s="71"/>
      <c r="J348" s="74"/>
      <c r="K348" s="75"/>
      <c r="N348" s="116"/>
      <c r="O348" s="116"/>
      <c r="P348" s="116"/>
      <c r="Q348" s="116"/>
    </row>
    <row r="349" spans="2:17" x14ac:dyDescent="0.25">
      <c r="B349" s="71"/>
      <c r="C349" s="132"/>
      <c r="D349" s="132"/>
      <c r="E349" s="132"/>
      <c r="F349" s="72"/>
      <c r="G349" s="72"/>
      <c r="H349" s="73"/>
      <c r="I349" s="71"/>
      <c r="J349" s="74"/>
      <c r="K349" s="75"/>
      <c r="N349" s="116"/>
      <c r="O349" s="116"/>
      <c r="P349" s="116"/>
      <c r="Q349" s="116"/>
    </row>
    <row r="350" spans="2:17" x14ac:dyDescent="0.25">
      <c r="B350" s="71"/>
      <c r="C350" s="132"/>
      <c r="D350" s="132"/>
      <c r="E350" s="132"/>
      <c r="F350" s="72"/>
      <c r="G350" s="72"/>
      <c r="H350" s="73"/>
      <c r="I350" s="71"/>
      <c r="J350" s="74"/>
      <c r="K350" s="75"/>
      <c r="N350" s="116"/>
      <c r="O350" s="116"/>
      <c r="P350" s="116"/>
      <c r="Q350" s="116"/>
    </row>
    <row r="351" spans="2:17" x14ac:dyDescent="0.25">
      <c r="B351" s="71"/>
      <c r="C351" s="132"/>
      <c r="D351" s="132"/>
      <c r="E351" s="132"/>
      <c r="F351" s="72"/>
      <c r="G351" s="72"/>
      <c r="H351" s="73"/>
      <c r="I351" s="71"/>
      <c r="J351" s="74"/>
      <c r="K351" s="75"/>
      <c r="N351" s="116"/>
      <c r="O351" s="116"/>
      <c r="P351" s="116"/>
      <c r="Q351" s="116"/>
    </row>
    <row r="352" spans="2:17" x14ac:dyDescent="0.25">
      <c r="B352" s="71"/>
      <c r="C352" s="132"/>
      <c r="D352" s="132"/>
      <c r="E352" s="132"/>
      <c r="F352" s="72"/>
      <c r="G352" s="72"/>
      <c r="H352" s="73"/>
      <c r="I352" s="71"/>
      <c r="J352" s="74"/>
      <c r="K352" s="75"/>
      <c r="N352" s="116"/>
      <c r="O352" s="116"/>
      <c r="P352" s="116"/>
      <c r="Q352" s="116"/>
    </row>
    <row r="353" spans="2:17" x14ac:dyDescent="0.25">
      <c r="B353" s="71"/>
      <c r="C353" s="132"/>
      <c r="D353" s="132"/>
      <c r="E353" s="132"/>
      <c r="F353" s="72"/>
      <c r="G353" s="72"/>
      <c r="H353" s="73"/>
      <c r="I353" s="71"/>
      <c r="J353" s="74"/>
      <c r="K353" s="75"/>
      <c r="N353" s="116"/>
      <c r="O353" s="116"/>
      <c r="P353" s="116"/>
      <c r="Q353" s="116"/>
    </row>
    <row r="354" spans="2:17" x14ac:dyDescent="0.25">
      <c r="B354" s="71"/>
      <c r="C354" s="132"/>
      <c r="D354" s="132"/>
      <c r="E354" s="132"/>
      <c r="F354" s="72"/>
      <c r="G354" s="72"/>
      <c r="H354" s="73"/>
      <c r="I354" s="71"/>
      <c r="J354" s="74"/>
      <c r="K354" s="75"/>
      <c r="N354" s="116"/>
      <c r="O354" s="116"/>
      <c r="P354" s="116"/>
      <c r="Q354" s="116"/>
    </row>
    <row r="355" spans="2:17" x14ac:dyDescent="0.25">
      <c r="B355" s="71"/>
      <c r="C355" s="132"/>
      <c r="D355" s="132"/>
      <c r="E355" s="132"/>
      <c r="F355" s="72"/>
      <c r="G355" s="72"/>
      <c r="H355" s="73"/>
      <c r="I355" s="71"/>
      <c r="J355" s="74"/>
      <c r="K355" s="75"/>
      <c r="N355" s="116"/>
      <c r="O355" s="116"/>
      <c r="P355" s="116"/>
      <c r="Q355" s="116"/>
    </row>
    <row r="356" spans="2:17" x14ac:dyDescent="0.25">
      <c r="B356" s="71"/>
      <c r="C356" s="132"/>
      <c r="D356" s="132"/>
      <c r="E356" s="132"/>
      <c r="F356" s="72"/>
      <c r="G356" s="72"/>
      <c r="H356" s="73"/>
      <c r="I356" s="71"/>
      <c r="J356" s="74"/>
      <c r="K356" s="75"/>
      <c r="N356" s="116"/>
      <c r="O356" s="116"/>
      <c r="P356" s="116"/>
      <c r="Q356" s="116"/>
    </row>
    <row r="357" spans="2:17" x14ac:dyDescent="0.25">
      <c r="B357" s="71"/>
      <c r="C357" s="132"/>
      <c r="D357" s="132"/>
      <c r="E357" s="132"/>
      <c r="F357" s="72"/>
      <c r="G357" s="72"/>
      <c r="H357" s="73"/>
      <c r="I357" s="71"/>
      <c r="J357" s="74"/>
      <c r="K357" s="75"/>
      <c r="N357" s="116"/>
      <c r="O357" s="116"/>
      <c r="P357" s="116"/>
      <c r="Q357" s="116"/>
    </row>
    <row r="358" spans="2:17" x14ac:dyDescent="0.25">
      <c r="B358" s="71"/>
      <c r="C358" s="132"/>
      <c r="D358" s="132"/>
      <c r="E358" s="132"/>
      <c r="F358" s="72"/>
      <c r="G358" s="72"/>
      <c r="H358" s="73"/>
      <c r="I358" s="71"/>
      <c r="J358" s="74"/>
      <c r="K358" s="75"/>
      <c r="N358" s="116"/>
      <c r="O358" s="116"/>
      <c r="P358" s="116"/>
      <c r="Q358" s="116"/>
    </row>
    <row r="359" spans="2:17" x14ac:dyDescent="0.25">
      <c r="B359" s="71"/>
      <c r="C359" s="132"/>
      <c r="D359" s="132"/>
      <c r="E359" s="132"/>
      <c r="F359" s="72"/>
      <c r="G359" s="72"/>
      <c r="H359" s="73"/>
      <c r="I359" s="71"/>
      <c r="J359" s="74"/>
      <c r="K359" s="75"/>
      <c r="N359" s="116"/>
      <c r="O359" s="116"/>
      <c r="P359" s="116"/>
      <c r="Q359" s="116"/>
    </row>
    <row r="360" spans="2:17" x14ac:dyDescent="0.25">
      <c r="B360" s="71"/>
      <c r="C360" s="132"/>
      <c r="D360" s="132"/>
      <c r="E360" s="132"/>
      <c r="F360" s="72"/>
      <c r="G360" s="72"/>
      <c r="H360" s="73"/>
      <c r="I360" s="71"/>
      <c r="J360" s="74"/>
      <c r="K360" s="75"/>
      <c r="N360" s="116"/>
      <c r="O360" s="116"/>
      <c r="P360" s="116"/>
      <c r="Q360" s="116"/>
    </row>
    <row r="361" spans="2:17" x14ac:dyDescent="0.25">
      <c r="B361" s="71"/>
      <c r="C361" s="132"/>
      <c r="D361" s="132"/>
      <c r="E361" s="132"/>
      <c r="F361" s="72"/>
      <c r="G361" s="72"/>
      <c r="H361" s="73"/>
      <c r="I361" s="71"/>
      <c r="J361" s="74"/>
      <c r="K361" s="75"/>
      <c r="N361" s="116"/>
      <c r="O361" s="116"/>
      <c r="P361" s="116"/>
      <c r="Q361" s="116"/>
    </row>
    <row r="362" spans="2:17" x14ac:dyDescent="0.25">
      <c r="B362" s="71"/>
      <c r="C362" s="132"/>
      <c r="D362" s="132"/>
      <c r="E362" s="132"/>
      <c r="F362" s="72"/>
      <c r="G362" s="72"/>
      <c r="H362" s="73"/>
      <c r="I362" s="71"/>
      <c r="J362" s="74"/>
      <c r="K362" s="75"/>
      <c r="N362" s="116"/>
      <c r="O362" s="116"/>
      <c r="P362" s="116"/>
      <c r="Q362" s="116"/>
    </row>
    <row r="363" spans="2:17" x14ac:dyDescent="0.25">
      <c r="B363" s="71"/>
      <c r="C363" s="132"/>
      <c r="D363" s="132"/>
      <c r="E363" s="132"/>
      <c r="F363" s="72"/>
      <c r="G363" s="72"/>
      <c r="H363" s="73"/>
      <c r="I363" s="71"/>
      <c r="J363" s="74"/>
      <c r="K363" s="75"/>
      <c r="N363" s="116"/>
      <c r="O363" s="116"/>
      <c r="P363" s="116"/>
      <c r="Q363" s="116"/>
    </row>
    <row r="364" spans="2:17" x14ac:dyDescent="0.25">
      <c r="B364" s="71"/>
      <c r="C364" s="132"/>
      <c r="D364" s="132"/>
      <c r="E364" s="132"/>
      <c r="F364" s="72"/>
      <c r="G364" s="72"/>
      <c r="H364" s="73"/>
      <c r="I364" s="71"/>
      <c r="J364" s="74"/>
      <c r="K364" s="75"/>
      <c r="N364" s="116"/>
      <c r="O364" s="116"/>
      <c r="P364" s="116"/>
      <c r="Q364" s="116"/>
    </row>
    <row r="365" spans="2:17" x14ac:dyDescent="0.25">
      <c r="B365" s="71"/>
      <c r="C365" s="132"/>
      <c r="D365" s="132"/>
      <c r="E365" s="132"/>
      <c r="F365" s="72"/>
      <c r="G365" s="72"/>
      <c r="H365" s="73"/>
      <c r="I365" s="71"/>
      <c r="J365" s="74"/>
      <c r="K365" s="75"/>
      <c r="N365" s="116"/>
      <c r="O365" s="116"/>
      <c r="P365" s="116"/>
      <c r="Q365" s="116"/>
    </row>
    <row r="366" spans="2:17" x14ac:dyDescent="0.25">
      <c r="B366" s="71"/>
      <c r="C366" s="132"/>
      <c r="D366" s="132"/>
      <c r="E366" s="132"/>
      <c r="F366" s="72"/>
      <c r="G366" s="72"/>
      <c r="H366" s="73"/>
      <c r="I366" s="71"/>
      <c r="J366" s="74"/>
      <c r="K366" s="75"/>
      <c r="N366" s="116"/>
      <c r="O366" s="116"/>
      <c r="P366" s="116"/>
      <c r="Q366" s="116"/>
    </row>
    <row r="367" spans="2:17" x14ac:dyDescent="0.25">
      <c r="B367" s="71"/>
      <c r="C367" s="132"/>
      <c r="D367" s="132"/>
      <c r="E367" s="132"/>
      <c r="F367" s="72"/>
      <c r="G367" s="72"/>
      <c r="H367" s="73"/>
      <c r="I367" s="71"/>
      <c r="J367" s="74"/>
      <c r="K367" s="75"/>
      <c r="N367" s="116"/>
      <c r="O367" s="116"/>
      <c r="P367" s="116"/>
      <c r="Q367" s="116"/>
    </row>
    <row r="368" spans="2:17" x14ac:dyDescent="0.25">
      <c r="B368" s="71"/>
      <c r="C368" s="132"/>
      <c r="D368" s="132"/>
      <c r="E368" s="132"/>
      <c r="F368" s="72"/>
      <c r="G368" s="72"/>
      <c r="H368" s="73"/>
      <c r="I368" s="71"/>
      <c r="J368" s="74"/>
      <c r="K368" s="75"/>
      <c r="N368" s="116"/>
      <c r="O368" s="116"/>
      <c r="P368" s="116"/>
      <c r="Q368" s="116"/>
    </row>
    <row r="369" spans="2:17" x14ac:dyDescent="0.25">
      <c r="B369" s="71"/>
      <c r="C369" s="132"/>
      <c r="D369" s="132"/>
      <c r="E369" s="132"/>
      <c r="F369" s="72"/>
      <c r="G369" s="72"/>
      <c r="H369" s="73"/>
      <c r="I369" s="71"/>
      <c r="J369" s="74"/>
      <c r="K369" s="75"/>
      <c r="N369" s="116"/>
      <c r="O369" s="116"/>
      <c r="P369" s="116"/>
      <c r="Q369" s="116"/>
    </row>
    <row r="370" spans="2:17" x14ac:dyDescent="0.25">
      <c r="B370" s="71"/>
      <c r="C370" s="132"/>
      <c r="D370" s="132"/>
      <c r="E370" s="132"/>
      <c r="F370" s="72"/>
      <c r="G370" s="72"/>
      <c r="H370" s="73"/>
      <c r="I370" s="71"/>
      <c r="J370" s="74"/>
      <c r="K370" s="75"/>
      <c r="N370" s="116"/>
      <c r="O370" s="116"/>
      <c r="P370" s="116"/>
      <c r="Q370" s="116"/>
    </row>
    <row r="371" spans="2:17" x14ac:dyDescent="0.25">
      <c r="B371" s="71"/>
      <c r="C371" s="133"/>
      <c r="D371" s="133"/>
      <c r="E371" s="133"/>
      <c r="F371" s="72"/>
      <c r="G371" s="72"/>
      <c r="H371" s="73"/>
      <c r="I371" s="71"/>
      <c r="J371" s="74"/>
      <c r="K371" s="75"/>
      <c r="N371" s="116"/>
      <c r="O371" s="116"/>
      <c r="P371" s="116"/>
      <c r="Q371" s="116"/>
    </row>
    <row r="372" spans="2:17" x14ac:dyDescent="0.25">
      <c r="B372" s="71"/>
      <c r="C372" s="133"/>
      <c r="D372" s="133"/>
      <c r="E372" s="133"/>
      <c r="F372" s="72"/>
      <c r="G372" s="72"/>
      <c r="H372" s="73"/>
      <c r="I372" s="71"/>
      <c r="J372" s="74"/>
      <c r="K372" s="75"/>
      <c r="N372" s="116"/>
      <c r="O372" s="116"/>
      <c r="P372" s="116"/>
      <c r="Q372" s="116"/>
    </row>
    <row r="373" spans="2:17" x14ac:dyDescent="0.25">
      <c r="B373" s="71"/>
      <c r="C373" s="133"/>
      <c r="D373" s="133"/>
      <c r="E373" s="133"/>
      <c r="F373" s="72"/>
      <c r="G373" s="72"/>
      <c r="H373" s="73"/>
      <c r="I373" s="71"/>
      <c r="J373" s="74"/>
      <c r="K373" s="75"/>
      <c r="N373" s="116"/>
      <c r="O373" s="116"/>
      <c r="P373" s="116"/>
      <c r="Q373" s="116"/>
    </row>
    <row r="374" spans="2:17" x14ac:dyDescent="0.25">
      <c r="B374" s="71"/>
      <c r="C374" s="133"/>
      <c r="D374" s="133"/>
      <c r="E374" s="133"/>
      <c r="F374" s="72"/>
      <c r="G374" s="72"/>
      <c r="H374" s="73"/>
      <c r="I374" s="71"/>
      <c r="J374" s="74"/>
      <c r="K374" s="75"/>
      <c r="N374" s="116"/>
      <c r="O374" s="116"/>
      <c r="P374" s="116"/>
      <c r="Q374" s="116"/>
    </row>
    <row r="375" spans="2:17" x14ac:dyDescent="0.25">
      <c r="B375" s="71"/>
      <c r="C375" s="133"/>
      <c r="D375" s="133"/>
      <c r="E375" s="133"/>
      <c r="F375" s="72"/>
      <c r="G375" s="72"/>
      <c r="H375" s="73"/>
      <c r="I375" s="71"/>
      <c r="J375" s="74"/>
      <c r="K375" s="75"/>
      <c r="N375" s="116"/>
      <c r="O375" s="116"/>
      <c r="P375" s="116"/>
      <c r="Q375" s="116"/>
    </row>
    <row r="376" spans="2:17" x14ac:dyDescent="0.25">
      <c r="B376" s="71"/>
      <c r="C376" s="133"/>
      <c r="D376" s="133"/>
      <c r="E376" s="133"/>
      <c r="F376" s="72"/>
      <c r="G376" s="72"/>
      <c r="H376" s="73"/>
      <c r="I376" s="71"/>
      <c r="J376" s="74"/>
      <c r="K376" s="75"/>
      <c r="N376" s="116"/>
      <c r="O376" s="116"/>
      <c r="P376" s="116"/>
      <c r="Q376" s="116"/>
    </row>
    <row r="377" spans="2:17" x14ac:dyDescent="0.25">
      <c r="B377" s="71"/>
      <c r="C377" s="133"/>
      <c r="D377" s="133"/>
      <c r="E377" s="133"/>
      <c r="F377" s="72"/>
      <c r="G377" s="72"/>
      <c r="H377" s="73"/>
      <c r="I377" s="71"/>
      <c r="J377" s="74"/>
      <c r="K377" s="75"/>
      <c r="N377" s="116"/>
      <c r="O377" s="116"/>
      <c r="P377" s="116"/>
      <c r="Q377" s="116"/>
    </row>
    <row r="378" spans="2:17" x14ac:dyDescent="0.25">
      <c r="B378" s="71"/>
      <c r="C378" s="133"/>
      <c r="D378" s="133"/>
      <c r="E378" s="133"/>
      <c r="F378" s="72"/>
      <c r="G378" s="72"/>
      <c r="H378" s="73"/>
      <c r="I378" s="71"/>
      <c r="J378" s="74"/>
      <c r="K378" s="75"/>
      <c r="N378" s="116"/>
      <c r="O378" s="116"/>
      <c r="P378" s="116"/>
      <c r="Q378" s="116"/>
    </row>
    <row r="379" spans="2:17" x14ac:dyDescent="0.25">
      <c r="B379" s="71"/>
      <c r="C379" s="133"/>
      <c r="D379" s="133"/>
      <c r="E379" s="133"/>
      <c r="F379" s="72"/>
      <c r="G379" s="72"/>
      <c r="H379" s="73"/>
      <c r="I379" s="71"/>
      <c r="J379" s="74"/>
      <c r="K379" s="75"/>
      <c r="N379" s="116"/>
      <c r="O379" s="116"/>
      <c r="P379" s="116"/>
      <c r="Q379" s="116"/>
    </row>
    <row r="380" spans="2:17" x14ac:dyDescent="0.25">
      <c r="B380" s="71"/>
      <c r="C380" s="133"/>
      <c r="D380" s="133"/>
      <c r="E380" s="133"/>
      <c r="F380" s="72"/>
      <c r="G380" s="72"/>
      <c r="H380" s="73"/>
      <c r="I380" s="71"/>
      <c r="J380" s="74"/>
      <c r="K380" s="75"/>
      <c r="N380" s="116"/>
      <c r="O380" s="116"/>
      <c r="P380" s="116"/>
      <c r="Q380" s="116"/>
    </row>
    <row r="381" spans="2:17" x14ac:dyDescent="0.25">
      <c r="B381" s="71"/>
      <c r="C381" s="134"/>
      <c r="D381" s="134"/>
      <c r="E381" s="134"/>
      <c r="F381" s="72"/>
      <c r="G381" s="72"/>
      <c r="H381" s="73"/>
      <c r="I381" s="71"/>
      <c r="J381" s="74"/>
      <c r="K381" s="75"/>
      <c r="N381" s="116"/>
      <c r="O381" s="116"/>
      <c r="P381" s="116"/>
      <c r="Q381" s="116"/>
    </row>
    <row r="382" spans="2:17" x14ac:dyDescent="0.25">
      <c r="B382" s="71"/>
      <c r="C382" s="134"/>
      <c r="D382" s="134"/>
      <c r="E382" s="134"/>
      <c r="F382" s="72"/>
      <c r="G382" s="72"/>
      <c r="H382" s="73"/>
      <c r="I382" s="71"/>
      <c r="J382" s="74"/>
      <c r="K382" s="75"/>
      <c r="N382" s="116"/>
      <c r="O382" s="116"/>
      <c r="P382" s="116"/>
      <c r="Q382" s="116"/>
    </row>
    <row r="383" spans="2:17" x14ac:dyDescent="0.25">
      <c r="B383" s="71"/>
      <c r="C383" s="134"/>
      <c r="D383" s="134"/>
      <c r="E383" s="134"/>
      <c r="F383" s="72"/>
      <c r="G383" s="72"/>
      <c r="H383" s="73"/>
      <c r="I383" s="71"/>
      <c r="J383" s="74"/>
      <c r="K383" s="75"/>
      <c r="N383" s="116"/>
      <c r="O383" s="116"/>
      <c r="P383" s="116"/>
      <c r="Q383" s="116"/>
    </row>
    <row r="384" spans="2:17" x14ac:dyDescent="0.25">
      <c r="B384" s="71"/>
      <c r="C384" s="82"/>
      <c r="D384" s="82"/>
      <c r="E384" s="82"/>
      <c r="F384" s="72"/>
      <c r="G384" s="72"/>
      <c r="H384" s="73"/>
      <c r="I384" s="71"/>
      <c r="J384" s="74"/>
      <c r="K384" s="75"/>
      <c r="N384" s="116"/>
      <c r="O384" s="116"/>
      <c r="P384" s="116"/>
      <c r="Q384" s="116"/>
    </row>
    <row r="385" spans="2:17" x14ac:dyDescent="0.25">
      <c r="B385" s="71"/>
      <c r="C385" s="82"/>
      <c r="D385" s="82"/>
      <c r="E385" s="82"/>
      <c r="F385" s="72"/>
      <c r="G385" s="72"/>
      <c r="H385" s="73"/>
      <c r="I385" s="71"/>
      <c r="J385" s="74"/>
      <c r="K385" s="75"/>
      <c r="N385" s="116"/>
      <c r="O385" s="116"/>
      <c r="P385" s="116"/>
      <c r="Q385" s="116"/>
    </row>
    <row r="386" spans="2:17" x14ac:dyDescent="0.25">
      <c r="B386" s="71"/>
      <c r="C386" s="82"/>
      <c r="D386" s="82"/>
      <c r="E386" s="82"/>
      <c r="F386" s="72"/>
      <c r="G386" s="72"/>
      <c r="H386" s="73"/>
      <c r="I386" s="71"/>
      <c r="J386" s="74"/>
      <c r="K386" s="75"/>
      <c r="N386" s="116"/>
      <c r="O386" s="116"/>
      <c r="P386" s="116"/>
      <c r="Q386" s="116"/>
    </row>
    <row r="387" spans="2:17" x14ac:dyDescent="0.25">
      <c r="B387" s="71"/>
      <c r="C387" s="82"/>
      <c r="D387" s="82"/>
      <c r="E387" s="82"/>
      <c r="F387" s="72"/>
      <c r="G387" s="72"/>
      <c r="H387" s="73"/>
      <c r="I387" s="71"/>
      <c r="J387" s="74"/>
      <c r="K387" s="75"/>
      <c r="N387" s="116"/>
      <c r="O387" s="116"/>
      <c r="P387" s="116"/>
      <c r="Q387" s="116"/>
    </row>
    <row r="388" spans="2:17" x14ac:dyDescent="0.25">
      <c r="B388" s="71"/>
      <c r="C388" s="82"/>
      <c r="D388" s="82"/>
      <c r="E388" s="82"/>
      <c r="F388" s="72"/>
      <c r="G388" s="72"/>
      <c r="H388" s="73"/>
      <c r="I388" s="71"/>
      <c r="J388" s="74"/>
      <c r="K388" s="75"/>
      <c r="N388" s="116"/>
      <c r="O388" s="116"/>
      <c r="P388" s="116"/>
      <c r="Q388" s="116"/>
    </row>
    <row r="389" spans="2:17" x14ac:dyDescent="0.25">
      <c r="B389" s="71"/>
      <c r="C389" s="82"/>
      <c r="D389" s="82"/>
      <c r="E389" s="82"/>
      <c r="F389" s="72"/>
      <c r="G389" s="72"/>
      <c r="H389" s="73"/>
      <c r="I389" s="71"/>
      <c r="J389" s="74"/>
      <c r="K389" s="75"/>
      <c r="N389" s="116"/>
      <c r="O389" s="116"/>
      <c r="P389" s="116"/>
      <c r="Q389" s="116"/>
    </row>
    <row r="390" spans="2:17" x14ac:dyDescent="0.25">
      <c r="B390" s="71"/>
      <c r="C390" s="82"/>
      <c r="D390" s="82"/>
      <c r="E390" s="82"/>
      <c r="F390" s="72"/>
      <c r="G390" s="72"/>
      <c r="H390" s="73"/>
      <c r="I390" s="71"/>
      <c r="J390" s="74"/>
      <c r="K390" s="75"/>
      <c r="N390" s="116"/>
      <c r="O390" s="116"/>
      <c r="P390" s="116"/>
      <c r="Q390" s="116"/>
    </row>
    <row r="391" spans="2:17" x14ac:dyDescent="0.25">
      <c r="B391" s="71"/>
      <c r="C391" s="82"/>
      <c r="D391" s="82"/>
      <c r="E391" s="82"/>
      <c r="F391" s="72"/>
      <c r="G391" s="72"/>
      <c r="H391" s="73"/>
      <c r="I391" s="71"/>
      <c r="J391" s="74"/>
      <c r="K391" s="75"/>
      <c r="N391" s="116"/>
      <c r="O391" s="116"/>
      <c r="P391" s="116"/>
      <c r="Q391" s="116"/>
    </row>
    <row r="392" spans="2:17" x14ac:dyDescent="0.25">
      <c r="B392" s="71"/>
      <c r="C392" s="82"/>
      <c r="D392" s="82"/>
      <c r="E392" s="82"/>
      <c r="F392" s="72"/>
      <c r="G392" s="72"/>
      <c r="H392" s="73"/>
      <c r="I392" s="71"/>
      <c r="J392" s="74"/>
      <c r="K392" s="75"/>
      <c r="N392" s="116"/>
      <c r="O392" s="116"/>
      <c r="P392" s="116"/>
      <c r="Q392" s="116"/>
    </row>
    <row r="393" spans="2:17" x14ac:dyDescent="0.25">
      <c r="B393" s="71"/>
      <c r="C393" s="119"/>
      <c r="D393" s="119"/>
      <c r="E393" s="119"/>
      <c r="F393" s="72"/>
      <c r="G393" s="72"/>
      <c r="H393" s="73"/>
      <c r="I393" s="71"/>
      <c r="J393" s="74"/>
      <c r="K393" s="75"/>
      <c r="N393" s="116"/>
      <c r="O393" s="116"/>
      <c r="P393" s="116"/>
      <c r="Q393" s="116"/>
    </row>
    <row r="394" spans="2:17" x14ac:dyDescent="0.25">
      <c r="B394" s="71"/>
      <c r="C394" s="82"/>
      <c r="D394" s="82"/>
      <c r="E394" s="82"/>
      <c r="F394" s="72"/>
      <c r="G394" s="72"/>
      <c r="H394" s="73"/>
      <c r="I394" s="71"/>
      <c r="J394" s="74"/>
      <c r="K394" s="75"/>
      <c r="N394" s="116"/>
      <c r="O394" s="116"/>
      <c r="P394" s="116"/>
      <c r="Q394" s="116"/>
    </row>
    <row r="395" spans="2:17" x14ac:dyDescent="0.25">
      <c r="B395" s="71"/>
      <c r="C395" s="82"/>
      <c r="D395" s="82"/>
      <c r="E395" s="82"/>
      <c r="F395" s="72"/>
      <c r="G395" s="72"/>
      <c r="H395" s="73"/>
      <c r="I395" s="71"/>
      <c r="J395" s="74"/>
      <c r="K395" s="75"/>
      <c r="N395" s="116"/>
      <c r="O395" s="116"/>
      <c r="P395" s="116"/>
      <c r="Q395" s="116"/>
    </row>
    <row r="396" spans="2:17" x14ac:dyDescent="0.25">
      <c r="B396" s="71"/>
      <c r="C396" s="82"/>
      <c r="D396" s="82"/>
      <c r="E396" s="82"/>
      <c r="F396" s="72"/>
      <c r="G396" s="72"/>
      <c r="H396" s="73"/>
      <c r="I396" s="71"/>
      <c r="J396" s="74"/>
      <c r="K396" s="75"/>
      <c r="N396" s="116"/>
      <c r="O396" s="116"/>
      <c r="P396" s="116"/>
      <c r="Q396" s="116"/>
    </row>
    <row r="397" spans="2:17" x14ac:dyDescent="0.25">
      <c r="B397" s="317"/>
      <c r="C397" s="317"/>
      <c r="D397" s="317"/>
      <c r="E397" s="317"/>
      <c r="F397" s="317"/>
      <c r="G397" s="317"/>
      <c r="H397" s="317"/>
      <c r="I397" s="317"/>
      <c r="J397" s="317"/>
      <c r="K397" s="317"/>
      <c r="N397" s="135"/>
      <c r="O397" s="135"/>
      <c r="P397" s="135"/>
      <c r="Q397" s="135"/>
    </row>
    <row r="398" spans="2:17" x14ac:dyDescent="0.25">
      <c r="H398" s="111"/>
      <c r="Q398" s="116"/>
    </row>
  </sheetData>
  <mergeCells count="3">
    <mergeCell ref="B3:Q3"/>
    <mergeCell ref="B397:K397"/>
    <mergeCell ref="B36:K36"/>
  </mergeCells>
  <pageMargins left="0.25" right="0.25" top="0.75" bottom="0.75" header="0.3" footer="0.3"/>
  <pageSetup scale="5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3"/>
  <sheetViews>
    <sheetView workbookViewId="0">
      <pane ySplit="3" topLeftCell="A8" activePane="bottomLeft" state="frozen"/>
      <selection pane="bottomLeft" activeCell="B3" sqref="B3"/>
    </sheetView>
  </sheetViews>
  <sheetFormatPr defaultRowHeight="15" x14ac:dyDescent="0.25"/>
  <cols>
    <col min="1" max="1" width="8.28515625" style="83" customWidth="1"/>
    <col min="2" max="2" width="8" style="83" customWidth="1"/>
    <col min="3" max="3" width="33.140625" style="83" customWidth="1"/>
    <col min="4" max="4" width="11.85546875" style="83" customWidth="1"/>
    <col min="5" max="5" width="8.5703125" style="83" customWidth="1"/>
    <col min="6" max="6" width="14.42578125" style="71" customWidth="1"/>
    <col min="7" max="7" width="14.42578125" style="83" customWidth="1"/>
    <col min="8" max="8" width="11" style="83" customWidth="1"/>
    <col min="9" max="9" width="14.42578125" style="83" customWidth="1"/>
    <col min="10" max="10" width="9.140625" style="83"/>
    <col min="11" max="11" width="13" style="83" customWidth="1"/>
    <col min="12" max="12" width="18.7109375" style="84" customWidth="1"/>
    <col min="13" max="13" width="18" style="84" customWidth="1"/>
    <col min="14" max="14" width="18" style="83" customWidth="1"/>
    <col min="15" max="15" width="14.5703125" style="83" customWidth="1"/>
    <col min="16" max="16" width="13.28515625" style="83" customWidth="1"/>
    <col min="17" max="17" width="15.7109375" style="83" customWidth="1"/>
    <col min="18" max="16384" width="9.140625" style="83"/>
  </cols>
  <sheetData>
    <row r="1" spans="2:17" x14ac:dyDescent="0.25">
      <c r="C1" s="252"/>
    </row>
    <row r="2" spans="2:17" s="82" customFormat="1" x14ac:dyDescent="0.25">
      <c r="B2" s="315" t="s">
        <v>396</v>
      </c>
      <c r="C2" s="315"/>
      <c r="D2" s="315"/>
      <c r="E2" s="315"/>
      <c r="F2" s="315"/>
      <c r="G2" s="315"/>
      <c r="H2" s="315"/>
      <c r="I2" s="315"/>
      <c r="J2" s="315"/>
      <c r="K2" s="315"/>
      <c r="L2" s="315"/>
      <c r="M2" s="315"/>
      <c r="N2" s="315"/>
      <c r="O2" s="315"/>
      <c r="P2" s="315"/>
      <c r="Q2" s="315"/>
    </row>
    <row r="3" spans="2:17" s="82" customFormat="1" ht="60" x14ac:dyDescent="0.25">
      <c r="B3" s="2" t="s">
        <v>2</v>
      </c>
      <c r="C3" s="2" t="s">
        <v>3</v>
      </c>
      <c r="D3" s="2" t="s">
        <v>60</v>
      </c>
      <c r="E3" s="2" t="s">
        <v>61</v>
      </c>
      <c r="F3" s="2" t="s">
        <v>4</v>
      </c>
      <c r="G3" s="2" t="s">
        <v>5</v>
      </c>
      <c r="H3" s="2" t="s">
        <v>6</v>
      </c>
      <c r="I3" s="2" t="s">
        <v>13</v>
      </c>
      <c r="J3" s="2" t="s">
        <v>22</v>
      </c>
      <c r="K3" s="2" t="s">
        <v>7</v>
      </c>
      <c r="L3" s="49" t="s">
        <v>8</v>
      </c>
      <c r="M3" s="49" t="s">
        <v>41</v>
      </c>
      <c r="N3" s="3" t="s">
        <v>10</v>
      </c>
      <c r="O3" s="3" t="s">
        <v>23</v>
      </c>
      <c r="P3" s="3" t="s">
        <v>42</v>
      </c>
      <c r="Q3" s="3" t="s">
        <v>11</v>
      </c>
    </row>
    <row r="4" spans="2:17" x14ac:dyDescent="0.25">
      <c r="B4" s="45">
        <v>1</v>
      </c>
      <c r="C4" s="50" t="s">
        <v>75</v>
      </c>
      <c r="D4" s="60" t="s">
        <v>1</v>
      </c>
      <c r="E4" s="106">
        <v>1</v>
      </c>
      <c r="F4" s="86">
        <v>2006</v>
      </c>
      <c r="G4" s="89">
        <v>44438</v>
      </c>
      <c r="H4" s="48">
        <f>YEAR(G4)-F4</f>
        <v>15</v>
      </c>
      <c r="I4" s="45">
        <v>8</v>
      </c>
      <c r="J4" s="47">
        <v>0.05</v>
      </c>
      <c r="K4" s="55">
        <f t="shared" ref="K4:K5" si="0">(1-J4)/I4</f>
        <v>0.11874999999999999</v>
      </c>
      <c r="L4" s="113">
        <v>9503531</v>
      </c>
      <c r="M4" s="96">
        <v>160894.94</v>
      </c>
      <c r="N4" s="103">
        <f>L4*H4*K4</f>
        <v>16928164.59375</v>
      </c>
      <c r="O4" s="103">
        <f>MAX(L4-N4,0)</f>
        <v>0</v>
      </c>
      <c r="P4" s="104">
        <v>0.05</v>
      </c>
      <c r="Q4" s="28">
        <f>IF(O4&gt;=L4*J4,O4*(1-P4),L4*J4)</f>
        <v>475176.55000000005</v>
      </c>
    </row>
    <row r="5" spans="2:17" ht="30" x14ac:dyDescent="0.25">
      <c r="B5" s="45">
        <v>2</v>
      </c>
      <c r="C5" s="50" t="s">
        <v>103</v>
      </c>
      <c r="D5" s="60" t="s">
        <v>1</v>
      </c>
      <c r="E5" s="106">
        <v>1</v>
      </c>
      <c r="F5" s="86" t="s">
        <v>115</v>
      </c>
      <c r="G5" s="89">
        <v>44438</v>
      </c>
      <c r="H5" s="48">
        <f t="shared" ref="H5" si="1">(G5-F5)/(EDATE(G5,12)-G5)</f>
        <v>9.9232876712328775</v>
      </c>
      <c r="I5" s="45">
        <v>8</v>
      </c>
      <c r="J5" s="47">
        <v>0.05</v>
      </c>
      <c r="K5" s="55">
        <f t="shared" si="0"/>
        <v>0.11874999999999999</v>
      </c>
      <c r="L5" s="112">
        <v>4500</v>
      </c>
      <c r="M5" s="97">
        <v>428.21</v>
      </c>
      <c r="N5" s="103">
        <f t="shared" ref="N5:N20" si="2">L5*H5*K5</f>
        <v>5302.7568493150684</v>
      </c>
      <c r="O5" s="103">
        <f t="shared" ref="O5:O20" si="3">MAX(L5-N5,0)</f>
        <v>0</v>
      </c>
      <c r="P5" s="104">
        <v>0.05</v>
      </c>
      <c r="Q5" s="28">
        <f t="shared" ref="Q5:Q20" si="4">IF(O5&gt;=L5*J5,O5*(1-P5),L5*J5)</f>
        <v>225</v>
      </c>
    </row>
    <row r="6" spans="2:17" ht="30" x14ac:dyDescent="0.25">
      <c r="B6" s="45">
        <v>3</v>
      </c>
      <c r="C6" s="50" t="s">
        <v>104</v>
      </c>
      <c r="D6" s="60" t="s">
        <v>1</v>
      </c>
      <c r="E6" s="106">
        <v>1</v>
      </c>
      <c r="F6" s="86" t="s">
        <v>115</v>
      </c>
      <c r="G6" s="89">
        <v>44438</v>
      </c>
      <c r="H6" s="48">
        <f t="shared" ref="H6:H20" si="5">(G6-F6)/(EDATE(G6,12)-G6)</f>
        <v>9.9232876712328775</v>
      </c>
      <c r="I6" s="45">
        <v>8</v>
      </c>
      <c r="J6" s="47">
        <v>0.05</v>
      </c>
      <c r="K6" s="55">
        <f t="shared" ref="K6:K20" si="6">(1-J6)/I6</f>
        <v>0.11874999999999999</v>
      </c>
      <c r="L6" s="112">
        <v>425267</v>
      </c>
      <c r="M6" s="97">
        <v>39278.050000000003</v>
      </c>
      <c r="N6" s="103">
        <f t="shared" si="2"/>
        <v>501130.55489726027</v>
      </c>
      <c r="O6" s="103">
        <f t="shared" si="3"/>
        <v>0</v>
      </c>
      <c r="P6" s="104">
        <v>0.05</v>
      </c>
      <c r="Q6" s="28">
        <f t="shared" si="4"/>
        <v>21263.350000000002</v>
      </c>
    </row>
    <row r="7" spans="2:17" ht="30" x14ac:dyDescent="0.25">
      <c r="B7" s="45">
        <v>4</v>
      </c>
      <c r="C7" s="50" t="s">
        <v>105</v>
      </c>
      <c r="D7" s="60" t="s">
        <v>1</v>
      </c>
      <c r="E7" s="106">
        <v>1</v>
      </c>
      <c r="F7" s="86" t="s">
        <v>115</v>
      </c>
      <c r="G7" s="89">
        <v>44438</v>
      </c>
      <c r="H7" s="48">
        <f t="shared" si="5"/>
        <v>9.9232876712328775</v>
      </c>
      <c r="I7" s="45">
        <v>8</v>
      </c>
      <c r="J7" s="47">
        <v>0.05</v>
      </c>
      <c r="K7" s="55">
        <f t="shared" si="6"/>
        <v>0.11874999999999999</v>
      </c>
      <c r="L7" s="112">
        <v>425270</v>
      </c>
      <c r="M7" s="97">
        <v>39279.03</v>
      </c>
      <c r="N7" s="103">
        <f t="shared" si="2"/>
        <v>501134.09006849321</v>
      </c>
      <c r="O7" s="103">
        <f t="shared" si="3"/>
        <v>0</v>
      </c>
      <c r="P7" s="104">
        <v>0.05</v>
      </c>
      <c r="Q7" s="28">
        <f t="shared" si="4"/>
        <v>21263.5</v>
      </c>
    </row>
    <row r="8" spans="2:17" ht="30" x14ac:dyDescent="0.25">
      <c r="B8" s="45">
        <v>5</v>
      </c>
      <c r="C8" s="50" t="s">
        <v>106</v>
      </c>
      <c r="D8" s="60" t="s">
        <v>1</v>
      </c>
      <c r="E8" s="106">
        <v>1</v>
      </c>
      <c r="F8" s="86" t="s">
        <v>115</v>
      </c>
      <c r="G8" s="89">
        <v>44438</v>
      </c>
      <c r="H8" s="48">
        <f t="shared" si="5"/>
        <v>9.9232876712328775</v>
      </c>
      <c r="I8" s="45">
        <v>8</v>
      </c>
      <c r="J8" s="47">
        <v>0.05</v>
      </c>
      <c r="K8" s="55">
        <f t="shared" si="6"/>
        <v>0.11874999999999999</v>
      </c>
      <c r="L8" s="112">
        <v>755000</v>
      </c>
      <c r="M8" s="97">
        <v>69732.929999999993</v>
      </c>
      <c r="N8" s="103">
        <f t="shared" si="2"/>
        <v>889684.76027397264</v>
      </c>
      <c r="O8" s="103">
        <f t="shared" si="3"/>
        <v>0</v>
      </c>
      <c r="P8" s="104">
        <v>0.05</v>
      </c>
      <c r="Q8" s="28">
        <f t="shared" si="4"/>
        <v>37750</v>
      </c>
    </row>
    <row r="9" spans="2:17" ht="45" x14ac:dyDescent="0.25">
      <c r="B9" s="45">
        <v>6</v>
      </c>
      <c r="C9" s="50" t="s">
        <v>107</v>
      </c>
      <c r="D9" s="60" t="s">
        <v>1</v>
      </c>
      <c r="E9" s="106">
        <v>1</v>
      </c>
      <c r="F9" s="86" t="s">
        <v>115</v>
      </c>
      <c r="G9" s="89">
        <v>44438</v>
      </c>
      <c r="H9" s="48">
        <f t="shared" si="5"/>
        <v>9.9232876712328775</v>
      </c>
      <c r="I9" s="45">
        <v>8</v>
      </c>
      <c r="J9" s="47">
        <v>0.05</v>
      </c>
      <c r="K9" s="55">
        <f t="shared" si="6"/>
        <v>0.11874999999999999</v>
      </c>
      <c r="L9" s="112">
        <v>425270</v>
      </c>
      <c r="M9" s="97">
        <v>39279.03</v>
      </c>
      <c r="N9" s="103">
        <f t="shared" si="2"/>
        <v>501134.09006849321</v>
      </c>
      <c r="O9" s="103">
        <f t="shared" si="3"/>
        <v>0</v>
      </c>
      <c r="P9" s="104">
        <v>0.05</v>
      </c>
      <c r="Q9" s="28">
        <f t="shared" si="4"/>
        <v>21263.5</v>
      </c>
    </row>
    <row r="10" spans="2:17" ht="30" x14ac:dyDescent="0.25">
      <c r="B10" s="45">
        <v>7</v>
      </c>
      <c r="C10" s="50" t="s">
        <v>108</v>
      </c>
      <c r="D10" s="60" t="s">
        <v>1</v>
      </c>
      <c r="E10" s="106">
        <v>1</v>
      </c>
      <c r="F10" s="86" t="s">
        <v>116</v>
      </c>
      <c r="G10" s="89">
        <v>44438</v>
      </c>
      <c r="H10" s="48">
        <f t="shared" si="5"/>
        <v>9.8958904109589039</v>
      </c>
      <c r="I10" s="45">
        <v>8</v>
      </c>
      <c r="J10" s="47">
        <v>0.05</v>
      </c>
      <c r="K10" s="55">
        <f t="shared" si="6"/>
        <v>0.11874999999999999</v>
      </c>
      <c r="L10" s="112">
        <v>4500</v>
      </c>
      <c r="M10" s="97">
        <v>421.89</v>
      </c>
      <c r="N10" s="103">
        <f t="shared" si="2"/>
        <v>5288.1164383561645</v>
      </c>
      <c r="O10" s="103">
        <f t="shared" si="3"/>
        <v>0</v>
      </c>
      <c r="P10" s="104">
        <v>0.05</v>
      </c>
      <c r="Q10" s="28">
        <f t="shared" si="4"/>
        <v>225</v>
      </c>
    </row>
    <row r="11" spans="2:17" ht="45" x14ac:dyDescent="0.25">
      <c r="B11" s="45">
        <v>8</v>
      </c>
      <c r="C11" s="50" t="s">
        <v>109</v>
      </c>
      <c r="D11" s="60" t="s">
        <v>1</v>
      </c>
      <c r="E11" s="106">
        <v>1</v>
      </c>
      <c r="F11" s="86" t="s">
        <v>116</v>
      </c>
      <c r="G11" s="89">
        <v>44438</v>
      </c>
      <c r="H11" s="48">
        <f t="shared" si="5"/>
        <v>9.8958904109589039</v>
      </c>
      <c r="I11" s="45">
        <v>8</v>
      </c>
      <c r="J11" s="47">
        <v>0.05</v>
      </c>
      <c r="K11" s="55">
        <f t="shared" si="6"/>
        <v>0.11874999999999999</v>
      </c>
      <c r="L11" s="112">
        <v>755000</v>
      </c>
      <c r="M11" s="97">
        <v>70461.13</v>
      </c>
      <c r="N11" s="103">
        <f t="shared" si="2"/>
        <v>887228.42465753423</v>
      </c>
      <c r="O11" s="103">
        <f t="shared" si="3"/>
        <v>0</v>
      </c>
      <c r="P11" s="104">
        <v>0.05</v>
      </c>
      <c r="Q11" s="28">
        <f t="shared" si="4"/>
        <v>37750</v>
      </c>
    </row>
    <row r="12" spans="2:17" x14ac:dyDescent="0.25">
      <c r="B12" s="45">
        <v>9</v>
      </c>
      <c r="C12" s="50" t="s">
        <v>110</v>
      </c>
      <c r="D12" s="60" t="s">
        <v>1</v>
      </c>
      <c r="E12" s="106">
        <v>1</v>
      </c>
      <c r="F12" s="114" t="s">
        <v>117</v>
      </c>
      <c r="G12" s="89">
        <v>44438</v>
      </c>
      <c r="H12" s="48">
        <f t="shared" si="5"/>
        <v>9.4219178082191775</v>
      </c>
      <c r="I12" s="45">
        <v>3</v>
      </c>
      <c r="J12" s="47">
        <v>0.05</v>
      </c>
      <c r="K12" s="55">
        <f t="shared" si="6"/>
        <v>0.31666666666666665</v>
      </c>
      <c r="L12" s="113">
        <v>3203</v>
      </c>
      <c r="M12" s="97">
        <v>530.37</v>
      </c>
      <c r="N12" s="103">
        <f t="shared" si="2"/>
        <v>9556.494200913241</v>
      </c>
      <c r="O12" s="103">
        <f t="shared" si="3"/>
        <v>0</v>
      </c>
      <c r="P12" s="104">
        <v>0.05</v>
      </c>
      <c r="Q12" s="28">
        <f t="shared" si="4"/>
        <v>160.15</v>
      </c>
    </row>
    <row r="13" spans="2:17" x14ac:dyDescent="0.25">
      <c r="B13" s="45">
        <v>10</v>
      </c>
      <c r="C13" s="50" t="s">
        <v>111</v>
      </c>
      <c r="D13" s="60" t="s">
        <v>1</v>
      </c>
      <c r="E13" s="106">
        <v>1</v>
      </c>
      <c r="F13" s="86" t="s">
        <v>118</v>
      </c>
      <c r="G13" s="89">
        <v>44438</v>
      </c>
      <c r="H13" s="48">
        <f t="shared" si="5"/>
        <v>9.4109589041095898</v>
      </c>
      <c r="I13" s="45">
        <v>8</v>
      </c>
      <c r="J13" s="47">
        <v>0.05</v>
      </c>
      <c r="K13" s="55">
        <f t="shared" si="6"/>
        <v>0.11874999999999999</v>
      </c>
      <c r="L13" s="113">
        <v>490000</v>
      </c>
      <c r="M13" s="97">
        <v>54603.72</v>
      </c>
      <c r="N13" s="103">
        <f t="shared" si="2"/>
        <v>547600.17123287672</v>
      </c>
      <c r="O13" s="103">
        <f t="shared" si="3"/>
        <v>0</v>
      </c>
      <c r="P13" s="104">
        <v>0.05</v>
      </c>
      <c r="Q13" s="28">
        <f t="shared" si="4"/>
        <v>24500</v>
      </c>
    </row>
    <row r="14" spans="2:17" ht="30" x14ac:dyDescent="0.25">
      <c r="B14" s="45">
        <v>11</v>
      </c>
      <c r="C14" s="50" t="s">
        <v>112</v>
      </c>
      <c r="D14" s="60" t="s">
        <v>1</v>
      </c>
      <c r="E14" s="106">
        <v>1</v>
      </c>
      <c r="F14" s="86" t="s">
        <v>119</v>
      </c>
      <c r="G14" s="89">
        <v>44438</v>
      </c>
      <c r="H14" s="48">
        <f t="shared" si="5"/>
        <v>8.5890410958904102</v>
      </c>
      <c r="I14" s="45">
        <v>8</v>
      </c>
      <c r="J14" s="47">
        <v>0.05</v>
      </c>
      <c r="K14" s="55">
        <f t="shared" si="6"/>
        <v>0.11874999999999999</v>
      </c>
      <c r="L14" s="112">
        <v>480507</v>
      </c>
      <c r="M14" s="97">
        <v>72038.009999999995</v>
      </c>
      <c r="N14" s="103">
        <f t="shared" si="2"/>
        <v>490092.45642123278</v>
      </c>
      <c r="O14" s="103">
        <f t="shared" si="3"/>
        <v>0</v>
      </c>
      <c r="P14" s="104">
        <v>0.05</v>
      </c>
      <c r="Q14" s="28">
        <f t="shared" si="4"/>
        <v>24025.350000000002</v>
      </c>
    </row>
    <row r="15" spans="2:17" x14ac:dyDescent="0.25">
      <c r="B15" s="45">
        <v>12</v>
      </c>
      <c r="C15" s="50" t="s">
        <v>113</v>
      </c>
      <c r="D15" s="60" t="s">
        <v>1</v>
      </c>
      <c r="E15" s="106">
        <v>1</v>
      </c>
      <c r="F15" s="99" t="s">
        <v>120</v>
      </c>
      <c r="G15" s="89">
        <v>44438</v>
      </c>
      <c r="H15" s="48">
        <f t="shared" si="5"/>
        <v>5.816438356164384</v>
      </c>
      <c r="I15" s="45">
        <v>8</v>
      </c>
      <c r="J15" s="47">
        <v>0.05</v>
      </c>
      <c r="K15" s="55">
        <f t="shared" si="6"/>
        <v>0.11874999999999999</v>
      </c>
      <c r="L15" s="112">
        <v>3555800</v>
      </c>
      <c r="M15" s="97"/>
      <c r="N15" s="103">
        <f t="shared" si="2"/>
        <v>2455998.3664383562</v>
      </c>
      <c r="O15" s="103">
        <f t="shared" si="3"/>
        <v>1099801.6335616438</v>
      </c>
      <c r="P15" s="104">
        <v>0.05</v>
      </c>
      <c r="Q15" s="28">
        <f t="shared" si="4"/>
        <v>1044811.5518835615</v>
      </c>
    </row>
    <row r="16" spans="2:17" x14ac:dyDescent="0.25">
      <c r="B16" s="45">
        <v>13</v>
      </c>
      <c r="C16" s="50" t="s">
        <v>114</v>
      </c>
      <c r="D16" s="60" t="s">
        <v>1</v>
      </c>
      <c r="E16" s="106">
        <v>1</v>
      </c>
      <c r="F16" s="99" t="s">
        <v>121</v>
      </c>
      <c r="G16" s="89">
        <v>44438</v>
      </c>
      <c r="H16" s="48">
        <f t="shared" si="5"/>
        <v>6.0547945205479454</v>
      </c>
      <c r="I16" s="45">
        <v>8</v>
      </c>
      <c r="J16" s="47">
        <v>0.05</v>
      </c>
      <c r="K16" s="55">
        <f t="shared" si="6"/>
        <v>0.11874999999999999</v>
      </c>
      <c r="L16" s="112">
        <v>459344</v>
      </c>
      <c r="M16" s="97">
        <v>173115.91</v>
      </c>
      <c r="N16" s="103">
        <f t="shared" si="2"/>
        <v>330271.48219178081</v>
      </c>
      <c r="O16" s="103">
        <f t="shared" si="3"/>
        <v>129072.51780821919</v>
      </c>
      <c r="P16" s="104">
        <v>0.05</v>
      </c>
      <c r="Q16" s="28">
        <f t="shared" si="4"/>
        <v>122618.89191780821</v>
      </c>
    </row>
    <row r="17" spans="2:17" ht="30" x14ac:dyDescent="0.25">
      <c r="B17" s="45">
        <v>14</v>
      </c>
      <c r="C17" s="50" t="s">
        <v>122</v>
      </c>
      <c r="D17" s="60" t="s">
        <v>1</v>
      </c>
      <c r="E17" s="106">
        <v>2</v>
      </c>
      <c r="F17" s="86" t="s">
        <v>65</v>
      </c>
      <c r="G17" s="89">
        <v>44438</v>
      </c>
      <c r="H17" s="48">
        <f t="shared" si="5"/>
        <v>11.421917808219177</v>
      </c>
      <c r="I17" s="45">
        <v>8</v>
      </c>
      <c r="J17" s="47">
        <v>0.05</v>
      </c>
      <c r="K17" s="55">
        <f t="shared" si="6"/>
        <v>0.11874999999999999</v>
      </c>
      <c r="L17" s="113">
        <v>10631766</v>
      </c>
      <c r="M17" s="96">
        <v>531588.30000000005</v>
      </c>
      <c r="N17" s="103">
        <f t="shared" si="2"/>
        <v>14420424.942226026</v>
      </c>
      <c r="O17" s="103">
        <f t="shared" si="3"/>
        <v>0</v>
      </c>
      <c r="P17" s="104">
        <v>0.05</v>
      </c>
      <c r="Q17" s="28">
        <f t="shared" si="4"/>
        <v>531588.30000000005</v>
      </c>
    </row>
    <row r="18" spans="2:17" x14ac:dyDescent="0.25">
      <c r="B18" s="45">
        <v>15</v>
      </c>
      <c r="C18" s="50" t="s">
        <v>123</v>
      </c>
      <c r="D18" s="60" t="s">
        <v>1</v>
      </c>
      <c r="E18" s="106">
        <v>2</v>
      </c>
      <c r="F18" s="99" t="s">
        <v>125</v>
      </c>
      <c r="G18" s="89">
        <v>44438</v>
      </c>
      <c r="H18" s="48">
        <f t="shared" si="5"/>
        <v>11.216438356164383</v>
      </c>
      <c r="I18" s="45">
        <v>8</v>
      </c>
      <c r="J18" s="47">
        <v>0.05</v>
      </c>
      <c r="K18" s="55">
        <f t="shared" si="6"/>
        <v>0.11874999999999999</v>
      </c>
      <c r="L18" s="112">
        <v>1251352</v>
      </c>
      <c r="M18" s="97">
        <v>68387.149999999994</v>
      </c>
      <c r="N18" s="103">
        <f t="shared" si="2"/>
        <v>1666740.8676712329</v>
      </c>
      <c r="O18" s="103">
        <f>MAX(L18-N18,0)</f>
        <v>0</v>
      </c>
      <c r="P18" s="104">
        <v>0.05</v>
      </c>
      <c r="Q18" s="28">
        <f t="shared" si="4"/>
        <v>62567.600000000006</v>
      </c>
    </row>
    <row r="19" spans="2:17" x14ac:dyDescent="0.25">
      <c r="B19" s="45">
        <v>16</v>
      </c>
      <c r="C19" s="50" t="s">
        <v>124</v>
      </c>
      <c r="D19" s="60" t="s">
        <v>1</v>
      </c>
      <c r="E19" s="106">
        <v>2</v>
      </c>
      <c r="F19" s="99" t="s">
        <v>126</v>
      </c>
      <c r="G19" s="89">
        <v>44438</v>
      </c>
      <c r="H19" s="48">
        <f t="shared" si="5"/>
        <v>11.035616438356165</v>
      </c>
      <c r="I19" s="45">
        <v>8</v>
      </c>
      <c r="J19" s="47">
        <v>0.05</v>
      </c>
      <c r="K19" s="55">
        <f t="shared" si="6"/>
        <v>0.11874999999999999</v>
      </c>
      <c r="L19" s="112">
        <v>2883149</v>
      </c>
      <c r="M19" s="97">
        <v>170414.27</v>
      </c>
      <c r="N19" s="103">
        <f t="shared" si="2"/>
        <v>3778307.5217123288</v>
      </c>
      <c r="O19" s="103">
        <f t="shared" si="3"/>
        <v>0</v>
      </c>
      <c r="P19" s="104">
        <v>0.05</v>
      </c>
      <c r="Q19" s="28">
        <f t="shared" si="4"/>
        <v>144157.45000000001</v>
      </c>
    </row>
    <row r="20" spans="2:17" ht="30" x14ac:dyDescent="0.25">
      <c r="B20" s="45">
        <v>17</v>
      </c>
      <c r="C20" s="50" t="s">
        <v>127</v>
      </c>
      <c r="D20" s="63"/>
      <c r="E20" s="43">
        <v>3</v>
      </c>
      <c r="F20" s="86" t="s">
        <v>65</v>
      </c>
      <c r="G20" s="89">
        <v>44438</v>
      </c>
      <c r="H20" s="48">
        <f t="shared" si="5"/>
        <v>11.421917808219177</v>
      </c>
      <c r="I20" s="45">
        <v>8</v>
      </c>
      <c r="J20" s="47">
        <v>0.05</v>
      </c>
      <c r="K20" s="55">
        <f t="shared" si="6"/>
        <v>0.11874999999999999</v>
      </c>
      <c r="L20" s="113">
        <v>1835755</v>
      </c>
      <c r="M20" s="96">
        <v>91787.75</v>
      </c>
      <c r="N20" s="103">
        <f t="shared" si="2"/>
        <v>2489931.3237157529</v>
      </c>
      <c r="O20" s="103">
        <f t="shared" si="3"/>
        <v>0</v>
      </c>
      <c r="P20" s="104">
        <v>0.05</v>
      </c>
      <c r="Q20" s="28">
        <f t="shared" si="4"/>
        <v>91787.75</v>
      </c>
    </row>
    <row r="21" spans="2:17" x14ac:dyDescent="0.25">
      <c r="B21" s="321" t="s">
        <v>54</v>
      </c>
      <c r="C21" s="321"/>
      <c r="D21" s="321"/>
      <c r="E21" s="321"/>
      <c r="F21" s="321"/>
      <c r="G21" s="321"/>
      <c r="H21" s="321"/>
      <c r="I21" s="321"/>
      <c r="J21" s="321"/>
      <c r="K21" s="321"/>
      <c r="L21" s="64">
        <f>SUM(L4:L20)</f>
        <v>33889214</v>
      </c>
      <c r="M21" s="64">
        <f t="shared" ref="M21:O21" si="7">SUM(M4:M20)</f>
        <v>1582240.69</v>
      </c>
      <c r="N21" s="64">
        <f t="shared" si="7"/>
        <v>46407991.012813926</v>
      </c>
      <c r="O21" s="64">
        <f t="shared" si="7"/>
        <v>1228874.151369863</v>
      </c>
      <c r="P21" s="104"/>
      <c r="Q21" s="115">
        <f>SUM(Q4:Q20)</f>
        <v>2661133.94380137</v>
      </c>
    </row>
    <row r="23" spans="2:17" x14ac:dyDescent="0.25">
      <c r="H23" s="111" t="s">
        <v>347</v>
      </c>
    </row>
  </sheetData>
  <autoFilter ref="B3:Q21"/>
  <mergeCells count="2">
    <mergeCell ref="B2:Q2"/>
    <mergeCell ref="B21:K21"/>
  </mergeCells>
  <pageMargins left="0.25" right="0.25" top="0.75" bottom="0.75" header="0.3" footer="0.3"/>
  <pageSetup paperSize="9" scale="5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6"/>
  <sheetViews>
    <sheetView workbookViewId="0">
      <pane ySplit="4" topLeftCell="A5" activePane="bottomLeft" state="frozen"/>
      <selection activeCell="B1" sqref="B1"/>
      <selection pane="bottomLeft" activeCell="B4" sqref="B4"/>
    </sheetView>
  </sheetViews>
  <sheetFormatPr defaultRowHeight="15" x14ac:dyDescent="0.25"/>
  <cols>
    <col min="1" max="2" width="9.140625" style="83"/>
    <col min="3" max="3" width="31" style="83" customWidth="1"/>
    <col min="4" max="4" width="14.28515625" style="83" customWidth="1"/>
    <col min="5" max="5" width="8.28515625" style="83" customWidth="1"/>
    <col min="6" max="6" width="13.42578125" style="83" customWidth="1"/>
    <col min="7" max="7" width="16.5703125" style="83" bestFit="1" customWidth="1"/>
    <col min="8" max="8" width="11.5703125" style="83" bestFit="1" customWidth="1"/>
    <col min="9" max="9" width="16.28515625" style="83" customWidth="1"/>
    <col min="10" max="10" width="9.140625" style="83"/>
    <col min="11" max="11" width="13.28515625" style="83" customWidth="1"/>
    <col min="12" max="13" width="16.28515625" style="84" customWidth="1"/>
    <col min="14" max="14" width="17.42578125" style="83" bestFit="1" customWidth="1"/>
    <col min="15" max="15" width="19.85546875" style="83" customWidth="1"/>
    <col min="16" max="16" width="11.42578125" style="83" customWidth="1"/>
    <col min="17" max="17" width="20.5703125" style="83" customWidth="1"/>
    <col min="18" max="16384" width="9.140625" style="83"/>
  </cols>
  <sheetData>
    <row r="2" spans="2:17" x14ac:dyDescent="0.25">
      <c r="C2" s="252"/>
    </row>
    <row r="3" spans="2:17" s="82" customFormat="1" x14ac:dyDescent="0.25">
      <c r="B3" s="315" t="s">
        <v>397</v>
      </c>
      <c r="C3" s="315"/>
      <c r="D3" s="315"/>
      <c r="E3" s="315"/>
      <c r="F3" s="315"/>
      <c r="G3" s="315"/>
      <c r="H3" s="315"/>
      <c r="I3" s="315"/>
      <c r="J3" s="315"/>
      <c r="K3" s="315"/>
      <c r="L3" s="315"/>
      <c r="M3" s="315"/>
      <c r="N3" s="315"/>
      <c r="O3" s="315"/>
      <c r="P3" s="315"/>
      <c r="Q3" s="315"/>
    </row>
    <row r="4" spans="2:17" s="82" customFormat="1" ht="60" x14ac:dyDescent="0.25">
      <c r="B4" s="2" t="s">
        <v>2</v>
      </c>
      <c r="C4" s="2" t="s">
        <v>3</v>
      </c>
      <c r="D4" s="2" t="s">
        <v>60</v>
      </c>
      <c r="E4" s="2" t="s">
        <v>61</v>
      </c>
      <c r="F4" s="2" t="s">
        <v>4</v>
      </c>
      <c r="G4" s="2" t="s">
        <v>5</v>
      </c>
      <c r="H4" s="2" t="s">
        <v>6</v>
      </c>
      <c r="I4" s="2" t="s">
        <v>13</v>
      </c>
      <c r="J4" s="2" t="s">
        <v>22</v>
      </c>
      <c r="K4" s="2" t="s">
        <v>7</v>
      </c>
      <c r="L4" s="49" t="s">
        <v>8</v>
      </c>
      <c r="M4" s="49" t="s">
        <v>41</v>
      </c>
      <c r="N4" s="3" t="s">
        <v>10</v>
      </c>
      <c r="O4" s="3" t="s">
        <v>23</v>
      </c>
      <c r="P4" s="3" t="s">
        <v>42</v>
      </c>
      <c r="Q4" s="3" t="s">
        <v>11</v>
      </c>
    </row>
    <row r="5" spans="2:17" x14ac:dyDescent="0.25">
      <c r="B5" s="45">
        <v>1</v>
      </c>
      <c r="C5" s="50" t="s">
        <v>75</v>
      </c>
      <c r="D5" s="60" t="s">
        <v>50</v>
      </c>
      <c r="E5" s="58">
        <v>1</v>
      </c>
      <c r="F5" s="52">
        <v>2006</v>
      </c>
      <c r="G5" s="89">
        <v>44438</v>
      </c>
      <c r="H5" s="48">
        <f>YEAR(G5)-F5</f>
        <v>15</v>
      </c>
      <c r="I5" s="45">
        <v>3</v>
      </c>
      <c r="J5" s="47">
        <v>0.03</v>
      </c>
      <c r="K5" s="55">
        <f t="shared" ref="K5" si="0">(1-J5)/I5</f>
        <v>0.32333333333333331</v>
      </c>
      <c r="L5" s="113">
        <v>3707784.2</v>
      </c>
      <c r="M5" s="96">
        <v>31726.93</v>
      </c>
      <c r="N5" s="103">
        <f>L5*H5*K5</f>
        <v>17982753.369999997</v>
      </c>
      <c r="O5" s="103">
        <f>MAX(L5-N5,0)</f>
        <v>0</v>
      </c>
      <c r="P5" s="104">
        <v>0.05</v>
      </c>
      <c r="Q5" s="28">
        <f>IF(O5&gt;=L5*J5,O5*(1-P5),L5*J5)</f>
        <v>111233.526</v>
      </c>
    </row>
    <row r="6" spans="2:17" ht="30" x14ac:dyDescent="0.25">
      <c r="B6" s="45">
        <v>2</v>
      </c>
      <c r="C6" s="50" t="s">
        <v>128</v>
      </c>
      <c r="D6" s="60" t="s">
        <v>50</v>
      </c>
      <c r="E6" s="58">
        <v>1</v>
      </c>
      <c r="F6" s="56" t="s">
        <v>143</v>
      </c>
      <c r="G6" s="89">
        <v>44438</v>
      </c>
      <c r="H6" s="48">
        <f t="shared" ref="H6" si="1">(G6-F6)/(EDATE(G6,12)-G6)</f>
        <v>8.8356164383561637</v>
      </c>
      <c r="I6" s="45">
        <v>3</v>
      </c>
      <c r="J6" s="47">
        <v>0.03</v>
      </c>
      <c r="K6" s="55">
        <f t="shared" ref="K6" si="2">(1-J6)/I6</f>
        <v>0.32333333333333331</v>
      </c>
      <c r="L6" s="112">
        <v>21000</v>
      </c>
      <c r="M6" s="97">
        <v>1050</v>
      </c>
      <c r="N6" s="103">
        <f t="shared" ref="N6:N25" si="3">L6*H6*K6</f>
        <v>59993.835616438344</v>
      </c>
      <c r="O6" s="103">
        <f t="shared" ref="O6:O25" si="4">MAX(L6-N6,0)</f>
        <v>0</v>
      </c>
      <c r="P6" s="104">
        <v>0.05</v>
      </c>
      <c r="Q6" s="28">
        <f t="shared" ref="Q6:Q25" si="5">IF(O6&gt;=L6*J6,O6*(1-P6),L6*J6)</f>
        <v>630</v>
      </c>
    </row>
    <row r="7" spans="2:17" ht="30" x14ac:dyDescent="0.25">
      <c r="B7" s="45">
        <v>3</v>
      </c>
      <c r="C7" s="50" t="s">
        <v>129</v>
      </c>
      <c r="D7" s="60" t="s">
        <v>50</v>
      </c>
      <c r="E7" s="58">
        <v>1</v>
      </c>
      <c r="F7" s="52" t="s">
        <v>144</v>
      </c>
      <c r="G7" s="89">
        <v>44438</v>
      </c>
      <c r="H7" s="48">
        <f t="shared" ref="H7:H25" si="6">(G7-F7)/(EDATE(G7,12)-G7)</f>
        <v>6.2383561643835614</v>
      </c>
      <c r="I7" s="45">
        <v>3</v>
      </c>
      <c r="J7" s="47">
        <v>0.03</v>
      </c>
      <c r="K7" s="55">
        <f t="shared" ref="K7:K25" si="7">(1-J7)/I7</f>
        <v>0.32333333333333331</v>
      </c>
      <c r="L7" s="112">
        <v>135135</v>
      </c>
      <c r="M7" s="97">
        <v>8130.73</v>
      </c>
      <c r="N7" s="103">
        <f t="shared" si="3"/>
        <v>272576.55082191777</v>
      </c>
      <c r="O7" s="103">
        <f t="shared" si="4"/>
        <v>0</v>
      </c>
      <c r="P7" s="104">
        <v>0.05</v>
      </c>
      <c r="Q7" s="28">
        <f t="shared" si="5"/>
        <v>4054.0499999999997</v>
      </c>
    </row>
    <row r="8" spans="2:17" x14ac:dyDescent="0.25">
      <c r="B8" s="45">
        <v>4</v>
      </c>
      <c r="C8" s="50" t="s">
        <v>130</v>
      </c>
      <c r="D8" s="60" t="s">
        <v>50</v>
      </c>
      <c r="E8" s="58">
        <v>1</v>
      </c>
      <c r="F8" s="56" t="s">
        <v>145</v>
      </c>
      <c r="G8" s="89">
        <v>44438</v>
      </c>
      <c r="H8" s="48">
        <f t="shared" si="6"/>
        <v>6.2027397260273975</v>
      </c>
      <c r="I8" s="45">
        <v>3</v>
      </c>
      <c r="J8" s="47">
        <v>0.03</v>
      </c>
      <c r="K8" s="55">
        <f t="shared" si="7"/>
        <v>0.32333333333333331</v>
      </c>
      <c r="L8" s="112">
        <v>7015</v>
      </c>
      <c r="M8" s="97">
        <v>438.63</v>
      </c>
      <c r="N8" s="103">
        <f t="shared" si="3"/>
        <v>14068.950867579908</v>
      </c>
      <c r="O8" s="103">
        <f t="shared" si="4"/>
        <v>0</v>
      </c>
      <c r="P8" s="104">
        <v>0.05</v>
      </c>
      <c r="Q8" s="28">
        <f t="shared" si="5"/>
        <v>210.45</v>
      </c>
    </row>
    <row r="9" spans="2:17" ht="30" x14ac:dyDescent="0.25">
      <c r="B9" s="45">
        <v>5</v>
      </c>
      <c r="C9" s="50" t="s">
        <v>131</v>
      </c>
      <c r="D9" s="60" t="s">
        <v>50</v>
      </c>
      <c r="E9" s="58">
        <v>1</v>
      </c>
      <c r="F9" s="56" t="s">
        <v>146</v>
      </c>
      <c r="G9" s="89">
        <v>44438</v>
      </c>
      <c r="H9" s="48">
        <f t="shared" si="6"/>
        <v>6.1863013698630134</v>
      </c>
      <c r="I9" s="45">
        <v>3</v>
      </c>
      <c r="J9" s="47">
        <v>0.03</v>
      </c>
      <c r="K9" s="55">
        <f t="shared" si="7"/>
        <v>0.32333333333333331</v>
      </c>
      <c r="L9" s="112">
        <v>69300</v>
      </c>
      <c r="M9" s="97">
        <v>4406.7</v>
      </c>
      <c r="N9" s="103">
        <f t="shared" si="3"/>
        <v>138616.45479452051</v>
      </c>
      <c r="O9" s="103">
        <f t="shared" si="4"/>
        <v>0</v>
      </c>
      <c r="P9" s="104">
        <v>0.05</v>
      </c>
      <c r="Q9" s="28">
        <f t="shared" si="5"/>
        <v>2079</v>
      </c>
    </row>
    <row r="10" spans="2:17" ht="30" x14ac:dyDescent="0.25">
      <c r="B10" s="45">
        <v>6</v>
      </c>
      <c r="C10" s="50" t="s">
        <v>132</v>
      </c>
      <c r="D10" s="60" t="s">
        <v>50</v>
      </c>
      <c r="E10" s="58">
        <v>1</v>
      </c>
      <c r="F10" s="56" t="s">
        <v>147</v>
      </c>
      <c r="G10" s="89">
        <v>44438</v>
      </c>
      <c r="H10" s="48">
        <f t="shared" si="6"/>
        <v>6.1232876712328768</v>
      </c>
      <c r="I10" s="45">
        <v>3</v>
      </c>
      <c r="J10" s="47">
        <v>0.03</v>
      </c>
      <c r="K10" s="55">
        <f t="shared" si="7"/>
        <v>0.32333333333333331</v>
      </c>
      <c r="L10" s="112">
        <v>204120</v>
      </c>
      <c r="M10" s="97">
        <v>13878.5</v>
      </c>
      <c r="N10" s="103">
        <f t="shared" si="3"/>
        <v>404129.63835616433</v>
      </c>
      <c r="O10" s="103">
        <f t="shared" si="4"/>
        <v>0</v>
      </c>
      <c r="P10" s="104">
        <v>0.05</v>
      </c>
      <c r="Q10" s="28">
        <f t="shared" si="5"/>
        <v>6123.5999999999995</v>
      </c>
    </row>
    <row r="11" spans="2:17" ht="30" x14ac:dyDescent="0.25">
      <c r="B11" s="45">
        <v>7</v>
      </c>
      <c r="C11" s="50" t="s">
        <v>133</v>
      </c>
      <c r="D11" s="60" t="s">
        <v>50</v>
      </c>
      <c r="E11" s="58">
        <v>1</v>
      </c>
      <c r="F11" s="56" t="s">
        <v>148</v>
      </c>
      <c r="G11" s="89">
        <v>44438</v>
      </c>
      <c r="H11" s="48">
        <f t="shared" si="6"/>
        <v>6.0904109589041093</v>
      </c>
      <c r="I11" s="45">
        <v>3</v>
      </c>
      <c r="J11" s="47">
        <v>0.03</v>
      </c>
      <c r="K11" s="55">
        <f t="shared" si="7"/>
        <v>0.32333333333333331</v>
      </c>
      <c r="L11" s="112">
        <v>122670</v>
      </c>
      <c r="M11" s="97">
        <v>8636.5499999999993</v>
      </c>
      <c r="N11" s="103">
        <f t="shared" si="3"/>
        <v>241565.79698630131</v>
      </c>
      <c r="O11" s="103">
        <f t="shared" si="4"/>
        <v>0</v>
      </c>
      <c r="P11" s="104">
        <v>0.05</v>
      </c>
      <c r="Q11" s="28">
        <f t="shared" si="5"/>
        <v>3680.1</v>
      </c>
    </row>
    <row r="12" spans="2:17" x14ac:dyDescent="0.25">
      <c r="B12" s="45">
        <v>8</v>
      </c>
      <c r="C12" s="50" t="s">
        <v>134</v>
      </c>
      <c r="D12" s="60" t="s">
        <v>50</v>
      </c>
      <c r="E12" s="58">
        <v>1</v>
      </c>
      <c r="F12" s="56" t="s">
        <v>148</v>
      </c>
      <c r="G12" s="89">
        <v>44438</v>
      </c>
      <c r="H12" s="48">
        <f t="shared" si="6"/>
        <v>6.0904109589041093</v>
      </c>
      <c r="I12" s="45">
        <v>3</v>
      </c>
      <c r="J12" s="47">
        <v>0.03</v>
      </c>
      <c r="K12" s="55">
        <f t="shared" si="7"/>
        <v>0.32333333333333331</v>
      </c>
      <c r="L12" s="112">
        <v>7619.5</v>
      </c>
      <c r="M12" s="97">
        <v>536.44000000000005</v>
      </c>
      <c r="N12" s="103">
        <f t="shared" si="3"/>
        <v>15004.569904109587</v>
      </c>
      <c r="O12" s="103">
        <f t="shared" si="4"/>
        <v>0</v>
      </c>
      <c r="P12" s="104">
        <v>0.05</v>
      </c>
      <c r="Q12" s="28">
        <f t="shared" si="5"/>
        <v>228.58499999999998</v>
      </c>
    </row>
    <row r="13" spans="2:17" x14ac:dyDescent="0.25">
      <c r="B13" s="45">
        <v>9</v>
      </c>
      <c r="C13" s="50" t="s">
        <v>135</v>
      </c>
      <c r="D13" s="60" t="s">
        <v>50</v>
      </c>
      <c r="E13" s="58">
        <v>1</v>
      </c>
      <c r="F13" s="56" t="s">
        <v>149</v>
      </c>
      <c r="G13" s="89">
        <v>44438</v>
      </c>
      <c r="H13" s="48">
        <f t="shared" si="6"/>
        <v>5.9616438356164387</v>
      </c>
      <c r="I13" s="45">
        <v>3</v>
      </c>
      <c r="J13" s="47">
        <v>0.03</v>
      </c>
      <c r="K13" s="55">
        <f t="shared" si="7"/>
        <v>0.32333333333333331</v>
      </c>
      <c r="L13" s="112">
        <v>7950</v>
      </c>
      <c r="M13" s="97">
        <v>641.02</v>
      </c>
      <c r="N13" s="103">
        <f t="shared" si="3"/>
        <v>15324.405479452056</v>
      </c>
      <c r="O13" s="103">
        <f t="shared" si="4"/>
        <v>0</v>
      </c>
      <c r="P13" s="104">
        <v>0.05</v>
      </c>
      <c r="Q13" s="28">
        <f t="shared" si="5"/>
        <v>238.5</v>
      </c>
    </row>
    <row r="14" spans="2:17" x14ac:dyDescent="0.25">
      <c r="B14" s="45">
        <v>10</v>
      </c>
      <c r="C14" s="50" t="s">
        <v>136</v>
      </c>
      <c r="D14" s="60" t="s">
        <v>50</v>
      </c>
      <c r="E14" s="58">
        <v>1</v>
      </c>
      <c r="F14" s="56" t="s">
        <v>150</v>
      </c>
      <c r="G14" s="89">
        <v>44438</v>
      </c>
      <c r="H14" s="48">
        <f t="shared" si="6"/>
        <v>5.9506849315068493</v>
      </c>
      <c r="I14" s="45">
        <v>3</v>
      </c>
      <c r="J14" s="47">
        <v>0.03</v>
      </c>
      <c r="K14" s="55">
        <f t="shared" si="7"/>
        <v>0.32333333333333331</v>
      </c>
      <c r="L14" s="112">
        <v>22600</v>
      </c>
      <c r="M14" s="97">
        <v>1841.03</v>
      </c>
      <c r="N14" s="103">
        <f t="shared" si="3"/>
        <v>43483.638356164382</v>
      </c>
      <c r="O14" s="103">
        <f t="shared" si="4"/>
        <v>0</v>
      </c>
      <c r="P14" s="104">
        <v>0.05</v>
      </c>
      <c r="Q14" s="28">
        <f t="shared" si="5"/>
        <v>678</v>
      </c>
    </row>
    <row r="15" spans="2:17" x14ac:dyDescent="0.25">
      <c r="B15" s="45">
        <v>11</v>
      </c>
      <c r="C15" s="50" t="s">
        <v>137</v>
      </c>
      <c r="D15" s="60" t="s">
        <v>50</v>
      </c>
      <c r="E15" s="58">
        <v>1</v>
      </c>
      <c r="F15" s="56" t="s">
        <v>151</v>
      </c>
      <c r="G15" s="89">
        <v>44438</v>
      </c>
      <c r="H15" s="48">
        <f t="shared" si="6"/>
        <v>5.9397260273972599</v>
      </c>
      <c r="I15" s="45">
        <v>3</v>
      </c>
      <c r="J15" s="47">
        <v>0.03</v>
      </c>
      <c r="K15" s="55">
        <f t="shared" si="7"/>
        <v>0.32333333333333331</v>
      </c>
      <c r="L15" s="112">
        <v>43238.1</v>
      </c>
      <c r="M15" s="97">
        <v>3562.31</v>
      </c>
      <c r="N15" s="103">
        <f t="shared" si="3"/>
        <v>83039.264635616419</v>
      </c>
      <c r="O15" s="103">
        <f t="shared" si="4"/>
        <v>0</v>
      </c>
      <c r="P15" s="104">
        <v>0.05</v>
      </c>
      <c r="Q15" s="28">
        <f t="shared" si="5"/>
        <v>1297.1429999999998</v>
      </c>
    </row>
    <row r="16" spans="2:17" x14ac:dyDescent="0.25">
      <c r="B16" s="45">
        <v>12</v>
      </c>
      <c r="C16" s="50" t="s">
        <v>138</v>
      </c>
      <c r="D16" s="60" t="s">
        <v>50</v>
      </c>
      <c r="E16" s="58">
        <v>1</v>
      </c>
      <c r="F16" s="56" t="s">
        <v>151</v>
      </c>
      <c r="G16" s="89">
        <v>44438</v>
      </c>
      <c r="H16" s="48">
        <f t="shared" si="6"/>
        <v>5.9397260273972599</v>
      </c>
      <c r="I16" s="45">
        <v>3</v>
      </c>
      <c r="J16" s="47">
        <v>0.03</v>
      </c>
      <c r="K16" s="55">
        <f t="shared" si="7"/>
        <v>0.32333333333333331</v>
      </c>
      <c r="L16" s="112">
        <v>62679</v>
      </c>
      <c r="M16" s="97">
        <v>5163.8999999999996</v>
      </c>
      <c r="N16" s="103">
        <f t="shared" si="3"/>
        <v>120375.73501369862</v>
      </c>
      <c r="O16" s="103">
        <f t="shared" si="4"/>
        <v>0</v>
      </c>
      <c r="P16" s="104">
        <v>0.05</v>
      </c>
      <c r="Q16" s="28">
        <f t="shared" si="5"/>
        <v>1880.37</v>
      </c>
    </row>
    <row r="17" spans="2:17" x14ac:dyDescent="0.25">
      <c r="B17" s="45">
        <v>13</v>
      </c>
      <c r="C17" s="50" t="s">
        <v>139</v>
      </c>
      <c r="D17" s="60" t="s">
        <v>50</v>
      </c>
      <c r="E17" s="58">
        <v>1</v>
      </c>
      <c r="F17" s="56" t="s">
        <v>152</v>
      </c>
      <c r="G17" s="89">
        <v>44438</v>
      </c>
      <c r="H17" s="48">
        <f t="shared" si="6"/>
        <v>5.9260273972602739</v>
      </c>
      <c r="I17" s="45">
        <v>3</v>
      </c>
      <c r="J17" s="47">
        <v>0.03</v>
      </c>
      <c r="K17" s="55">
        <f t="shared" si="7"/>
        <v>0.32333333333333331</v>
      </c>
      <c r="L17" s="112">
        <v>10000</v>
      </c>
      <c r="M17" s="97">
        <v>835.51</v>
      </c>
      <c r="N17" s="103">
        <f t="shared" si="3"/>
        <v>19160.821917808218</v>
      </c>
      <c r="O17" s="103">
        <f t="shared" si="4"/>
        <v>0</v>
      </c>
      <c r="P17" s="104">
        <v>0.05</v>
      </c>
      <c r="Q17" s="28">
        <f t="shared" si="5"/>
        <v>300</v>
      </c>
    </row>
    <row r="18" spans="2:17" x14ac:dyDescent="0.25">
      <c r="B18" s="45">
        <v>14</v>
      </c>
      <c r="C18" s="50" t="s">
        <v>140</v>
      </c>
      <c r="D18" s="60" t="s">
        <v>50</v>
      </c>
      <c r="E18" s="58">
        <v>1</v>
      </c>
      <c r="F18" s="56" t="s">
        <v>153</v>
      </c>
      <c r="G18" s="89">
        <v>44438</v>
      </c>
      <c r="H18" s="48">
        <f t="shared" si="6"/>
        <v>5.8438356164383558</v>
      </c>
      <c r="I18" s="45">
        <v>3</v>
      </c>
      <c r="J18" s="47">
        <v>0.03</v>
      </c>
      <c r="K18" s="55">
        <f t="shared" si="7"/>
        <v>0.32333333333333331</v>
      </c>
      <c r="L18" s="112">
        <v>16275</v>
      </c>
      <c r="M18" s="97">
        <v>1478.3</v>
      </c>
      <c r="N18" s="103">
        <f t="shared" si="3"/>
        <v>30751.723972602736</v>
      </c>
      <c r="O18" s="103">
        <f t="shared" si="4"/>
        <v>0</v>
      </c>
      <c r="P18" s="104">
        <v>0.05</v>
      </c>
      <c r="Q18" s="28">
        <f t="shared" si="5"/>
        <v>488.25</v>
      </c>
    </row>
    <row r="19" spans="2:17" x14ac:dyDescent="0.25">
      <c r="B19" s="45">
        <v>15</v>
      </c>
      <c r="C19" s="50" t="s">
        <v>141</v>
      </c>
      <c r="D19" s="60" t="s">
        <v>50</v>
      </c>
      <c r="E19" s="58">
        <v>1</v>
      </c>
      <c r="F19" s="56" t="s">
        <v>153</v>
      </c>
      <c r="G19" s="89">
        <v>44438</v>
      </c>
      <c r="H19" s="48">
        <f t="shared" si="6"/>
        <v>5.8438356164383558</v>
      </c>
      <c r="I19" s="45">
        <v>3</v>
      </c>
      <c r="J19" s="47">
        <v>0.03</v>
      </c>
      <c r="K19" s="55">
        <f t="shared" si="7"/>
        <v>0.32333333333333331</v>
      </c>
      <c r="L19" s="112">
        <v>13600</v>
      </c>
      <c r="M19" s="97">
        <v>1235.02</v>
      </c>
      <c r="N19" s="103">
        <f t="shared" si="3"/>
        <v>25697.293150684927</v>
      </c>
      <c r="O19" s="103">
        <f t="shared" si="4"/>
        <v>0</v>
      </c>
      <c r="P19" s="104">
        <v>0.05</v>
      </c>
      <c r="Q19" s="28">
        <f t="shared" si="5"/>
        <v>408</v>
      </c>
    </row>
    <row r="20" spans="2:17" x14ac:dyDescent="0.25">
      <c r="B20" s="45">
        <v>16</v>
      </c>
      <c r="C20" s="50" t="s">
        <v>142</v>
      </c>
      <c r="D20" s="60" t="s">
        <v>50</v>
      </c>
      <c r="E20" s="58">
        <v>1</v>
      </c>
      <c r="F20" s="56" t="s">
        <v>154</v>
      </c>
      <c r="G20" s="89">
        <v>44438</v>
      </c>
      <c r="H20" s="48">
        <f t="shared" si="6"/>
        <v>5.8219178082191778</v>
      </c>
      <c r="I20" s="45">
        <v>3</v>
      </c>
      <c r="J20" s="47">
        <v>0.03</v>
      </c>
      <c r="K20" s="55">
        <f t="shared" si="7"/>
        <v>0.32333333333333331</v>
      </c>
      <c r="L20" s="112">
        <v>29452</v>
      </c>
      <c r="M20" s="97">
        <v>2734.39</v>
      </c>
      <c r="N20" s="103">
        <f t="shared" si="3"/>
        <v>55441.036529680357</v>
      </c>
      <c r="O20" s="103">
        <f t="shared" si="4"/>
        <v>0</v>
      </c>
      <c r="P20" s="104">
        <v>0.05</v>
      </c>
      <c r="Q20" s="28">
        <f t="shared" si="5"/>
        <v>883.56</v>
      </c>
    </row>
    <row r="21" spans="2:17" x14ac:dyDescent="0.25">
      <c r="B21" s="45">
        <v>17</v>
      </c>
      <c r="C21" s="50" t="s">
        <v>155</v>
      </c>
      <c r="D21" s="60" t="s">
        <v>50</v>
      </c>
      <c r="E21" s="58">
        <v>3</v>
      </c>
      <c r="F21" s="52" t="s">
        <v>158</v>
      </c>
      <c r="G21" s="89">
        <v>44438</v>
      </c>
      <c r="H21" s="48">
        <f t="shared" si="6"/>
        <v>11.287671232876713</v>
      </c>
      <c r="I21" s="45">
        <v>3</v>
      </c>
      <c r="J21" s="47">
        <v>0.03</v>
      </c>
      <c r="K21" s="55">
        <f t="shared" si="7"/>
        <v>0.32333333333333331</v>
      </c>
      <c r="L21" s="113">
        <v>48278</v>
      </c>
      <c r="M21" s="96">
        <v>2413.9</v>
      </c>
      <c r="N21" s="103">
        <f t="shared" si="3"/>
        <v>176199.2686757991</v>
      </c>
      <c r="O21" s="103">
        <f t="shared" si="4"/>
        <v>0</v>
      </c>
      <c r="P21" s="104">
        <v>0.05</v>
      </c>
      <c r="Q21" s="28">
        <f t="shared" si="5"/>
        <v>1448.34</v>
      </c>
    </row>
    <row r="22" spans="2:17" x14ac:dyDescent="0.25">
      <c r="B22" s="45">
        <v>18</v>
      </c>
      <c r="C22" s="50" t="s">
        <v>156</v>
      </c>
      <c r="D22" s="60" t="s">
        <v>50</v>
      </c>
      <c r="E22" s="58">
        <v>3</v>
      </c>
      <c r="F22" s="52" t="s">
        <v>159</v>
      </c>
      <c r="G22" s="89">
        <v>44438</v>
      </c>
      <c r="H22" s="48">
        <f t="shared" si="6"/>
        <v>11.284931506849315</v>
      </c>
      <c r="I22" s="45">
        <v>3</v>
      </c>
      <c r="J22" s="47">
        <v>0.03</v>
      </c>
      <c r="K22" s="55">
        <f t="shared" si="7"/>
        <v>0.32333333333333331</v>
      </c>
      <c r="L22" s="113">
        <v>28020</v>
      </c>
      <c r="M22" s="96">
        <v>1401</v>
      </c>
      <c r="N22" s="103">
        <f t="shared" si="3"/>
        <v>102239.22246575341</v>
      </c>
      <c r="O22" s="103">
        <f t="shared" si="4"/>
        <v>0</v>
      </c>
      <c r="P22" s="104">
        <v>0.05</v>
      </c>
      <c r="Q22" s="28">
        <f t="shared" si="5"/>
        <v>840.6</v>
      </c>
    </row>
    <row r="23" spans="2:17" x14ac:dyDescent="0.25">
      <c r="B23" s="45">
        <v>19</v>
      </c>
      <c r="C23" s="50" t="s">
        <v>157</v>
      </c>
      <c r="D23" s="60" t="s">
        <v>50</v>
      </c>
      <c r="E23" s="58">
        <v>3</v>
      </c>
      <c r="F23" s="56" t="s">
        <v>160</v>
      </c>
      <c r="G23" s="89">
        <v>44438</v>
      </c>
      <c r="H23" s="48">
        <f t="shared" si="6"/>
        <v>11.016438356164384</v>
      </c>
      <c r="I23" s="45">
        <v>3</v>
      </c>
      <c r="J23" s="47">
        <v>0.03</v>
      </c>
      <c r="K23" s="55">
        <f t="shared" si="7"/>
        <v>0.32333333333333331</v>
      </c>
      <c r="L23" s="112">
        <v>24500</v>
      </c>
      <c r="M23" s="97">
        <v>1225</v>
      </c>
      <c r="N23" s="103">
        <f t="shared" si="3"/>
        <v>87268.552511415517</v>
      </c>
      <c r="O23" s="103">
        <f t="shared" si="4"/>
        <v>0</v>
      </c>
      <c r="P23" s="104">
        <v>0.05</v>
      </c>
      <c r="Q23" s="28">
        <f t="shared" si="5"/>
        <v>735</v>
      </c>
    </row>
    <row r="24" spans="2:17" x14ac:dyDescent="0.25">
      <c r="B24" s="45">
        <v>20</v>
      </c>
      <c r="C24" s="50" t="s">
        <v>155</v>
      </c>
      <c r="D24" s="60" t="s">
        <v>50</v>
      </c>
      <c r="E24" s="58">
        <v>3</v>
      </c>
      <c r="F24" s="56" t="s">
        <v>161</v>
      </c>
      <c r="G24" s="89">
        <v>44438</v>
      </c>
      <c r="H24" s="48">
        <f t="shared" si="6"/>
        <v>10.956164383561644</v>
      </c>
      <c r="I24" s="45">
        <v>3</v>
      </c>
      <c r="J24" s="47">
        <v>0.03</v>
      </c>
      <c r="K24" s="55">
        <f t="shared" si="7"/>
        <v>0.32333333333333331</v>
      </c>
      <c r="L24" s="112">
        <v>23687</v>
      </c>
      <c r="M24" s="97">
        <v>1184.3499999999999</v>
      </c>
      <c r="N24" s="103">
        <f t="shared" si="3"/>
        <v>83911.035260273973</v>
      </c>
      <c r="O24" s="103">
        <f t="shared" si="4"/>
        <v>0</v>
      </c>
      <c r="P24" s="104">
        <v>0.05</v>
      </c>
      <c r="Q24" s="28">
        <f t="shared" si="5"/>
        <v>710.61</v>
      </c>
    </row>
    <row r="25" spans="2:17" x14ac:dyDescent="0.25">
      <c r="B25" s="45">
        <v>21</v>
      </c>
      <c r="C25" s="50" t="s">
        <v>49</v>
      </c>
      <c r="D25" s="60" t="s">
        <v>50</v>
      </c>
      <c r="E25" s="58">
        <v>3</v>
      </c>
      <c r="F25" s="52" t="s">
        <v>162</v>
      </c>
      <c r="G25" s="89">
        <v>44438</v>
      </c>
      <c r="H25" s="48">
        <f t="shared" si="6"/>
        <v>10.706849315068494</v>
      </c>
      <c r="I25" s="45">
        <v>3</v>
      </c>
      <c r="J25" s="47">
        <v>0.03</v>
      </c>
      <c r="K25" s="55">
        <f t="shared" si="7"/>
        <v>0.32333333333333331</v>
      </c>
      <c r="L25" s="113">
        <v>6731</v>
      </c>
      <c r="M25" s="96">
        <v>336.55</v>
      </c>
      <c r="N25" s="103">
        <f t="shared" si="3"/>
        <v>23301.92288584475</v>
      </c>
      <c r="O25" s="103">
        <f t="shared" si="4"/>
        <v>0</v>
      </c>
      <c r="P25" s="104">
        <v>0.05</v>
      </c>
      <c r="Q25" s="28">
        <f t="shared" si="5"/>
        <v>201.92999999999998</v>
      </c>
    </row>
    <row r="26" spans="2:17" x14ac:dyDescent="0.25">
      <c r="B26" s="321" t="s">
        <v>54</v>
      </c>
      <c r="C26" s="321"/>
      <c r="D26" s="321"/>
      <c r="E26" s="321"/>
      <c r="F26" s="321"/>
      <c r="G26" s="321"/>
      <c r="H26" s="321"/>
      <c r="I26" s="321"/>
      <c r="J26" s="321"/>
      <c r="K26" s="321"/>
      <c r="L26" s="85">
        <f>SUM(L5:L25)</f>
        <v>4611653.8</v>
      </c>
      <c r="M26" s="85">
        <f t="shared" ref="M26" si="8">SUM(M5:M25)</f>
        <v>92856.76</v>
      </c>
      <c r="N26" s="85">
        <f t="shared" ref="N26" si="9">SUM(N5:N25)</f>
        <v>19994903.088201832</v>
      </c>
      <c r="O26" s="85">
        <f t="shared" ref="O26" si="10">SUM(O5:O25)</f>
        <v>0</v>
      </c>
      <c r="P26" s="85"/>
      <c r="Q26" s="85">
        <f t="shared" ref="Q26" si="11">SUM(Q5:Q25)</f>
        <v>138349.614</v>
      </c>
    </row>
  </sheetData>
  <mergeCells count="2">
    <mergeCell ref="B3:Q3"/>
    <mergeCell ref="B26:K26"/>
  </mergeCells>
  <pageMargins left="0.25" right="0.25" top="0.75" bottom="0.75" header="0.3" footer="0.3"/>
  <pageSetup paperSize="9" scale="5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7"/>
  <sheetViews>
    <sheetView workbookViewId="0">
      <selection activeCell="B3" sqref="B3"/>
    </sheetView>
  </sheetViews>
  <sheetFormatPr defaultRowHeight="15" x14ac:dyDescent="0.25"/>
  <cols>
    <col min="1" max="1" width="3.5703125" style="83" customWidth="1"/>
    <col min="2" max="2" width="6.42578125" style="83" customWidth="1"/>
    <col min="3" max="3" width="27.7109375" style="83" customWidth="1"/>
    <col min="4" max="4" width="19.85546875" style="83" customWidth="1"/>
    <col min="5" max="5" width="7" style="83" customWidth="1"/>
    <col min="6" max="6" width="15" style="83" customWidth="1"/>
    <col min="7" max="7" width="13.42578125" style="83" customWidth="1"/>
    <col min="8" max="8" width="8.85546875" style="83" customWidth="1"/>
    <col min="9" max="9" width="12.28515625" style="83" customWidth="1"/>
    <col min="10" max="10" width="6" style="83" customWidth="1"/>
    <col min="11" max="11" width="9.85546875" style="83" customWidth="1"/>
    <col min="12" max="12" width="16.5703125" style="105" customWidth="1"/>
    <col min="13" max="13" width="15.42578125" style="105" customWidth="1"/>
    <col min="14" max="14" width="16.85546875" style="83" customWidth="1"/>
    <col min="15" max="15" width="12" style="83" customWidth="1"/>
    <col min="16" max="16" width="8.85546875" style="83" customWidth="1"/>
    <col min="17" max="17" width="13.140625" style="83" customWidth="1"/>
    <col min="18" max="16384" width="9.140625" style="83"/>
  </cols>
  <sheetData>
    <row r="1" spans="2:17" x14ac:dyDescent="0.25">
      <c r="C1" s="252"/>
    </row>
    <row r="2" spans="2:17" s="82" customFormat="1" x14ac:dyDescent="0.25">
      <c r="B2" s="315" t="s">
        <v>390</v>
      </c>
      <c r="C2" s="315"/>
      <c r="D2" s="315"/>
      <c r="E2" s="315"/>
      <c r="F2" s="315"/>
      <c r="G2" s="315"/>
      <c r="H2" s="315"/>
      <c r="I2" s="315"/>
      <c r="J2" s="315"/>
      <c r="K2" s="315"/>
      <c r="L2" s="315"/>
      <c r="M2" s="315"/>
      <c r="N2" s="315"/>
      <c r="O2" s="315"/>
      <c r="P2" s="315"/>
      <c r="Q2" s="315"/>
    </row>
    <row r="3" spans="2:17" s="82" customFormat="1" ht="57.75" x14ac:dyDescent="0.25">
      <c r="B3" s="2" t="s">
        <v>2</v>
      </c>
      <c r="C3" s="2" t="s">
        <v>3</v>
      </c>
      <c r="D3" s="2" t="s">
        <v>60</v>
      </c>
      <c r="E3" s="2" t="s">
        <v>61</v>
      </c>
      <c r="F3" s="2" t="s">
        <v>4</v>
      </c>
      <c r="G3" s="2" t="s">
        <v>5</v>
      </c>
      <c r="H3" s="2" t="s">
        <v>183</v>
      </c>
      <c r="I3" s="2" t="s">
        <v>184</v>
      </c>
      <c r="J3" s="2" t="s">
        <v>22</v>
      </c>
      <c r="K3" s="2" t="s">
        <v>7</v>
      </c>
      <c r="L3" s="49" t="s">
        <v>8</v>
      </c>
      <c r="M3" s="49" t="s">
        <v>41</v>
      </c>
      <c r="N3" s="3" t="s">
        <v>10</v>
      </c>
      <c r="O3" s="3" t="s">
        <v>23</v>
      </c>
      <c r="P3" s="3" t="s">
        <v>42</v>
      </c>
      <c r="Q3" s="3" t="s">
        <v>11</v>
      </c>
    </row>
    <row r="4" spans="2:17" ht="30" x14ac:dyDescent="0.25">
      <c r="B4" s="45">
        <v>1</v>
      </c>
      <c r="C4" s="50" t="s">
        <v>163</v>
      </c>
      <c r="D4" s="107" t="s">
        <v>166</v>
      </c>
      <c r="E4" s="106">
        <v>1</v>
      </c>
      <c r="F4" s="86" t="s">
        <v>167</v>
      </c>
      <c r="G4" s="89">
        <v>44438</v>
      </c>
      <c r="H4" s="48">
        <f t="shared" ref="H4" si="0">(G4-F4)/(EDATE(G4,12)-G4)</f>
        <v>9.4876712328767123</v>
      </c>
      <c r="I4" s="45">
        <v>5</v>
      </c>
      <c r="J4" s="47">
        <v>0.05</v>
      </c>
      <c r="K4" s="55">
        <f t="shared" ref="K4" si="1">(1-J4)/I4</f>
        <v>0.19</v>
      </c>
      <c r="L4" s="108">
        <v>152495</v>
      </c>
      <c r="M4" s="65">
        <v>7625</v>
      </c>
      <c r="N4" s="103">
        <f>L4*H4*K4</f>
        <v>274896.26068493153</v>
      </c>
      <c r="O4" s="103">
        <f>MAX(L4-N4,0)</f>
        <v>0</v>
      </c>
      <c r="P4" s="104">
        <v>0</v>
      </c>
      <c r="Q4" s="28">
        <f>IF(O4&gt;=L4*J4,O4*(1-P4),L4*J4)</f>
        <v>7624.75</v>
      </c>
    </row>
    <row r="5" spans="2:17" x14ac:dyDescent="0.25">
      <c r="B5" s="45">
        <v>2</v>
      </c>
      <c r="C5" s="50" t="s">
        <v>164</v>
      </c>
      <c r="D5" s="107" t="s">
        <v>166</v>
      </c>
      <c r="E5" s="106">
        <v>1</v>
      </c>
      <c r="F5" s="99" t="s">
        <v>168</v>
      </c>
      <c r="G5" s="89">
        <v>44438</v>
      </c>
      <c r="H5" s="48">
        <f t="shared" ref="H5:H6" si="2">(G5-F5)/(EDATE(G5,12)-G5)</f>
        <v>6.065753424657534</v>
      </c>
      <c r="I5" s="45">
        <v>5</v>
      </c>
      <c r="J5" s="47">
        <v>0.05</v>
      </c>
      <c r="K5" s="55">
        <f t="shared" ref="K5:K6" si="3">(1-J5)/I5</f>
        <v>0.19</v>
      </c>
      <c r="L5" s="109">
        <v>8090</v>
      </c>
      <c r="M5" s="65">
        <v>2196.5500000000002</v>
      </c>
      <c r="N5" s="103">
        <f t="shared" ref="N5:N6" si="4">L5*H5*K5</f>
        <v>9323.6695890410956</v>
      </c>
      <c r="O5" s="103">
        <f t="shared" ref="O5:O6" si="5">MAX(L5-N5,0)</f>
        <v>0</v>
      </c>
      <c r="P5" s="104">
        <v>0</v>
      </c>
      <c r="Q5" s="28">
        <f t="shared" ref="Q5:Q6" si="6">IF(O5&gt;=L5*J5,O5*(1-P5),L5*J5)</f>
        <v>404.5</v>
      </c>
    </row>
    <row r="6" spans="2:17" x14ac:dyDescent="0.25">
      <c r="B6" s="45">
        <v>3</v>
      </c>
      <c r="C6" s="50" t="s">
        <v>165</v>
      </c>
      <c r="D6" s="107" t="s">
        <v>166</v>
      </c>
      <c r="E6" s="106">
        <v>1</v>
      </c>
      <c r="F6" s="99" t="s">
        <v>120</v>
      </c>
      <c r="G6" s="89">
        <v>44438</v>
      </c>
      <c r="H6" s="48">
        <f t="shared" si="2"/>
        <v>5.816438356164384</v>
      </c>
      <c r="I6" s="45">
        <v>5</v>
      </c>
      <c r="J6" s="47">
        <v>0.05</v>
      </c>
      <c r="K6" s="55">
        <f t="shared" si="3"/>
        <v>0.19</v>
      </c>
      <c r="L6" s="109">
        <v>25000</v>
      </c>
      <c r="M6" s="65">
        <v>7683.04</v>
      </c>
      <c r="N6" s="103">
        <f t="shared" si="4"/>
        <v>27628.082191780824</v>
      </c>
      <c r="O6" s="103">
        <f t="shared" si="5"/>
        <v>0</v>
      </c>
      <c r="P6" s="104">
        <v>0</v>
      </c>
      <c r="Q6" s="28">
        <f t="shared" si="6"/>
        <v>1250</v>
      </c>
    </row>
    <row r="7" spans="2:17" x14ac:dyDescent="0.25">
      <c r="B7" s="321" t="s">
        <v>54</v>
      </c>
      <c r="C7" s="321"/>
      <c r="D7" s="321"/>
      <c r="E7" s="321"/>
      <c r="F7" s="321"/>
      <c r="G7" s="321"/>
      <c r="H7" s="321"/>
      <c r="I7" s="321"/>
      <c r="J7" s="321"/>
      <c r="K7" s="321"/>
      <c r="L7" s="110">
        <f>SUM(L4:L6)</f>
        <v>185585</v>
      </c>
      <c r="M7" s="110">
        <f>SUM(M4:M6)</f>
        <v>17504.59</v>
      </c>
      <c r="N7" s="110">
        <f t="shared" ref="N7:Q7" si="7">SUM(N4:N6)</f>
        <v>311848.01246575348</v>
      </c>
      <c r="O7" s="110">
        <f t="shared" si="7"/>
        <v>0</v>
      </c>
      <c r="P7" s="110"/>
      <c r="Q7" s="110">
        <f t="shared" si="7"/>
        <v>9279.25</v>
      </c>
    </row>
  </sheetData>
  <mergeCells count="2">
    <mergeCell ref="B2:Q2"/>
    <mergeCell ref="B7:K7"/>
  </mergeCells>
  <pageMargins left="0.14000000000000001" right="0.7" top="0.75" bottom="0.75" header="0.3" footer="0.3"/>
  <pageSetup paperSize="9" scale="6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7:R30"/>
  <sheetViews>
    <sheetView topLeftCell="E1" workbookViewId="0">
      <selection activeCell="L11" sqref="L11"/>
    </sheetView>
  </sheetViews>
  <sheetFormatPr defaultRowHeight="15" x14ac:dyDescent="0.25"/>
  <cols>
    <col min="6" max="6" width="6.5703125" style="6" customWidth="1"/>
    <col min="7" max="7" width="27.7109375" style="12" customWidth="1"/>
    <col min="8" max="8" width="9.7109375" style="15" bestFit="1" customWidth="1"/>
    <col min="9" max="9" width="22" style="13" bestFit="1" customWidth="1"/>
    <col min="10" max="10" width="21.85546875" style="13" hidden="1" customWidth="1"/>
    <col min="11" max="11" width="25.42578125" style="13" customWidth="1"/>
    <col min="12" max="12" width="22.28515625" style="6" customWidth="1"/>
    <col min="15" max="16" width="13.28515625" bestFit="1" customWidth="1"/>
    <col min="18" max="18" width="15.85546875" bestFit="1" customWidth="1"/>
  </cols>
  <sheetData>
    <row r="7" spans="6:12" ht="36.75" customHeight="1" x14ac:dyDescent="0.25">
      <c r="F7" s="326" t="s">
        <v>362</v>
      </c>
      <c r="G7" s="326"/>
      <c r="H7" s="326"/>
      <c r="I7" s="326"/>
      <c r="J7" s="326"/>
      <c r="K7" s="326"/>
      <c r="L7" s="326"/>
    </row>
    <row r="8" spans="6:12" ht="30" x14ac:dyDescent="0.25">
      <c r="F8" s="10" t="s">
        <v>2</v>
      </c>
      <c r="G8" s="10" t="s">
        <v>14</v>
      </c>
      <c r="H8" s="10" t="s">
        <v>24</v>
      </c>
      <c r="I8" s="11" t="s">
        <v>8</v>
      </c>
      <c r="J8" s="11" t="s">
        <v>41</v>
      </c>
      <c r="K8" s="11" t="s">
        <v>43</v>
      </c>
      <c r="L8" s="10" t="s">
        <v>11</v>
      </c>
    </row>
    <row r="9" spans="6:12" x14ac:dyDescent="0.25">
      <c r="F9" s="43">
        <v>1</v>
      </c>
      <c r="G9" s="149" t="s">
        <v>201</v>
      </c>
      <c r="H9" s="27" t="s">
        <v>354</v>
      </c>
      <c r="I9" s="28">
        <f>'P&amp;M-Unit 1'!L22</f>
        <v>4565703487.3500004</v>
      </c>
      <c r="J9" s="28">
        <f>'P&amp;M-Unit 1'!M22</f>
        <v>1889825800.1699998</v>
      </c>
      <c r="K9" s="28">
        <f>'P&amp;M-Unit 1'!O22</f>
        <v>4879057968.3918743</v>
      </c>
      <c r="L9" s="28">
        <f>'P&amp;M-Unit 1'!S22</f>
        <v>1719446115.4050629</v>
      </c>
    </row>
    <row r="10" spans="6:12" x14ac:dyDescent="0.25">
      <c r="F10" s="43">
        <v>2</v>
      </c>
      <c r="G10" s="149" t="s">
        <v>202</v>
      </c>
      <c r="H10" s="27" t="s">
        <v>355</v>
      </c>
      <c r="I10" s="28">
        <f>'P&amp;M-Unit 2'!L7</f>
        <v>5435649873</v>
      </c>
      <c r="J10" s="28">
        <f>'P&amp;M-Unit 2'!M7</f>
        <v>2028160201.0900002</v>
      </c>
      <c r="K10" s="28">
        <f>'P&amp;M-Unit 2'!$O$7</f>
        <v>6328176324.5213127</v>
      </c>
      <c r="L10" s="28">
        <f>'P&amp;M-Unit 2'!$S$7</f>
        <v>2539114235.4569511</v>
      </c>
    </row>
    <row r="11" spans="6:12" x14ac:dyDescent="0.25">
      <c r="F11" s="43">
        <v>3</v>
      </c>
      <c r="G11" s="149" t="s">
        <v>203</v>
      </c>
      <c r="H11" s="27" t="s">
        <v>356</v>
      </c>
      <c r="I11" s="28">
        <f>'P&amp;M-Unit 3'!$L$7</f>
        <v>3579877168</v>
      </c>
      <c r="J11" s="28">
        <f>'P&amp;M-Unit 3'!$M$7</f>
        <v>1367934385.26</v>
      </c>
      <c r="K11" s="28">
        <f>'P&amp;M-Unit 3'!$O$7</f>
        <v>4107062698.3892102</v>
      </c>
      <c r="L11" s="28">
        <f>'P&amp;M-Unit 3'!$S$7</f>
        <v>1713493078.9867368</v>
      </c>
    </row>
    <row r="12" spans="6:12" x14ac:dyDescent="0.25">
      <c r="F12" s="43">
        <v>4</v>
      </c>
      <c r="G12" s="26" t="s">
        <v>0</v>
      </c>
      <c r="H12" s="27" t="s">
        <v>357</v>
      </c>
      <c r="I12" s="28">
        <f>'office Equipment.'!L15</f>
        <v>6331329</v>
      </c>
      <c r="J12" s="28">
        <f>'office Equipment.'!M15</f>
        <v>367082.43999999989</v>
      </c>
      <c r="K12" s="28">
        <f>I12</f>
        <v>6331329</v>
      </c>
      <c r="L12" s="28">
        <f>'office Equipment.'!Q15</f>
        <v>331615.96122031962</v>
      </c>
    </row>
    <row r="13" spans="6:12" x14ac:dyDescent="0.25">
      <c r="F13" s="43">
        <v>5</v>
      </c>
      <c r="G13" s="26" t="s">
        <v>350</v>
      </c>
      <c r="H13" s="27" t="s">
        <v>302</v>
      </c>
      <c r="I13" s="28">
        <v>4611653.8</v>
      </c>
      <c r="J13" s="28">
        <v>92856.76</v>
      </c>
      <c r="K13" s="28">
        <v>4611653.8</v>
      </c>
      <c r="L13" s="28">
        <v>138349.614</v>
      </c>
    </row>
    <row r="14" spans="6:12" x14ac:dyDescent="0.25">
      <c r="F14" s="43">
        <v>6</v>
      </c>
      <c r="G14" s="26" t="s">
        <v>351</v>
      </c>
      <c r="H14" s="27" t="s">
        <v>358</v>
      </c>
      <c r="I14" s="28">
        <v>185585</v>
      </c>
      <c r="J14" s="28">
        <v>17504.59</v>
      </c>
      <c r="K14" s="28">
        <v>185585</v>
      </c>
      <c r="L14" s="28">
        <v>9279.25</v>
      </c>
    </row>
    <row r="15" spans="6:12" x14ac:dyDescent="0.25">
      <c r="F15" s="43">
        <v>7</v>
      </c>
      <c r="G15" s="26" t="s">
        <v>1</v>
      </c>
      <c r="H15" s="29" t="s">
        <v>359</v>
      </c>
      <c r="I15" s="28">
        <v>33889214</v>
      </c>
      <c r="J15" s="28">
        <v>1582240.69</v>
      </c>
      <c r="K15" s="28">
        <v>33889214</v>
      </c>
      <c r="L15" s="28">
        <v>2661133.94380137</v>
      </c>
    </row>
    <row r="16" spans="6:12" x14ac:dyDescent="0.25">
      <c r="F16" s="43">
        <v>8</v>
      </c>
      <c r="G16" s="26" t="s">
        <v>83</v>
      </c>
      <c r="H16" s="29" t="s">
        <v>360</v>
      </c>
      <c r="I16" s="28">
        <v>21594479.25</v>
      </c>
      <c r="J16" s="28">
        <v>1914394.8100000003</v>
      </c>
      <c r="K16" s="28">
        <v>21594479.25</v>
      </c>
      <c r="L16" s="28">
        <v>1079723.9625000004</v>
      </c>
    </row>
    <row r="17" spans="6:18" ht="15.75" customHeight="1" x14ac:dyDescent="0.25">
      <c r="F17" s="328" t="s">
        <v>54</v>
      </c>
      <c r="G17" s="329"/>
      <c r="H17" s="330"/>
      <c r="I17" s="229">
        <f>SUM(I9:I16)</f>
        <v>13647842789.4</v>
      </c>
      <c r="J17" s="229">
        <f>SUM(J9:J16)</f>
        <v>5289894465.8100004</v>
      </c>
      <c r="K17" s="229">
        <f>SUM(K9:K16)</f>
        <v>15380909252.352396</v>
      </c>
      <c r="L17" s="229">
        <f>SUM(L9:L16)</f>
        <v>5976273532.5802727</v>
      </c>
      <c r="O17" s="1">
        <f>I17/73000</f>
        <v>186956.75053972602</v>
      </c>
      <c r="P17" s="1">
        <f>K17/73000</f>
        <v>210697.38701852597</v>
      </c>
      <c r="R17" s="1">
        <f>K17/1000</f>
        <v>15380909.252352396</v>
      </c>
    </row>
    <row r="18" spans="6:18" x14ac:dyDescent="0.25">
      <c r="F18" s="311" t="s">
        <v>15</v>
      </c>
      <c r="G18" s="311"/>
      <c r="H18" s="311"/>
      <c r="I18" s="311"/>
      <c r="J18" s="311"/>
      <c r="K18" s="311"/>
      <c r="L18" s="311"/>
    </row>
    <row r="19" spans="6:18" ht="30" customHeight="1" x14ac:dyDescent="0.25">
      <c r="F19" s="322" t="s">
        <v>348</v>
      </c>
      <c r="G19" s="322"/>
      <c r="H19" s="322"/>
      <c r="I19" s="322"/>
      <c r="J19" s="322"/>
      <c r="K19" s="322"/>
      <c r="L19" s="322"/>
    </row>
    <row r="20" spans="6:18" ht="35.25" customHeight="1" x14ac:dyDescent="0.25">
      <c r="F20" s="322" t="s">
        <v>16</v>
      </c>
      <c r="G20" s="322"/>
      <c r="H20" s="322"/>
      <c r="I20" s="322"/>
      <c r="J20" s="322"/>
      <c r="K20" s="322"/>
      <c r="L20" s="322"/>
    </row>
    <row r="21" spans="6:18" ht="46.5" customHeight="1" x14ac:dyDescent="0.25">
      <c r="F21" s="323" t="s">
        <v>349</v>
      </c>
      <c r="G21" s="324"/>
      <c r="H21" s="324"/>
      <c r="I21" s="324"/>
      <c r="J21" s="324"/>
      <c r="K21" s="324"/>
      <c r="L21" s="325"/>
    </row>
    <row r="22" spans="6:18" s="167" customFormat="1" ht="50.25" customHeight="1" x14ac:dyDescent="0.25">
      <c r="F22" s="323" t="s">
        <v>382</v>
      </c>
      <c r="G22" s="324"/>
      <c r="H22" s="324"/>
      <c r="I22" s="324"/>
      <c r="J22" s="324"/>
      <c r="K22" s="324"/>
      <c r="L22" s="325"/>
    </row>
    <row r="23" spans="6:18" x14ac:dyDescent="0.25">
      <c r="F23" s="323" t="s">
        <v>363</v>
      </c>
      <c r="G23" s="324"/>
      <c r="H23" s="324"/>
      <c r="I23" s="324"/>
      <c r="J23" s="324"/>
      <c r="K23" s="324"/>
      <c r="L23" s="325"/>
    </row>
    <row r="24" spans="6:18" ht="30" customHeight="1" x14ac:dyDescent="0.25">
      <c r="F24" s="323" t="s">
        <v>364</v>
      </c>
      <c r="G24" s="324"/>
      <c r="H24" s="324"/>
      <c r="I24" s="324"/>
      <c r="J24" s="324"/>
      <c r="K24" s="324"/>
      <c r="L24" s="325"/>
    </row>
    <row r="25" spans="6:18" ht="30" customHeight="1" x14ac:dyDescent="0.25">
      <c r="F25" s="322" t="s">
        <v>365</v>
      </c>
      <c r="G25" s="322"/>
      <c r="H25" s="322"/>
      <c r="I25" s="322"/>
      <c r="J25" s="322"/>
      <c r="K25" s="322"/>
      <c r="L25" s="322"/>
    </row>
    <row r="26" spans="6:18" ht="62.25" hidden="1" customHeight="1" x14ac:dyDescent="0.25">
      <c r="F26" s="327" t="s">
        <v>366</v>
      </c>
      <c r="G26" s="327"/>
      <c r="H26" s="327"/>
      <c r="I26" s="327"/>
      <c r="J26" s="327"/>
      <c r="K26" s="327"/>
      <c r="L26" s="327"/>
    </row>
    <row r="27" spans="6:18" ht="30.75" customHeight="1" x14ac:dyDescent="0.25">
      <c r="F27" s="322" t="s">
        <v>367</v>
      </c>
      <c r="G27" s="322"/>
      <c r="H27" s="322"/>
      <c r="I27" s="322"/>
      <c r="J27" s="322"/>
      <c r="K27" s="322"/>
      <c r="L27" s="322"/>
    </row>
    <row r="28" spans="6:18" ht="45" customHeight="1" x14ac:dyDescent="0.25">
      <c r="F28" s="322" t="s">
        <v>368</v>
      </c>
      <c r="G28" s="322"/>
      <c r="H28" s="322"/>
      <c r="I28" s="322"/>
      <c r="J28" s="322"/>
      <c r="K28" s="322"/>
      <c r="L28" s="322"/>
    </row>
    <row r="29" spans="6:18" x14ac:dyDescent="0.25">
      <c r="F29" s="322" t="s">
        <v>369</v>
      </c>
      <c r="G29" s="322"/>
      <c r="H29" s="322"/>
      <c r="I29" s="322"/>
      <c r="J29" s="322"/>
      <c r="K29" s="322"/>
      <c r="L29" s="322"/>
    </row>
    <row r="30" spans="6:18" x14ac:dyDescent="0.25">
      <c r="F30" s="323" t="s">
        <v>370</v>
      </c>
      <c r="G30" s="324"/>
      <c r="H30" s="324"/>
      <c r="I30" s="324"/>
      <c r="J30" s="324"/>
      <c r="K30" s="324"/>
      <c r="L30" s="325"/>
    </row>
  </sheetData>
  <mergeCells count="15">
    <mergeCell ref="F28:L28"/>
    <mergeCell ref="F30:L30"/>
    <mergeCell ref="F29:L29"/>
    <mergeCell ref="F27:L27"/>
    <mergeCell ref="F7:L7"/>
    <mergeCell ref="F18:L18"/>
    <mergeCell ref="F19:L19"/>
    <mergeCell ref="F24:L24"/>
    <mergeCell ref="F25:L25"/>
    <mergeCell ref="F20:L20"/>
    <mergeCell ref="F21:L21"/>
    <mergeCell ref="F23:L23"/>
    <mergeCell ref="F26:L26"/>
    <mergeCell ref="F17:H17"/>
    <mergeCell ref="F22:L22"/>
  </mergeCells>
  <pageMargins left="0.7" right="0.7" top="0.75" bottom="0.75" header="0.3" footer="0.3"/>
  <pageSetup paperSize="9" scale="74"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M31"/>
  <sheetViews>
    <sheetView topLeftCell="C3" workbookViewId="0">
      <selection activeCell="M23" sqref="M23"/>
    </sheetView>
  </sheetViews>
  <sheetFormatPr defaultRowHeight="15" x14ac:dyDescent="0.25"/>
  <cols>
    <col min="4" max="4" width="12" bestFit="1" customWidth="1"/>
    <col min="6" max="6" width="7" style="6" customWidth="1"/>
    <col min="7" max="7" width="27.28515625" customWidth="1"/>
    <col min="8" max="8" width="22.7109375" customWidth="1"/>
    <col min="9" max="9" width="18.5703125" bestFit="1" customWidth="1"/>
    <col min="10" max="10" width="22.42578125" customWidth="1"/>
    <col min="11" max="11" width="24.28515625" customWidth="1"/>
    <col min="12" max="13" width="20.42578125" bestFit="1" customWidth="1"/>
  </cols>
  <sheetData>
    <row r="6" spans="4:13" ht="15.75" x14ac:dyDescent="0.25">
      <c r="F6" s="331" t="s">
        <v>26</v>
      </c>
      <c r="G6" s="332"/>
      <c r="H6" s="332"/>
      <c r="I6" s="332"/>
      <c r="J6" s="332"/>
      <c r="K6" s="333"/>
    </row>
    <row r="7" spans="4:13" x14ac:dyDescent="0.25">
      <c r="F7" s="298"/>
      <c r="G7" s="298"/>
      <c r="H7" s="298"/>
      <c r="I7" s="298"/>
      <c r="J7" s="298"/>
      <c r="K7" s="298"/>
    </row>
    <row r="8" spans="4:13" x14ac:dyDescent="0.25">
      <c r="F8" s="340" t="s">
        <v>57</v>
      </c>
      <c r="G8" s="341"/>
      <c r="H8" s="340" t="s">
        <v>56</v>
      </c>
      <c r="I8" s="342"/>
      <c r="J8" s="342"/>
      <c r="K8" s="341"/>
    </row>
    <row r="9" spans="4:13" s="6" customFormat="1" ht="57.75" x14ac:dyDescent="0.25">
      <c r="F9" s="18" t="s">
        <v>27</v>
      </c>
      <c r="G9" s="18" t="s">
        <v>28</v>
      </c>
      <c r="H9" s="19" t="s">
        <v>29</v>
      </c>
      <c r="I9" s="19" t="s">
        <v>41</v>
      </c>
      <c r="J9" s="19" t="s">
        <v>381</v>
      </c>
      <c r="K9" s="19" t="s">
        <v>380</v>
      </c>
    </row>
    <row r="10" spans="4:13" x14ac:dyDescent="0.25">
      <c r="D10">
        <v>1689081355.9959998</v>
      </c>
      <c r="F10" s="5">
        <v>1</v>
      </c>
      <c r="G10" s="16" t="s">
        <v>30</v>
      </c>
      <c r="H10" s="20">
        <f>Land!J8</f>
        <v>0</v>
      </c>
      <c r="I10" s="41">
        <f>H10</f>
        <v>0</v>
      </c>
      <c r="J10" s="20">
        <f>Land!N8</f>
        <v>319511500.00000006</v>
      </c>
      <c r="K10" s="253">
        <f>J10</f>
        <v>319511500.00000006</v>
      </c>
      <c r="L10" s="1"/>
    </row>
    <row r="11" spans="4:13" x14ac:dyDescent="0.25">
      <c r="D11">
        <v>5737943796.8142662</v>
      </c>
      <c r="F11" s="5">
        <v>2</v>
      </c>
      <c r="G11" s="16" t="s">
        <v>31</v>
      </c>
      <c r="H11" s="41">
        <f>'Building-Summary'!$G$10</f>
        <v>1537502369</v>
      </c>
      <c r="I11" s="41">
        <f>'Building-Summary'!$H$10</f>
        <v>811547007.17999983</v>
      </c>
      <c r="J11" s="41">
        <f>'Building-Summary'!$I$10</f>
        <v>1735243734.2928658</v>
      </c>
      <c r="K11" s="253">
        <f>'Building-Summary'!$J$11</f>
        <v>1082885277.7918005</v>
      </c>
      <c r="L11" s="1"/>
      <c r="M11" s="1"/>
    </row>
    <row r="12" spans="4:13" x14ac:dyDescent="0.25">
      <c r="D12">
        <v>64028650105.886238</v>
      </c>
      <c r="F12" s="5">
        <v>3</v>
      </c>
      <c r="G12" s="16" t="s">
        <v>32</v>
      </c>
      <c r="H12" s="228">
        <f>'P&amp;M-Summary'!I17</f>
        <v>13647842789.4</v>
      </c>
      <c r="I12" s="228">
        <f>'P&amp;M-Summary'!J17</f>
        <v>5289894465.8100004</v>
      </c>
      <c r="J12" s="228">
        <f>'P&amp;M-Summary'!K17</f>
        <v>15380909252.352396</v>
      </c>
      <c r="K12" s="228">
        <f>'P&amp;M-Summary'!L17</f>
        <v>5976273532.5802727</v>
      </c>
      <c r="L12" s="1"/>
      <c r="M12" s="1"/>
    </row>
    <row r="13" spans="4:13" x14ac:dyDescent="0.25">
      <c r="F13" s="334"/>
      <c r="G13" s="334"/>
      <c r="H13" s="334"/>
      <c r="I13" s="334"/>
      <c r="J13" s="334"/>
      <c r="K13" s="334"/>
    </row>
    <row r="14" spans="4:13" ht="30" x14ac:dyDescent="0.25">
      <c r="D14">
        <f>SUM(D10:D13)</f>
        <v>71455675258.696503</v>
      </c>
      <c r="F14" s="21">
        <v>5</v>
      </c>
      <c r="G14" s="22" t="s">
        <v>33</v>
      </c>
      <c r="H14" s="38">
        <f>SUM(H10:H12)</f>
        <v>15185345158.4</v>
      </c>
      <c r="I14" s="38">
        <f>SUM(I10:I12)</f>
        <v>6101441472.9899998</v>
      </c>
      <c r="J14" s="38">
        <f>SUM(J10:J12)</f>
        <v>17435664486.645264</v>
      </c>
      <c r="K14" s="23">
        <f>SUM(K10:K12)</f>
        <v>7378670310.3720732</v>
      </c>
      <c r="L14" s="24"/>
      <c r="M14" s="23"/>
    </row>
    <row r="15" spans="4:13" ht="15" customHeight="1" x14ac:dyDescent="0.25">
      <c r="F15" s="335"/>
      <c r="G15" s="336"/>
      <c r="H15" s="336"/>
      <c r="I15" s="336"/>
      <c r="J15" s="336"/>
      <c r="K15" s="337"/>
      <c r="M15" s="40"/>
    </row>
    <row r="16" spans="4:13" x14ac:dyDescent="0.25">
      <c r="F16" s="44">
        <v>6</v>
      </c>
      <c r="G16" s="343" t="s">
        <v>34</v>
      </c>
      <c r="H16" s="344"/>
      <c r="I16" s="345"/>
      <c r="J16" s="338" t="str">
        <f>"INR " &amp;ROUND(M16,-4)/10^7 &amp; " Crores"</f>
        <v>INR 737.87 Crores</v>
      </c>
      <c r="K16" s="339"/>
      <c r="M16" s="20">
        <f>ROUND(K14,-5)</f>
        <v>7378700000</v>
      </c>
    </row>
    <row r="17" spans="6:13" x14ac:dyDescent="0.25">
      <c r="F17" s="44">
        <v>7</v>
      </c>
      <c r="G17" s="343" t="s">
        <v>383</v>
      </c>
      <c r="H17" s="344" t="s">
        <v>35</v>
      </c>
      <c r="I17" s="345"/>
      <c r="J17" s="338" t="str">
        <f>"INR " &amp;ROUND(M17,-4)/10^7 &amp;"0" &amp; " Crores"</f>
        <v>INR 627.20 Crores</v>
      </c>
      <c r="K17" s="339"/>
      <c r="M17" s="33">
        <f>ROUND(K14*(1-15%),-6)</f>
        <v>6272000000</v>
      </c>
    </row>
    <row r="18" spans="6:13" x14ac:dyDescent="0.25">
      <c r="F18" s="44">
        <v>8</v>
      </c>
      <c r="G18" s="343" t="s">
        <v>384</v>
      </c>
      <c r="H18" s="344" t="s">
        <v>35</v>
      </c>
      <c r="I18" s="345"/>
      <c r="J18" s="338" t="str">
        <f>"INR " &amp;ROUND(M18,-6)/10^7 &amp;"0" &amp; " Crores"</f>
        <v>INR 553.40 Crores</v>
      </c>
      <c r="K18" s="339"/>
      <c r="M18" s="20">
        <f>ROUND(K14*(1-25%),-6)</f>
        <v>5534000000</v>
      </c>
    </row>
    <row r="19" spans="6:13" x14ac:dyDescent="0.25">
      <c r="F19" s="44">
        <v>9</v>
      </c>
      <c r="G19" s="343" t="s">
        <v>385</v>
      </c>
      <c r="H19" s="344"/>
      <c r="I19" s="345"/>
      <c r="J19" s="338" t="str">
        <f>"INR " &amp;ROUND(M19,-6)/10^7 &amp;"0" &amp; " Crores"</f>
        <v>INR 479.60 Crores</v>
      </c>
      <c r="K19" s="339"/>
      <c r="M19" s="20">
        <f>ROUND(K14*(1-35%),-6)</f>
        <v>4796000000</v>
      </c>
    </row>
    <row r="20" spans="6:13" ht="15" customHeight="1" x14ac:dyDescent="0.25">
      <c r="F20" s="44">
        <v>10</v>
      </c>
      <c r="G20" s="346" t="s">
        <v>36</v>
      </c>
      <c r="H20" s="347"/>
      <c r="I20" s="348"/>
      <c r="J20" s="338" t="str">
        <f>"INR    " &amp;ROUND(M20,-6)/10^7 &amp; " Crores"</f>
        <v>INR    103.9 Crores</v>
      </c>
      <c r="K20" s="339"/>
      <c r="M20" s="42">
        <v>1039100000</v>
      </c>
    </row>
    <row r="21" spans="6:13" x14ac:dyDescent="0.25">
      <c r="F21" s="5">
        <v>11</v>
      </c>
      <c r="G21" s="346" t="s">
        <v>37</v>
      </c>
      <c r="H21" s="347"/>
      <c r="I21" s="348"/>
      <c r="J21" s="338" t="str">
        <f t="shared" ref="J21" si="0">"INR " &amp;ROUND(M21,-6)/10^7 &amp; " Crores"</f>
        <v>INR 583.5 Crores</v>
      </c>
      <c r="K21" s="339"/>
      <c r="M21" s="352">
        <f>SUM(M19:M20)</f>
        <v>5835100000</v>
      </c>
    </row>
    <row r="22" spans="6:13" x14ac:dyDescent="0.25">
      <c r="F22" s="349"/>
      <c r="G22" s="350"/>
      <c r="H22" s="350"/>
      <c r="I22" s="350"/>
      <c r="J22" s="350"/>
      <c r="K22" s="351"/>
      <c r="M22" s="352"/>
    </row>
    <row r="23" spans="6:13" x14ac:dyDescent="0.25">
      <c r="M23" s="7">
        <f>SUM(M19:M22)</f>
        <v>11670200000</v>
      </c>
    </row>
    <row r="24" spans="6:13" x14ac:dyDescent="0.25">
      <c r="J24" s="25"/>
      <c r="M24" s="39"/>
    </row>
    <row r="25" spans="6:13" x14ac:dyDescent="0.25">
      <c r="L25" t="s">
        <v>40</v>
      </c>
      <c r="M25" s="32"/>
    </row>
    <row r="27" spans="6:13" x14ac:dyDescent="0.25">
      <c r="M27" s="31">
        <v>-0.5</v>
      </c>
    </row>
    <row r="28" spans="6:13" x14ac:dyDescent="0.25">
      <c r="J28">
        <v>1</v>
      </c>
      <c r="K28">
        <v>24740</v>
      </c>
    </row>
    <row r="29" spans="6:13" x14ac:dyDescent="0.25">
      <c r="J29">
        <v>2</v>
      </c>
      <c r="K29">
        <v>40540</v>
      </c>
    </row>
    <row r="30" spans="6:13" x14ac:dyDescent="0.25">
      <c r="K30">
        <f>SUM(K28:K29)</f>
        <v>65280</v>
      </c>
    </row>
    <row r="31" spans="6:13" x14ac:dyDescent="0.25">
      <c r="J31" t="s">
        <v>379</v>
      </c>
      <c r="K31">
        <f>1*10^5</f>
        <v>100000</v>
      </c>
    </row>
  </sheetData>
  <mergeCells count="20">
    <mergeCell ref="G21:I21"/>
    <mergeCell ref="J21:K21"/>
    <mergeCell ref="F22:K22"/>
    <mergeCell ref="M21:M22"/>
    <mergeCell ref="J17:K17"/>
    <mergeCell ref="J18:K18"/>
    <mergeCell ref="J19:K19"/>
    <mergeCell ref="J20:K20"/>
    <mergeCell ref="G17:I17"/>
    <mergeCell ref="G18:I18"/>
    <mergeCell ref="G19:I19"/>
    <mergeCell ref="G20:I20"/>
    <mergeCell ref="F6:K6"/>
    <mergeCell ref="F7:K7"/>
    <mergeCell ref="F13:K13"/>
    <mergeCell ref="F15:K15"/>
    <mergeCell ref="J16:K16"/>
    <mergeCell ref="F8:G8"/>
    <mergeCell ref="H8:K8"/>
    <mergeCell ref="G16:I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5:X64"/>
  <sheetViews>
    <sheetView topLeftCell="H1" workbookViewId="0">
      <pane ySplit="1" topLeftCell="A2" activePane="bottomLeft" state="frozen"/>
      <selection pane="bottomLeft" activeCell="R12" sqref="R12"/>
    </sheetView>
  </sheetViews>
  <sheetFormatPr defaultRowHeight="15" x14ac:dyDescent="0.25"/>
  <cols>
    <col min="3" max="3" width="8" customWidth="1"/>
    <col min="4" max="4" width="27.140625" customWidth="1"/>
    <col min="5" max="5" width="9.5703125" customWidth="1"/>
    <col min="7" max="7" width="12.42578125" customWidth="1"/>
    <col min="8" max="8" width="12.85546875" style="6" customWidth="1"/>
    <col min="9" max="9" width="10" customWidth="1"/>
    <col min="10" max="10" width="12.140625" customWidth="1"/>
    <col min="11" max="11" width="10.42578125" customWidth="1"/>
    <col min="12" max="12" width="9.28515625" customWidth="1"/>
    <col min="13" max="13" width="9.140625" customWidth="1"/>
    <col min="14" max="14" width="11.5703125" style="151" customWidth="1"/>
    <col min="15" max="15" width="12.5703125" style="6" customWidth="1"/>
    <col min="16" max="16" width="12.42578125" customWidth="1"/>
    <col min="17" max="17" width="16.28515625" customWidth="1"/>
    <col min="18" max="18" width="17" style="6" customWidth="1"/>
    <col min="19" max="19" width="17" bestFit="1" customWidth="1"/>
    <col min="20" max="20" width="17.5703125" customWidth="1"/>
    <col min="21" max="21" width="16.7109375" customWidth="1"/>
  </cols>
  <sheetData>
    <row r="5" spans="3:24" s="152" customFormat="1" ht="21" customHeight="1" x14ac:dyDescent="0.25">
      <c r="C5" s="267" t="s">
        <v>388</v>
      </c>
      <c r="D5" s="268"/>
      <c r="E5" s="268"/>
      <c r="F5" s="268"/>
      <c r="G5" s="268"/>
      <c r="H5" s="268"/>
      <c r="I5" s="268"/>
      <c r="J5" s="268"/>
      <c r="K5" s="268"/>
      <c r="L5" s="268"/>
      <c r="M5" s="268"/>
      <c r="N5" s="268"/>
      <c r="O5" s="268"/>
      <c r="P5" s="268"/>
      <c r="Q5" s="268"/>
      <c r="R5" s="268"/>
      <c r="S5" s="268"/>
      <c r="T5" s="268"/>
      <c r="U5" s="268"/>
      <c r="X5" s="153"/>
    </row>
    <row r="6" spans="3:24" s="154" customFormat="1" ht="57" customHeight="1" x14ac:dyDescent="0.25">
      <c r="C6" s="2" t="s">
        <v>205</v>
      </c>
      <c r="D6" s="2" t="s">
        <v>206</v>
      </c>
      <c r="E6" s="2" t="s">
        <v>207</v>
      </c>
      <c r="F6" s="2" t="s">
        <v>208</v>
      </c>
      <c r="G6" s="2" t="s">
        <v>209</v>
      </c>
      <c r="H6" s="2" t="s">
        <v>210</v>
      </c>
      <c r="I6" s="2" t="s">
        <v>211</v>
      </c>
      <c r="J6" s="2" t="s">
        <v>5</v>
      </c>
      <c r="K6" s="2" t="s">
        <v>212</v>
      </c>
      <c r="L6" s="2" t="s">
        <v>213</v>
      </c>
      <c r="M6" s="2" t="s">
        <v>22</v>
      </c>
      <c r="N6" s="2" t="s">
        <v>7</v>
      </c>
      <c r="O6" s="2" t="s">
        <v>214</v>
      </c>
      <c r="P6" s="2" t="s">
        <v>215</v>
      </c>
      <c r="Q6" s="2" t="s">
        <v>216</v>
      </c>
      <c r="R6" s="2" t="s">
        <v>217</v>
      </c>
      <c r="S6" s="2" t="s">
        <v>10</v>
      </c>
      <c r="T6" s="2" t="s">
        <v>23</v>
      </c>
      <c r="U6" s="2" t="s">
        <v>218</v>
      </c>
      <c r="V6" s="155"/>
      <c r="X6" s="156"/>
    </row>
    <row r="7" spans="3:24" ht="30" x14ac:dyDescent="0.25">
      <c r="C7" s="150">
        <v>1</v>
      </c>
      <c r="D7" s="157" t="s">
        <v>219</v>
      </c>
      <c r="E7" s="150">
        <v>3.5</v>
      </c>
      <c r="F7" s="150">
        <f>E7*3.28</f>
        <v>11.479999999999999</v>
      </c>
      <c r="G7" s="158">
        <v>2005</v>
      </c>
      <c r="H7" s="159" t="s">
        <v>220</v>
      </c>
      <c r="I7" s="150" t="s">
        <v>221</v>
      </c>
      <c r="J7" s="160">
        <v>44438</v>
      </c>
      <c r="K7" s="161">
        <f t="shared" ref="K7:K48" si="0">YEAR(J7)-G7</f>
        <v>16</v>
      </c>
      <c r="L7" s="150">
        <v>40</v>
      </c>
      <c r="M7" s="162">
        <v>0.1</v>
      </c>
      <c r="N7" s="150">
        <f>(1-M7)/L7</f>
        <v>2.2499999999999999E-2</v>
      </c>
      <c r="O7" s="35">
        <v>157.13</v>
      </c>
      <c r="P7" s="35">
        <f>O7*10.7642</f>
        <v>1691.3787460000001</v>
      </c>
      <c r="Q7" s="163">
        <v>1350</v>
      </c>
      <c r="R7" s="164">
        <f>Q7*P7</f>
        <v>2283361.3071000003</v>
      </c>
      <c r="S7" s="165">
        <f>R7*N7*K7</f>
        <v>822010.07055600011</v>
      </c>
      <c r="T7" s="165">
        <f>MAX(R7-S7,0)</f>
        <v>1461351.2365440002</v>
      </c>
      <c r="U7" s="165">
        <f>IF(T7&gt;=R7*M7,T7*(1-V7),R7*M7)</f>
        <v>1242148.5510624002</v>
      </c>
      <c r="V7" s="166">
        <v>0.15</v>
      </c>
    </row>
    <row r="8" spans="3:24" x14ac:dyDescent="0.25">
      <c r="C8" s="150">
        <v>2</v>
      </c>
      <c r="D8" s="157" t="s">
        <v>222</v>
      </c>
      <c r="E8" s="150">
        <v>4</v>
      </c>
      <c r="F8" s="150">
        <f t="shared" ref="F8:F48" si="1">E8*3.28</f>
        <v>13.12</v>
      </c>
      <c r="G8" s="158">
        <v>2005</v>
      </c>
      <c r="H8" s="159" t="s">
        <v>220</v>
      </c>
      <c r="I8" s="150" t="s">
        <v>221</v>
      </c>
      <c r="J8" s="160">
        <v>44438</v>
      </c>
      <c r="K8" s="161">
        <f t="shared" si="0"/>
        <v>16</v>
      </c>
      <c r="L8" s="150">
        <v>40</v>
      </c>
      <c r="M8" s="162">
        <v>0.1</v>
      </c>
      <c r="N8" s="150">
        <f t="shared" ref="N8:N48" si="2">(1-M8)/L8</f>
        <v>2.2499999999999999E-2</v>
      </c>
      <c r="O8" s="35">
        <v>72.2</v>
      </c>
      <c r="P8" s="35">
        <f t="shared" ref="P8:P48" si="3">O8*10.7642</f>
        <v>777.17524000000003</v>
      </c>
      <c r="Q8" s="163">
        <v>1350</v>
      </c>
      <c r="R8" s="164">
        <f t="shared" ref="R8:R48" si="4">Q8*P8</f>
        <v>1049186.574</v>
      </c>
      <c r="S8" s="165">
        <f t="shared" ref="S8:S48" si="5">R8*N8*K8</f>
        <v>377707.16664000001</v>
      </c>
      <c r="T8" s="165">
        <f t="shared" ref="T8:T48" si="6">MAX(R8-S8,0)</f>
        <v>671479.40736000007</v>
      </c>
      <c r="U8" s="165">
        <f t="shared" ref="U8:U61" si="7">IF(T8&gt;=R8*M8,T8*(1-V8),R8*M8)</f>
        <v>570757.49625600001</v>
      </c>
      <c r="V8" s="166">
        <v>0.15</v>
      </c>
    </row>
    <row r="9" spans="3:24" ht="30" x14ac:dyDescent="0.25">
      <c r="C9" s="150">
        <v>3</v>
      </c>
      <c r="D9" s="157" t="s">
        <v>223</v>
      </c>
      <c r="E9" s="150">
        <v>4</v>
      </c>
      <c r="F9" s="150">
        <f t="shared" si="1"/>
        <v>13.12</v>
      </c>
      <c r="G9" s="158">
        <v>2005</v>
      </c>
      <c r="H9" s="159" t="s">
        <v>220</v>
      </c>
      <c r="I9" s="150" t="s">
        <v>221</v>
      </c>
      <c r="J9" s="160">
        <v>44438</v>
      </c>
      <c r="K9" s="161">
        <f t="shared" si="0"/>
        <v>16</v>
      </c>
      <c r="L9" s="150">
        <v>40</v>
      </c>
      <c r="M9" s="162">
        <v>0.1</v>
      </c>
      <c r="N9" s="150">
        <f t="shared" si="2"/>
        <v>2.2499999999999999E-2</v>
      </c>
      <c r="O9" s="35">
        <v>62.7</v>
      </c>
      <c r="P9" s="35">
        <f t="shared" si="3"/>
        <v>674.91534000000013</v>
      </c>
      <c r="Q9" s="163">
        <v>1350</v>
      </c>
      <c r="R9" s="164">
        <f t="shared" si="4"/>
        <v>911135.70900000015</v>
      </c>
      <c r="S9" s="165">
        <f t="shared" si="5"/>
        <v>328008.85524000006</v>
      </c>
      <c r="T9" s="165">
        <f t="shared" si="6"/>
        <v>583126.85376000009</v>
      </c>
      <c r="U9" s="165">
        <f t="shared" si="7"/>
        <v>495657.82569600007</v>
      </c>
      <c r="V9" s="166">
        <v>0.15</v>
      </c>
    </row>
    <row r="10" spans="3:24" ht="30" x14ac:dyDescent="0.25">
      <c r="C10" s="150">
        <v>4</v>
      </c>
      <c r="D10" s="157" t="s">
        <v>224</v>
      </c>
      <c r="E10" s="150">
        <v>4</v>
      </c>
      <c r="F10" s="150">
        <f t="shared" si="1"/>
        <v>13.12</v>
      </c>
      <c r="G10" s="158">
        <v>2005</v>
      </c>
      <c r="H10" s="159" t="s">
        <v>220</v>
      </c>
      <c r="I10" s="150" t="s">
        <v>221</v>
      </c>
      <c r="J10" s="160">
        <v>44438</v>
      </c>
      <c r="K10" s="161">
        <f t="shared" si="0"/>
        <v>16</v>
      </c>
      <c r="L10" s="150">
        <v>40</v>
      </c>
      <c r="M10" s="162">
        <v>0.1</v>
      </c>
      <c r="N10" s="150">
        <f t="shared" si="2"/>
        <v>2.2499999999999999E-2</v>
      </c>
      <c r="O10" s="35">
        <v>70.13</v>
      </c>
      <c r="P10" s="35">
        <f t="shared" si="3"/>
        <v>754.89334599999995</v>
      </c>
      <c r="Q10" s="163">
        <v>1350</v>
      </c>
      <c r="R10" s="164">
        <f t="shared" si="4"/>
        <v>1019106.0170999999</v>
      </c>
      <c r="S10" s="165">
        <f t="shared" si="5"/>
        <v>366878.16615599999</v>
      </c>
      <c r="T10" s="165">
        <f t="shared" si="6"/>
        <v>652227.85094399995</v>
      </c>
      <c r="U10" s="165">
        <f t="shared" si="7"/>
        <v>554393.67330239993</v>
      </c>
      <c r="V10" s="166">
        <v>0.15</v>
      </c>
    </row>
    <row r="11" spans="3:24" x14ac:dyDescent="0.25">
      <c r="C11" s="150">
        <v>5</v>
      </c>
      <c r="D11" s="157" t="s">
        <v>225</v>
      </c>
      <c r="E11" s="150">
        <v>4</v>
      </c>
      <c r="F11" s="150">
        <f t="shared" si="1"/>
        <v>13.12</v>
      </c>
      <c r="G11" s="158">
        <v>2005</v>
      </c>
      <c r="H11" s="159" t="s">
        <v>220</v>
      </c>
      <c r="I11" s="150" t="s">
        <v>221</v>
      </c>
      <c r="J11" s="160">
        <v>44438</v>
      </c>
      <c r="K11" s="161">
        <f t="shared" si="0"/>
        <v>16</v>
      </c>
      <c r="L11" s="150">
        <v>40</v>
      </c>
      <c r="M11" s="162">
        <v>0.1</v>
      </c>
      <c r="N11" s="150">
        <f t="shared" si="2"/>
        <v>2.2499999999999999E-2</v>
      </c>
      <c r="O11" s="35">
        <v>17.850000000000001</v>
      </c>
      <c r="P11" s="35">
        <f t="shared" si="3"/>
        <v>192.14097000000004</v>
      </c>
      <c r="Q11" s="163">
        <v>1350</v>
      </c>
      <c r="R11" s="164">
        <f t="shared" si="4"/>
        <v>259390.30950000006</v>
      </c>
      <c r="S11" s="165">
        <f t="shared" si="5"/>
        <v>93380.511420000024</v>
      </c>
      <c r="T11" s="165">
        <f t="shared" si="6"/>
        <v>166009.79808000004</v>
      </c>
      <c r="U11" s="165">
        <f t="shared" si="7"/>
        <v>141108.32836800002</v>
      </c>
      <c r="V11" s="166">
        <v>0.15</v>
      </c>
    </row>
    <row r="12" spans="3:24" x14ac:dyDescent="0.25">
      <c r="C12" s="150">
        <v>6</v>
      </c>
      <c r="D12" s="157" t="s">
        <v>226</v>
      </c>
      <c r="E12" s="150">
        <v>4</v>
      </c>
      <c r="F12" s="150">
        <f t="shared" si="1"/>
        <v>13.12</v>
      </c>
      <c r="G12" s="158">
        <v>2005</v>
      </c>
      <c r="H12" s="159" t="s">
        <v>220</v>
      </c>
      <c r="I12" s="150" t="s">
        <v>221</v>
      </c>
      <c r="J12" s="160">
        <v>44438</v>
      </c>
      <c r="K12" s="161">
        <f t="shared" si="0"/>
        <v>16</v>
      </c>
      <c r="L12" s="150">
        <v>40</v>
      </c>
      <c r="M12" s="162">
        <v>0.1</v>
      </c>
      <c r="N12" s="150">
        <f t="shared" si="2"/>
        <v>2.2499999999999999E-2</v>
      </c>
      <c r="O12" s="35">
        <v>167.02</v>
      </c>
      <c r="P12" s="35">
        <f t="shared" si="3"/>
        <v>1797.8366840000003</v>
      </c>
      <c r="Q12" s="163">
        <v>1350</v>
      </c>
      <c r="R12" s="164">
        <f t="shared" si="4"/>
        <v>2427079.5234000003</v>
      </c>
      <c r="S12" s="165">
        <f t="shared" si="5"/>
        <v>873748.62842400011</v>
      </c>
      <c r="T12" s="165">
        <f t="shared" si="6"/>
        <v>1553330.8949760003</v>
      </c>
      <c r="U12" s="165">
        <f t="shared" si="7"/>
        <v>1320331.2607296002</v>
      </c>
      <c r="V12" s="166">
        <v>0.15</v>
      </c>
    </row>
    <row r="13" spans="3:24" x14ac:dyDescent="0.25">
      <c r="C13" s="150">
        <v>7</v>
      </c>
      <c r="D13" s="157" t="s">
        <v>227</v>
      </c>
      <c r="E13" s="150">
        <v>4</v>
      </c>
      <c r="F13" s="150">
        <f t="shared" si="1"/>
        <v>13.12</v>
      </c>
      <c r="G13" s="158">
        <v>2005</v>
      </c>
      <c r="H13" s="159" t="s">
        <v>220</v>
      </c>
      <c r="I13" s="150" t="s">
        <v>221</v>
      </c>
      <c r="J13" s="160">
        <v>44438</v>
      </c>
      <c r="K13" s="161">
        <f t="shared" si="0"/>
        <v>16</v>
      </c>
      <c r="L13" s="150">
        <v>40</v>
      </c>
      <c r="M13" s="162">
        <v>0.1</v>
      </c>
      <c r="N13" s="150">
        <f t="shared" si="2"/>
        <v>2.2499999999999999E-2</v>
      </c>
      <c r="O13" s="35">
        <v>167.02</v>
      </c>
      <c r="P13" s="35">
        <f t="shared" si="3"/>
        <v>1797.8366840000003</v>
      </c>
      <c r="Q13" s="163">
        <v>1350</v>
      </c>
      <c r="R13" s="164">
        <f t="shared" si="4"/>
        <v>2427079.5234000003</v>
      </c>
      <c r="S13" s="165">
        <f t="shared" si="5"/>
        <v>873748.62842400011</v>
      </c>
      <c r="T13" s="165">
        <f t="shared" si="6"/>
        <v>1553330.8949760003</v>
      </c>
      <c r="U13" s="165">
        <f t="shared" si="7"/>
        <v>1320331.2607296002</v>
      </c>
      <c r="V13" s="166">
        <v>0.15</v>
      </c>
    </row>
    <row r="14" spans="3:24" ht="30" x14ac:dyDescent="0.25">
      <c r="C14" s="150">
        <v>8</v>
      </c>
      <c r="D14" s="157" t="s">
        <v>228</v>
      </c>
      <c r="E14" s="150">
        <v>4</v>
      </c>
      <c r="F14" s="150">
        <f t="shared" si="1"/>
        <v>13.12</v>
      </c>
      <c r="G14" s="158">
        <v>2005</v>
      </c>
      <c r="H14" s="159" t="s">
        <v>220</v>
      </c>
      <c r="I14" s="150" t="s">
        <v>221</v>
      </c>
      <c r="J14" s="160">
        <v>44438</v>
      </c>
      <c r="K14" s="161">
        <f t="shared" si="0"/>
        <v>16</v>
      </c>
      <c r="L14" s="150">
        <v>40</v>
      </c>
      <c r="M14" s="162">
        <v>0.1</v>
      </c>
      <c r="N14" s="150">
        <f t="shared" si="2"/>
        <v>2.2499999999999999E-2</v>
      </c>
      <c r="O14" s="35">
        <v>258.49</v>
      </c>
      <c r="P14" s="35">
        <f t="shared" si="3"/>
        <v>2782.4380580000002</v>
      </c>
      <c r="Q14" s="163">
        <v>1350</v>
      </c>
      <c r="R14" s="164">
        <f t="shared" si="4"/>
        <v>3756291.3783000004</v>
      </c>
      <c r="S14" s="165">
        <f t="shared" si="5"/>
        <v>1352264.8961880002</v>
      </c>
      <c r="T14" s="165">
        <f t="shared" si="6"/>
        <v>2404026.4821120002</v>
      </c>
      <c r="U14" s="165">
        <f t="shared" si="7"/>
        <v>2043422.5097952001</v>
      </c>
      <c r="V14" s="166">
        <v>0.15</v>
      </c>
    </row>
    <row r="15" spans="3:24" s="167" customFormat="1" ht="30" x14ac:dyDescent="0.25">
      <c r="C15" s="8">
        <v>9</v>
      </c>
      <c r="D15" s="157" t="s">
        <v>229</v>
      </c>
      <c r="E15" s="8">
        <v>4</v>
      </c>
      <c r="F15" s="8">
        <f t="shared" si="1"/>
        <v>13.12</v>
      </c>
      <c r="G15" s="136">
        <v>2005</v>
      </c>
      <c r="H15" s="159" t="s">
        <v>220</v>
      </c>
      <c r="I15" s="8" t="s">
        <v>221</v>
      </c>
      <c r="J15" s="168">
        <v>44438</v>
      </c>
      <c r="K15" s="169">
        <f t="shared" si="0"/>
        <v>16</v>
      </c>
      <c r="L15" s="8">
        <v>40</v>
      </c>
      <c r="M15" s="170">
        <v>0.1</v>
      </c>
      <c r="N15" s="8">
        <f t="shared" si="2"/>
        <v>2.2499999999999999E-2</v>
      </c>
      <c r="O15" s="171">
        <v>60.83</v>
      </c>
      <c r="P15" s="171">
        <f t="shared" si="3"/>
        <v>654.78628600000002</v>
      </c>
      <c r="Q15" s="172">
        <v>1350</v>
      </c>
      <c r="R15" s="173">
        <f t="shared" si="4"/>
        <v>883961.48609999998</v>
      </c>
      <c r="S15" s="174">
        <f t="shared" si="5"/>
        <v>318226.13499599998</v>
      </c>
      <c r="T15" s="174">
        <f t="shared" si="6"/>
        <v>565735.351104</v>
      </c>
      <c r="U15" s="165">
        <f t="shared" si="7"/>
        <v>480875.04843839997</v>
      </c>
      <c r="V15" s="166">
        <v>0.15</v>
      </c>
    </row>
    <row r="16" spans="3:24" s="167" customFormat="1" ht="30" x14ac:dyDescent="0.25">
      <c r="C16" s="8">
        <v>10</v>
      </c>
      <c r="D16" s="157" t="s">
        <v>230</v>
      </c>
      <c r="E16" s="8">
        <v>4</v>
      </c>
      <c r="F16" s="8">
        <f t="shared" si="1"/>
        <v>13.12</v>
      </c>
      <c r="G16" s="136">
        <v>2005</v>
      </c>
      <c r="H16" s="159" t="s">
        <v>220</v>
      </c>
      <c r="I16" s="8" t="s">
        <v>221</v>
      </c>
      <c r="J16" s="168">
        <v>44438</v>
      </c>
      <c r="K16" s="169">
        <f t="shared" si="0"/>
        <v>16</v>
      </c>
      <c r="L16" s="8">
        <v>40</v>
      </c>
      <c r="M16" s="170">
        <v>0.1</v>
      </c>
      <c r="N16" s="8">
        <f t="shared" si="2"/>
        <v>2.2499999999999999E-2</v>
      </c>
      <c r="O16" s="171">
        <v>22.79</v>
      </c>
      <c r="P16" s="171">
        <f t="shared" si="3"/>
        <v>245.31611800000002</v>
      </c>
      <c r="Q16" s="172">
        <v>1350</v>
      </c>
      <c r="R16" s="173">
        <f t="shared" si="4"/>
        <v>331176.75930000003</v>
      </c>
      <c r="S16" s="174">
        <f t="shared" si="5"/>
        <v>119223.633348</v>
      </c>
      <c r="T16" s="174">
        <f t="shared" si="6"/>
        <v>211953.12595200003</v>
      </c>
      <c r="U16" s="165">
        <f t="shared" si="7"/>
        <v>180160.15705920002</v>
      </c>
      <c r="V16" s="166">
        <v>0.15</v>
      </c>
    </row>
    <row r="17" spans="3:22" s="167" customFormat="1" x14ac:dyDescent="0.25">
      <c r="C17" s="8">
        <v>12</v>
      </c>
      <c r="D17" s="157" t="s">
        <v>231</v>
      </c>
      <c r="E17" s="8">
        <v>3.5</v>
      </c>
      <c r="F17" s="8">
        <f t="shared" si="1"/>
        <v>11.479999999999999</v>
      </c>
      <c r="G17" s="136">
        <v>2005</v>
      </c>
      <c r="H17" s="159" t="s">
        <v>220</v>
      </c>
      <c r="I17" s="8" t="s">
        <v>221</v>
      </c>
      <c r="J17" s="168">
        <v>44438</v>
      </c>
      <c r="K17" s="169">
        <f t="shared" si="0"/>
        <v>16</v>
      </c>
      <c r="L17" s="8">
        <v>40</v>
      </c>
      <c r="M17" s="170">
        <v>0.1</v>
      </c>
      <c r="N17" s="8">
        <f t="shared" si="2"/>
        <v>2.2499999999999999E-2</v>
      </c>
      <c r="O17" s="171">
        <v>240.8</v>
      </c>
      <c r="P17" s="171">
        <f t="shared" si="3"/>
        <v>2592.0193600000002</v>
      </c>
      <c r="Q17" s="172">
        <v>1250</v>
      </c>
      <c r="R17" s="173">
        <f t="shared" si="4"/>
        <v>3240024.2</v>
      </c>
      <c r="S17" s="174">
        <f t="shared" si="5"/>
        <v>1166408.7120000001</v>
      </c>
      <c r="T17" s="174">
        <f t="shared" si="6"/>
        <v>2073615.4880000001</v>
      </c>
      <c r="U17" s="165">
        <f t="shared" si="7"/>
        <v>1762573.1648000001</v>
      </c>
      <c r="V17" s="166">
        <v>0.15</v>
      </c>
    </row>
    <row r="18" spans="3:22" s="167" customFormat="1" x14ac:dyDescent="0.25">
      <c r="C18" s="8">
        <v>13</v>
      </c>
      <c r="D18" s="157" t="s">
        <v>232</v>
      </c>
      <c r="E18" s="8">
        <v>4</v>
      </c>
      <c r="F18" s="8">
        <f t="shared" si="1"/>
        <v>13.12</v>
      </c>
      <c r="G18" s="136">
        <v>2005</v>
      </c>
      <c r="H18" s="159" t="s">
        <v>220</v>
      </c>
      <c r="I18" s="8" t="s">
        <v>221</v>
      </c>
      <c r="J18" s="168">
        <v>44438</v>
      </c>
      <c r="K18" s="169">
        <f t="shared" si="0"/>
        <v>16</v>
      </c>
      <c r="L18" s="8">
        <v>40</v>
      </c>
      <c r="M18" s="170">
        <v>0.1</v>
      </c>
      <c r="N18" s="8">
        <f t="shared" si="2"/>
        <v>2.2499999999999999E-2</v>
      </c>
      <c r="O18" s="171">
        <v>146.30000000000001</v>
      </c>
      <c r="P18" s="171">
        <f t="shared" si="3"/>
        <v>1574.8024600000001</v>
      </c>
      <c r="Q18" s="172">
        <v>1350</v>
      </c>
      <c r="R18" s="173">
        <f t="shared" si="4"/>
        <v>2125983.321</v>
      </c>
      <c r="S18" s="174">
        <f t="shared" si="5"/>
        <v>765353.99555999995</v>
      </c>
      <c r="T18" s="174">
        <f t="shared" si="6"/>
        <v>1360629.32544</v>
      </c>
      <c r="U18" s="165">
        <f t="shared" si="7"/>
        <v>1156534.9266240001</v>
      </c>
      <c r="V18" s="166">
        <v>0.15</v>
      </c>
    </row>
    <row r="19" spans="3:22" s="167" customFormat="1" x14ac:dyDescent="0.25">
      <c r="C19" s="8">
        <v>14</v>
      </c>
      <c r="D19" s="157" t="s">
        <v>233</v>
      </c>
      <c r="E19" s="8">
        <v>3.5</v>
      </c>
      <c r="F19" s="8">
        <f t="shared" si="1"/>
        <v>11.479999999999999</v>
      </c>
      <c r="G19" s="136">
        <v>2005</v>
      </c>
      <c r="H19" s="159" t="s">
        <v>220</v>
      </c>
      <c r="I19" s="8" t="s">
        <v>221</v>
      </c>
      <c r="J19" s="168">
        <v>44438</v>
      </c>
      <c r="K19" s="169">
        <f t="shared" si="0"/>
        <v>16</v>
      </c>
      <c r="L19" s="8">
        <v>40</v>
      </c>
      <c r="M19" s="170">
        <v>0.1</v>
      </c>
      <c r="N19" s="8">
        <f t="shared" si="2"/>
        <v>2.2499999999999999E-2</v>
      </c>
      <c r="O19" s="171">
        <v>32.85</v>
      </c>
      <c r="P19" s="171">
        <f t="shared" si="3"/>
        <v>353.60397000000006</v>
      </c>
      <c r="Q19" s="172">
        <v>1350</v>
      </c>
      <c r="R19" s="173">
        <f t="shared" si="4"/>
        <v>477365.35950000008</v>
      </c>
      <c r="S19" s="174">
        <f t="shared" si="5"/>
        <v>171851.52942000004</v>
      </c>
      <c r="T19" s="174">
        <f t="shared" si="6"/>
        <v>305513.83008000004</v>
      </c>
      <c r="U19" s="165">
        <f t="shared" si="7"/>
        <v>259686.75556800002</v>
      </c>
      <c r="V19" s="166">
        <v>0.15</v>
      </c>
    </row>
    <row r="20" spans="3:22" s="167" customFormat="1" x14ac:dyDescent="0.25">
      <c r="C20" s="8">
        <v>15</v>
      </c>
      <c r="D20" s="157" t="s">
        <v>234</v>
      </c>
      <c r="E20" s="171">
        <v>1.8292682926829269</v>
      </c>
      <c r="F20" s="8">
        <f t="shared" si="1"/>
        <v>6</v>
      </c>
      <c r="G20" s="136">
        <v>2005</v>
      </c>
      <c r="H20" s="159" t="s">
        <v>220</v>
      </c>
      <c r="I20" s="8" t="s">
        <v>221</v>
      </c>
      <c r="J20" s="168">
        <v>44438</v>
      </c>
      <c r="K20" s="169">
        <f t="shared" si="0"/>
        <v>16</v>
      </c>
      <c r="L20" s="8">
        <v>25</v>
      </c>
      <c r="M20" s="170">
        <v>0.1</v>
      </c>
      <c r="N20" s="8">
        <f t="shared" si="2"/>
        <v>3.6000000000000004E-2</v>
      </c>
      <c r="O20" s="171">
        <v>38.85</v>
      </c>
      <c r="P20" s="171">
        <f>O20*(6/3.28)</f>
        <v>71.067073170731717</v>
      </c>
      <c r="Q20" s="8" t="s">
        <v>235</v>
      </c>
      <c r="R20" s="173">
        <f>8000*P20</f>
        <v>568536.58536585374</v>
      </c>
      <c r="S20" s="174">
        <f t="shared" si="5"/>
        <v>327477.07317073178</v>
      </c>
      <c r="T20" s="174">
        <f t="shared" si="6"/>
        <v>241059.51219512196</v>
      </c>
      <c r="U20" s="165">
        <f t="shared" si="7"/>
        <v>204900.58536585365</v>
      </c>
      <c r="V20" s="166">
        <v>0.15</v>
      </c>
    </row>
    <row r="21" spans="3:22" s="167" customFormat="1" ht="30" x14ac:dyDescent="0.25">
      <c r="C21" s="8">
        <v>17</v>
      </c>
      <c r="D21" s="157" t="s">
        <v>236</v>
      </c>
      <c r="E21" s="8">
        <v>4</v>
      </c>
      <c r="F21" s="8">
        <f t="shared" si="1"/>
        <v>13.12</v>
      </c>
      <c r="G21" s="136">
        <v>2005</v>
      </c>
      <c r="H21" s="159" t="s">
        <v>220</v>
      </c>
      <c r="I21" s="8" t="s">
        <v>221</v>
      </c>
      <c r="J21" s="168">
        <v>44438</v>
      </c>
      <c r="K21" s="169">
        <f t="shared" si="0"/>
        <v>16</v>
      </c>
      <c r="L21" s="8">
        <v>40</v>
      </c>
      <c r="M21" s="170">
        <v>0.1</v>
      </c>
      <c r="N21" s="8">
        <f t="shared" si="2"/>
        <v>2.2499999999999999E-2</v>
      </c>
      <c r="O21" s="171">
        <v>32.85</v>
      </c>
      <c r="P21" s="171">
        <f t="shared" si="3"/>
        <v>353.60397000000006</v>
      </c>
      <c r="Q21" s="172">
        <v>1350</v>
      </c>
      <c r="R21" s="173">
        <f t="shared" si="4"/>
        <v>477365.35950000008</v>
      </c>
      <c r="S21" s="174">
        <f t="shared" si="5"/>
        <v>171851.52942000004</v>
      </c>
      <c r="T21" s="174">
        <f t="shared" si="6"/>
        <v>305513.83008000004</v>
      </c>
      <c r="U21" s="165">
        <f t="shared" si="7"/>
        <v>259686.75556800002</v>
      </c>
      <c r="V21" s="166">
        <v>0.15</v>
      </c>
    </row>
    <row r="22" spans="3:22" s="167" customFormat="1" x14ac:dyDescent="0.25">
      <c r="C22" s="8">
        <v>18</v>
      </c>
      <c r="D22" s="157" t="s">
        <v>237</v>
      </c>
      <c r="E22" s="8">
        <v>4</v>
      </c>
      <c r="F22" s="8">
        <f t="shared" si="1"/>
        <v>13.12</v>
      </c>
      <c r="G22" s="136">
        <v>2005</v>
      </c>
      <c r="H22" s="159" t="s">
        <v>220</v>
      </c>
      <c r="I22" s="8" t="s">
        <v>221</v>
      </c>
      <c r="J22" s="168">
        <v>44438</v>
      </c>
      <c r="K22" s="169">
        <f t="shared" si="0"/>
        <v>16</v>
      </c>
      <c r="L22" s="8">
        <v>40</v>
      </c>
      <c r="M22" s="170">
        <v>0.1</v>
      </c>
      <c r="N22" s="8">
        <f t="shared" si="2"/>
        <v>2.2499999999999999E-2</v>
      </c>
      <c r="O22" s="171">
        <v>634.45000000000005</v>
      </c>
      <c r="P22" s="171">
        <f t="shared" si="3"/>
        <v>6829.3466900000012</v>
      </c>
      <c r="Q22" s="172">
        <v>1350</v>
      </c>
      <c r="R22" s="173">
        <f t="shared" si="4"/>
        <v>9219618.0315000024</v>
      </c>
      <c r="S22" s="174">
        <f t="shared" si="5"/>
        <v>3319062.4913400006</v>
      </c>
      <c r="T22" s="174">
        <f t="shared" si="6"/>
        <v>5900555.5401600022</v>
      </c>
      <c r="U22" s="165">
        <f t="shared" si="7"/>
        <v>5015472.2091360018</v>
      </c>
      <c r="V22" s="166">
        <v>0.15</v>
      </c>
    </row>
    <row r="23" spans="3:22" s="167" customFormat="1" x14ac:dyDescent="0.25">
      <c r="C23" s="8">
        <v>19</v>
      </c>
      <c r="D23" s="157" t="s">
        <v>238</v>
      </c>
      <c r="E23" s="175" t="s">
        <v>239</v>
      </c>
      <c r="F23" s="8">
        <f>3.5*3.28</f>
        <v>11.479999999999999</v>
      </c>
      <c r="G23" s="136">
        <v>2005</v>
      </c>
      <c r="H23" s="159" t="s">
        <v>220</v>
      </c>
      <c r="I23" s="8" t="s">
        <v>221</v>
      </c>
      <c r="J23" s="168">
        <v>44438</v>
      </c>
      <c r="K23" s="169">
        <f t="shared" si="0"/>
        <v>16</v>
      </c>
      <c r="L23" s="8">
        <v>40</v>
      </c>
      <c r="M23" s="170">
        <v>0.1</v>
      </c>
      <c r="N23" s="8">
        <f t="shared" si="2"/>
        <v>2.2499999999999999E-2</v>
      </c>
      <c r="O23" s="171">
        <v>3008.48</v>
      </c>
      <c r="P23" s="171">
        <f t="shared" si="3"/>
        <v>32383.880416000004</v>
      </c>
      <c r="Q23" s="172">
        <v>1350</v>
      </c>
      <c r="R23" s="173">
        <f t="shared" si="4"/>
        <v>43718238.561600007</v>
      </c>
      <c r="S23" s="174">
        <f t="shared" si="5"/>
        <v>15738565.882176002</v>
      </c>
      <c r="T23" s="174">
        <f t="shared" si="6"/>
        <v>27979672.679424003</v>
      </c>
      <c r="U23" s="165">
        <f t="shared" si="7"/>
        <v>23782721.777510401</v>
      </c>
      <c r="V23" s="166">
        <v>0.15</v>
      </c>
    </row>
    <row r="24" spans="3:22" s="167" customFormat="1" x14ac:dyDescent="0.25">
      <c r="C24" s="8">
        <v>20</v>
      </c>
      <c r="D24" s="157" t="s">
        <v>240</v>
      </c>
      <c r="E24" s="8">
        <v>3.5</v>
      </c>
      <c r="F24" s="8">
        <f t="shared" si="1"/>
        <v>11.479999999999999</v>
      </c>
      <c r="G24" s="136">
        <v>2005</v>
      </c>
      <c r="H24" s="159" t="s">
        <v>220</v>
      </c>
      <c r="I24" s="8" t="s">
        <v>221</v>
      </c>
      <c r="J24" s="168">
        <v>44438</v>
      </c>
      <c r="K24" s="169">
        <f t="shared" si="0"/>
        <v>16</v>
      </c>
      <c r="L24" s="8">
        <v>40</v>
      </c>
      <c r="M24" s="170">
        <v>0.1</v>
      </c>
      <c r="N24" s="8">
        <f t="shared" si="2"/>
        <v>2.2499999999999999E-2</v>
      </c>
      <c r="O24" s="171">
        <v>386.28</v>
      </c>
      <c r="P24" s="171">
        <f t="shared" si="3"/>
        <v>4157.9951760000004</v>
      </c>
      <c r="Q24" s="172">
        <v>1350</v>
      </c>
      <c r="R24" s="173">
        <f t="shared" si="4"/>
        <v>5613293.4876000006</v>
      </c>
      <c r="S24" s="174">
        <f t="shared" si="5"/>
        <v>2020785.6555360002</v>
      </c>
      <c r="T24" s="174">
        <f t="shared" si="6"/>
        <v>3592507.8320640004</v>
      </c>
      <c r="U24" s="165">
        <f t="shared" si="7"/>
        <v>3053631.6572544002</v>
      </c>
      <c r="V24" s="166">
        <v>0.15</v>
      </c>
    </row>
    <row r="25" spans="3:22" s="167" customFormat="1" ht="30" x14ac:dyDescent="0.25">
      <c r="C25" s="8">
        <v>21</v>
      </c>
      <c r="D25" s="157" t="s">
        <v>241</v>
      </c>
      <c r="E25" s="8">
        <v>3.5</v>
      </c>
      <c r="F25" s="8">
        <f t="shared" si="1"/>
        <v>11.479999999999999</v>
      </c>
      <c r="G25" s="136">
        <v>2005</v>
      </c>
      <c r="H25" s="159" t="s">
        <v>220</v>
      </c>
      <c r="I25" s="8" t="s">
        <v>221</v>
      </c>
      <c r="J25" s="168">
        <v>44438</v>
      </c>
      <c r="K25" s="169">
        <f t="shared" si="0"/>
        <v>16</v>
      </c>
      <c r="L25" s="8">
        <v>40</v>
      </c>
      <c r="M25" s="170">
        <v>0.1</v>
      </c>
      <c r="N25" s="8">
        <f t="shared" si="2"/>
        <v>2.2499999999999999E-2</v>
      </c>
      <c r="O25" s="171">
        <v>126.88</v>
      </c>
      <c r="P25" s="171">
        <f t="shared" si="3"/>
        <v>1365.761696</v>
      </c>
      <c r="Q25" s="172">
        <v>1350</v>
      </c>
      <c r="R25" s="173">
        <f t="shared" si="4"/>
        <v>1843778.2896</v>
      </c>
      <c r="S25" s="174">
        <f t="shared" si="5"/>
        <v>663760.18425599998</v>
      </c>
      <c r="T25" s="174">
        <f t="shared" si="6"/>
        <v>1180018.105344</v>
      </c>
      <c r="U25" s="165">
        <f t="shared" si="7"/>
        <v>1003015.3895424</v>
      </c>
      <c r="V25" s="166">
        <v>0.15</v>
      </c>
    </row>
    <row r="26" spans="3:22" s="167" customFormat="1" ht="30" x14ac:dyDescent="0.25">
      <c r="C26" s="8">
        <v>22</v>
      </c>
      <c r="D26" s="157" t="s">
        <v>242</v>
      </c>
      <c r="E26" s="8">
        <v>3.5</v>
      </c>
      <c r="F26" s="8">
        <f t="shared" si="1"/>
        <v>11.479999999999999</v>
      </c>
      <c r="G26" s="136">
        <v>2005</v>
      </c>
      <c r="H26" s="159" t="s">
        <v>220</v>
      </c>
      <c r="I26" s="8" t="s">
        <v>221</v>
      </c>
      <c r="J26" s="168">
        <v>44438</v>
      </c>
      <c r="K26" s="169">
        <f t="shared" si="0"/>
        <v>16</v>
      </c>
      <c r="L26" s="8">
        <v>40</v>
      </c>
      <c r="M26" s="170">
        <v>0.1</v>
      </c>
      <c r="N26" s="8">
        <f t="shared" si="2"/>
        <v>2.2499999999999999E-2</v>
      </c>
      <c r="O26" s="171">
        <v>92.87</v>
      </c>
      <c r="P26" s="171">
        <f t="shared" si="3"/>
        <v>999.67125400000009</v>
      </c>
      <c r="Q26" s="172">
        <v>1350</v>
      </c>
      <c r="R26" s="173">
        <f t="shared" si="4"/>
        <v>1349556.1929000001</v>
      </c>
      <c r="S26" s="174">
        <f t="shared" si="5"/>
        <v>485840.22944400006</v>
      </c>
      <c r="T26" s="174">
        <f t="shared" si="6"/>
        <v>863715.96345600008</v>
      </c>
      <c r="U26" s="165">
        <f t="shared" si="7"/>
        <v>734158.56893760001</v>
      </c>
      <c r="V26" s="166">
        <v>0.15</v>
      </c>
    </row>
    <row r="27" spans="3:22" s="167" customFormat="1" x14ac:dyDescent="0.25">
      <c r="C27" s="8">
        <v>23</v>
      </c>
      <c r="D27" s="157" t="s">
        <v>243</v>
      </c>
      <c r="E27" s="8">
        <v>3.8</v>
      </c>
      <c r="F27" s="171">
        <f t="shared" si="1"/>
        <v>12.463999999999999</v>
      </c>
      <c r="G27" s="136">
        <v>2005</v>
      </c>
      <c r="H27" s="159" t="s">
        <v>220</v>
      </c>
      <c r="I27" s="8" t="s">
        <v>221</v>
      </c>
      <c r="J27" s="168">
        <v>44438</v>
      </c>
      <c r="K27" s="169">
        <f t="shared" si="0"/>
        <v>16</v>
      </c>
      <c r="L27" s="8">
        <v>40</v>
      </c>
      <c r="M27" s="170">
        <v>0.1</v>
      </c>
      <c r="N27" s="8">
        <f t="shared" si="2"/>
        <v>2.2499999999999999E-2</v>
      </c>
      <c r="O27" s="171">
        <v>502.61</v>
      </c>
      <c r="P27" s="171">
        <f t="shared" si="3"/>
        <v>5410.1945620000006</v>
      </c>
      <c r="Q27" s="172">
        <v>1350</v>
      </c>
      <c r="R27" s="173">
        <f t="shared" si="4"/>
        <v>7303762.6587000005</v>
      </c>
      <c r="S27" s="174">
        <f t="shared" si="5"/>
        <v>2629354.5571320001</v>
      </c>
      <c r="T27" s="174">
        <f t="shared" si="6"/>
        <v>4674408.1015680004</v>
      </c>
      <c r="U27" s="165">
        <f t="shared" si="7"/>
        <v>3973246.8863328001</v>
      </c>
      <c r="V27" s="166">
        <v>0.15</v>
      </c>
    </row>
    <row r="28" spans="3:22" s="167" customFormat="1" x14ac:dyDescent="0.25">
      <c r="C28" s="8">
        <v>24</v>
      </c>
      <c r="D28" s="157" t="s">
        <v>244</v>
      </c>
      <c r="E28" s="8">
        <v>3.5</v>
      </c>
      <c r="F28" s="8">
        <f t="shared" si="1"/>
        <v>11.479999999999999</v>
      </c>
      <c r="G28" s="136">
        <v>2005</v>
      </c>
      <c r="H28" s="159" t="s">
        <v>220</v>
      </c>
      <c r="I28" s="8" t="s">
        <v>221</v>
      </c>
      <c r="J28" s="168">
        <v>44438</v>
      </c>
      <c r="K28" s="169">
        <f t="shared" si="0"/>
        <v>16</v>
      </c>
      <c r="L28" s="8">
        <v>40</v>
      </c>
      <c r="M28" s="170">
        <v>0.1</v>
      </c>
      <c r="N28" s="8">
        <f t="shared" si="2"/>
        <v>2.2499999999999999E-2</v>
      </c>
      <c r="O28" s="171">
        <v>90.3</v>
      </c>
      <c r="P28" s="171">
        <f t="shared" si="3"/>
        <v>972.00725999999997</v>
      </c>
      <c r="Q28" s="172">
        <v>1350</v>
      </c>
      <c r="R28" s="173">
        <f t="shared" si="4"/>
        <v>1312209.801</v>
      </c>
      <c r="S28" s="174">
        <f t="shared" si="5"/>
        <v>472395.52836</v>
      </c>
      <c r="T28" s="174">
        <f t="shared" si="6"/>
        <v>839814.27263999998</v>
      </c>
      <c r="U28" s="165">
        <f t="shared" si="7"/>
        <v>713842.13174400001</v>
      </c>
      <c r="V28" s="166">
        <v>0.15</v>
      </c>
    </row>
    <row r="29" spans="3:22" s="167" customFormat="1" x14ac:dyDescent="0.25">
      <c r="C29" s="8">
        <v>25</v>
      </c>
      <c r="D29" s="157" t="s">
        <v>245</v>
      </c>
      <c r="E29" s="8">
        <v>3.5</v>
      </c>
      <c r="F29" s="8">
        <f t="shared" si="1"/>
        <v>11.479999999999999</v>
      </c>
      <c r="G29" s="136">
        <v>2005</v>
      </c>
      <c r="H29" s="159" t="s">
        <v>220</v>
      </c>
      <c r="I29" s="8" t="s">
        <v>221</v>
      </c>
      <c r="J29" s="168">
        <v>44438</v>
      </c>
      <c r="K29" s="169">
        <f t="shared" si="0"/>
        <v>16</v>
      </c>
      <c r="L29" s="8">
        <v>40</v>
      </c>
      <c r="M29" s="170">
        <v>0.1</v>
      </c>
      <c r="N29" s="8">
        <f t="shared" si="2"/>
        <v>2.2499999999999999E-2</v>
      </c>
      <c r="O29" s="171">
        <v>230.28</v>
      </c>
      <c r="P29" s="171">
        <f t="shared" si="3"/>
        <v>2478.7799760000003</v>
      </c>
      <c r="Q29" s="172">
        <v>1350</v>
      </c>
      <c r="R29" s="173">
        <f t="shared" si="4"/>
        <v>3346352.9676000006</v>
      </c>
      <c r="S29" s="174">
        <f t="shared" si="5"/>
        <v>1204687.0683360002</v>
      </c>
      <c r="T29" s="174">
        <f t="shared" si="6"/>
        <v>2141665.8992640004</v>
      </c>
      <c r="U29" s="165">
        <f t="shared" si="7"/>
        <v>1820416.0143744003</v>
      </c>
      <c r="V29" s="166">
        <v>0.15</v>
      </c>
    </row>
    <row r="30" spans="3:22" s="167" customFormat="1" x14ac:dyDescent="0.25">
      <c r="C30" s="8">
        <v>26</v>
      </c>
      <c r="D30" s="157" t="s">
        <v>246</v>
      </c>
      <c r="E30" s="8">
        <v>3.5</v>
      </c>
      <c r="F30" s="8">
        <f t="shared" si="1"/>
        <v>11.479999999999999</v>
      </c>
      <c r="G30" s="136">
        <v>2005</v>
      </c>
      <c r="H30" s="159" t="s">
        <v>220</v>
      </c>
      <c r="I30" s="8" t="s">
        <v>221</v>
      </c>
      <c r="J30" s="168">
        <v>44438</v>
      </c>
      <c r="K30" s="169">
        <f t="shared" si="0"/>
        <v>16</v>
      </c>
      <c r="L30" s="8">
        <v>40</v>
      </c>
      <c r="M30" s="170">
        <v>0.1</v>
      </c>
      <c r="N30" s="8">
        <f t="shared" si="2"/>
        <v>2.2499999999999999E-2</v>
      </c>
      <c r="O30" s="171">
        <v>243.35</v>
      </c>
      <c r="P30" s="171">
        <f t="shared" si="3"/>
        <v>2619.4680699999999</v>
      </c>
      <c r="Q30" s="172">
        <v>1350</v>
      </c>
      <c r="R30" s="173">
        <f t="shared" si="4"/>
        <v>3536281.8944999999</v>
      </c>
      <c r="S30" s="174">
        <f t="shared" si="5"/>
        <v>1273061.48202</v>
      </c>
      <c r="T30" s="174">
        <f t="shared" si="6"/>
        <v>2263220.4124799999</v>
      </c>
      <c r="U30" s="165">
        <f t="shared" si="7"/>
        <v>1923737.3506079998</v>
      </c>
      <c r="V30" s="166">
        <v>0.15</v>
      </c>
    </row>
    <row r="31" spans="3:22" s="167" customFormat="1" ht="30" x14ac:dyDescent="0.25">
      <c r="C31" s="8">
        <v>28</v>
      </c>
      <c r="D31" s="157" t="s">
        <v>247</v>
      </c>
      <c r="E31" s="171">
        <v>9.1463414634146343</v>
      </c>
      <c r="F31" s="8">
        <f>E31*3.28</f>
        <v>30</v>
      </c>
      <c r="G31" s="136">
        <v>2005</v>
      </c>
      <c r="H31" s="159" t="s">
        <v>248</v>
      </c>
      <c r="I31" s="8" t="s">
        <v>221</v>
      </c>
      <c r="J31" s="168">
        <v>44438</v>
      </c>
      <c r="K31" s="169">
        <f t="shared" si="0"/>
        <v>16</v>
      </c>
      <c r="L31" s="8">
        <v>30</v>
      </c>
      <c r="M31" s="170">
        <v>0.1</v>
      </c>
      <c r="N31" s="8">
        <f t="shared" si="2"/>
        <v>3.0000000000000002E-2</v>
      </c>
      <c r="O31" s="171">
        <v>4453.5</v>
      </c>
      <c r="P31" s="171">
        <f t="shared" si="3"/>
        <v>47938.364700000006</v>
      </c>
      <c r="Q31" s="172">
        <v>950</v>
      </c>
      <c r="R31" s="173">
        <f t="shared" si="4"/>
        <v>45541446.465000004</v>
      </c>
      <c r="S31" s="174">
        <f t="shared" si="5"/>
        <v>21859894.303200003</v>
      </c>
      <c r="T31" s="174">
        <f t="shared" si="6"/>
        <v>23681552.161800001</v>
      </c>
      <c r="U31" s="165">
        <f t="shared" si="7"/>
        <v>18945241.72944</v>
      </c>
      <c r="V31" s="166">
        <v>0.2</v>
      </c>
    </row>
    <row r="32" spans="3:22" s="167" customFormat="1" ht="30" x14ac:dyDescent="0.25">
      <c r="C32" s="8">
        <v>29</v>
      </c>
      <c r="D32" s="157" t="s">
        <v>249</v>
      </c>
      <c r="E32" s="171">
        <v>9.1463414634146343</v>
      </c>
      <c r="F32" s="8">
        <f>E32*3.28</f>
        <v>30</v>
      </c>
      <c r="G32" s="136">
        <v>2005</v>
      </c>
      <c r="H32" s="159" t="s">
        <v>248</v>
      </c>
      <c r="I32" s="8" t="s">
        <v>221</v>
      </c>
      <c r="J32" s="168">
        <v>44438</v>
      </c>
      <c r="K32" s="169">
        <f t="shared" si="0"/>
        <v>16</v>
      </c>
      <c r="L32" s="8">
        <v>30</v>
      </c>
      <c r="M32" s="170">
        <v>0.1</v>
      </c>
      <c r="N32" s="8">
        <f t="shared" si="2"/>
        <v>3.0000000000000002E-2</v>
      </c>
      <c r="O32" s="171">
        <v>325.5</v>
      </c>
      <c r="P32" s="171">
        <f t="shared" si="3"/>
        <v>3503.7471</v>
      </c>
      <c r="Q32" s="172">
        <v>950</v>
      </c>
      <c r="R32" s="173">
        <f t="shared" si="4"/>
        <v>3328559.7450000001</v>
      </c>
      <c r="S32" s="174">
        <f t="shared" si="5"/>
        <v>1597708.6776000003</v>
      </c>
      <c r="T32" s="174">
        <f t="shared" si="6"/>
        <v>1730851.0673999998</v>
      </c>
      <c r="U32" s="165">
        <f t="shared" si="7"/>
        <v>1384680.8539199999</v>
      </c>
      <c r="V32" s="166">
        <v>0.2</v>
      </c>
    </row>
    <row r="33" spans="3:22" s="167" customFormat="1" ht="30" x14ac:dyDescent="0.25">
      <c r="C33" s="8">
        <v>30</v>
      </c>
      <c r="D33" s="157" t="s">
        <v>250</v>
      </c>
      <c r="E33" s="8">
        <v>5</v>
      </c>
      <c r="F33" s="8">
        <f>E33*3.28</f>
        <v>16.399999999999999</v>
      </c>
      <c r="G33" s="136">
        <v>2005</v>
      </c>
      <c r="H33" s="159" t="s">
        <v>248</v>
      </c>
      <c r="I33" s="8" t="s">
        <v>221</v>
      </c>
      <c r="J33" s="168">
        <v>44438</v>
      </c>
      <c r="K33" s="169">
        <f t="shared" si="0"/>
        <v>16</v>
      </c>
      <c r="L33" s="8">
        <v>30</v>
      </c>
      <c r="M33" s="170">
        <v>0.1</v>
      </c>
      <c r="N33" s="8">
        <f t="shared" si="2"/>
        <v>3.0000000000000002E-2</v>
      </c>
      <c r="O33" s="171">
        <v>403.92</v>
      </c>
      <c r="P33" s="171">
        <f t="shared" si="3"/>
        <v>4347.8756640000001</v>
      </c>
      <c r="Q33" s="172">
        <v>850</v>
      </c>
      <c r="R33" s="173">
        <f t="shared" si="4"/>
        <v>3695694.3144</v>
      </c>
      <c r="S33" s="174">
        <f t="shared" si="5"/>
        <v>1773933.2709120002</v>
      </c>
      <c r="T33" s="174">
        <f t="shared" si="6"/>
        <v>1921761.0434879998</v>
      </c>
      <c r="U33" s="165">
        <f t="shared" si="7"/>
        <v>1537408.8347904</v>
      </c>
      <c r="V33" s="166">
        <v>0.2</v>
      </c>
    </row>
    <row r="34" spans="3:22" s="167" customFormat="1" ht="30" x14ac:dyDescent="0.25">
      <c r="C34" s="8">
        <v>31</v>
      </c>
      <c r="D34" s="157" t="s">
        <v>251</v>
      </c>
      <c r="E34" s="8">
        <v>5</v>
      </c>
      <c r="F34" s="8">
        <f t="shared" si="1"/>
        <v>16.399999999999999</v>
      </c>
      <c r="G34" s="136">
        <v>2005</v>
      </c>
      <c r="H34" s="159" t="s">
        <v>248</v>
      </c>
      <c r="I34" s="8" t="s">
        <v>221</v>
      </c>
      <c r="J34" s="168">
        <v>44438</v>
      </c>
      <c r="K34" s="169">
        <f t="shared" si="0"/>
        <v>16</v>
      </c>
      <c r="L34" s="8">
        <v>30</v>
      </c>
      <c r="M34" s="170">
        <v>0.1</v>
      </c>
      <c r="N34" s="8">
        <f t="shared" si="2"/>
        <v>3.0000000000000002E-2</v>
      </c>
      <c r="O34" s="171">
        <v>2360.6999999999998</v>
      </c>
      <c r="P34" s="171">
        <f t="shared" si="3"/>
        <v>25411.04694</v>
      </c>
      <c r="Q34" s="172">
        <v>850</v>
      </c>
      <c r="R34" s="173">
        <f t="shared" si="4"/>
        <v>21599389.899</v>
      </c>
      <c r="S34" s="174">
        <f t="shared" si="5"/>
        <v>10367707.151520001</v>
      </c>
      <c r="T34" s="174">
        <f t="shared" si="6"/>
        <v>11231682.747479999</v>
      </c>
      <c r="U34" s="165">
        <f t="shared" si="7"/>
        <v>8985346.1979840007</v>
      </c>
      <c r="V34" s="166">
        <v>0.2</v>
      </c>
    </row>
    <row r="35" spans="3:22" s="167" customFormat="1" x14ac:dyDescent="0.25">
      <c r="C35" s="8">
        <v>32</v>
      </c>
      <c r="D35" s="157" t="s">
        <v>252</v>
      </c>
      <c r="E35" s="8">
        <v>3.5</v>
      </c>
      <c r="F35" s="8">
        <f t="shared" si="1"/>
        <v>11.479999999999999</v>
      </c>
      <c r="G35" s="136">
        <v>2005</v>
      </c>
      <c r="H35" s="159" t="s">
        <v>220</v>
      </c>
      <c r="I35" s="8" t="s">
        <v>221</v>
      </c>
      <c r="J35" s="168">
        <v>44438</v>
      </c>
      <c r="K35" s="169">
        <f t="shared" si="0"/>
        <v>16</v>
      </c>
      <c r="L35" s="8">
        <v>40</v>
      </c>
      <c r="M35" s="170">
        <v>0.1</v>
      </c>
      <c r="N35" s="8">
        <f t="shared" si="2"/>
        <v>2.2499999999999999E-2</v>
      </c>
      <c r="O35" s="171">
        <v>185.9</v>
      </c>
      <c r="P35" s="171">
        <f t="shared" si="3"/>
        <v>2001.0647800000002</v>
      </c>
      <c r="Q35" s="172">
        <v>1350</v>
      </c>
      <c r="R35" s="173">
        <f t="shared" si="4"/>
        <v>2701437.4530000002</v>
      </c>
      <c r="S35" s="174">
        <f t="shared" si="5"/>
        <v>972517.48308000003</v>
      </c>
      <c r="T35" s="174">
        <f t="shared" si="6"/>
        <v>1728919.9699200001</v>
      </c>
      <c r="U35" s="165">
        <f t="shared" si="7"/>
        <v>1469581.974432</v>
      </c>
      <c r="V35" s="166">
        <v>0.15</v>
      </c>
    </row>
    <row r="36" spans="3:22" s="167" customFormat="1" ht="135" x14ac:dyDescent="0.25">
      <c r="C36" s="8">
        <v>33</v>
      </c>
      <c r="D36" s="157" t="s">
        <v>253</v>
      </c>
      <c r="E36" s="8">
        <v>5</v>
      </c>
      <c r="F36" s="8">
        <f t="shared" si="1"/>
        <v>16.399999999999999</v>
      </c>
      <c r="G36" s="136">
        <v>2005</v>
      </c>
      <c r="H36" s="159" t="s">
        <v>248</v>
      </c>
      <c r="I36" s="29" t="s">
        <v>375</v>
      </c>
      <c r="J36" s="168">
        <v>44438</v>
      </c>
      <c r="K36" s="169">
        <f t="shared" si="0"/>
        <v>16</v>
      </c>
      <c r="L36" s="8">
        <v>30</v>
      </c>
      <c r="M36" s="170">
        <v>0.1</v>
      </c>
      <c r="N36" s="8">
        <f t="shared" si="2"/>
        <v>3.0000000000000002E-2</v>
      </c>
      <c r="O36" s="171">
        <v>482.56</v>
      </c>
      <c r="P36" s="171">
        <f t="shared" si="3"/>
        <v>5194.3723520000003</v>
      </c>
      <c r="Q36" s="172">
        <v>850</v>
      </c>
      <c r="R36" s="173">
        <f t="shared" si="4"/>
        <v>4415216.4992000004</v>
      </c>
      <c r="S36" s="174">
        <f t="shared" si="5"/>
        <v>2119303.9196160003</v>
      </c>
      <c r="T36" s="174">
        <f t="shared" si="6"/>
        <v>2295912.5795840002</v>
      </c>
      <c r="U36" s="165">
        <f t="shared" si="7"/>
        <v>1721934.434688</v>
      </c>
      <c r="V36" s="166">
        <v>0.25</v>
      </c>
    </row>
    <row r="37" spans="3:22" s="167" customFormat="1" ht="135" x14ac:dyDescent="0.25">
      <c r="C37" s="8">
        <v>34</v>
      </c>
      <c r="D37" s="157" t="s">
        <v>254</v>
      </c>
      <c r="E37" s="171">
        <v>9.1463414634146343</v>
      </c>
      <c r="F37" s="8">
        <f t="shared" si="1"/>
        <v>30</v>
      </c>
      <c r="G37" s="136">
        <v>2005</v>
      </c>
      <c r="H37" s="159" t="s">
        <v>248</v>
      </c>
      <c r="I37" s="29" t="s">
        <v>375</v>
      </c>
      <c r="J37" s="168">
        <v>44438</v>
      </c>
      <c r="K37" s="169">
        <f t="shared" si="0"/>
        <v>16</v>
      </c>
      <c r="L37" s="8">
        <v>30</v>
      </c>
      <c r="M37" s="170">
        <v>0.1</v>
      </c>
      <c r="N37" s="8">
        <f t="shared" si="2"/>
        <v>3.0000000000000002E-2</v>
      </c>
      <c r="O37" s="171">
        <v>565.39</v>
      </c>
      <c r="P37" s="171">
        <f t="shared" si="3"/>
        <v>6085.9710380000006</v>
      </c>
      <c r="Q37" s="172">
        <v>950</v>
      </c>
      <c r="R37" s="173">
        <f t="shared" si="4"/>
        <v>5781672.4861000003</v>
      </c>
      <c r="S37" s="174">
        <f t="shared" si="5"/>
        <v>2775202.7933280002</v>
      </c>
      <c r="T37" s="174">
        <f t="shared" si="6"/>
        <v>3006469.6927720001</v>
      </c>
      <c r="U37" s="165">
        <f t="shared" si="7"/>
        <v>2405175.7542176</v>
      </c>
      <c r="V37" s="166">
        <v>0.2</v>
      </c>
    </row>
    <row r="38" spans="3:22" s="167" customFormat="1" x14ac:dyDescent="0.25">
      <c r="C38" s="8">
        <v>35</v>
      </c>
      <c r="D38" s="157" t="s">
        <v>255</v>
      </c>
      <c r="E38" s="8">
        <v>3.5</v>
      </c>
      <c r="F38" s="8">
        <f t="shared" si="1"/>
        <v>11.479999999999999</v>
      </c>
      <c r="G38" s="136">
        <v>2005</v>
      </c>
      <c r="H38" s="159" t="s">
        <v>220</v>
      </c>
      <c r="I38" s="8" t="s">
        <v>221</v>
      </c>
      <c r="J38" s="168">
        <v>44438</v>
      </c>
      <c r="K38" s="169">
        <f t="shared" si="0"/>
        <v>16</v>
      </c>
      <c r="L38" s="8">
        <v>40</v>
      </c>
      <c r="M38" s="170">
        <v>0.1</v>
      </c>
      <c r="N38" s="8">
        <f t="shared" si="2"/>
        <v>2.2499999999999999E-2</v>
      </c>
      <c r="O38" s="171">
        <v>23.8</v>
      </c>
      <c r="P38" s="171">
        <f t="shared" si="3"/>
        <v>256.18796000000003</v>
      </c>
      <c r="Q38" s="172">
        <v>1250</v>
      </c>
      <c r="R38" s="173">
        <f t="shared" si="4"/>
        <v>320234.95</v>
      </c>
      <c r="S38" s="174">
        <f t="shared" si="5"/>
        <v>115284.58199999999</v>
      </c>
      <c r="T38" s="174">
        <f t="shared" si="6"/>
        <v>204950.36800000002</v>
      </c>
      <c r="U38" s="165">
        <f t="shared" si="7"/>
        <v>174207.81280000001</v>
      </c>
      <c r="V38" s="166">
        <v>0.15</v>
      </c>
    </row>
    <row r="39" spans="3:22" s="167" customFormat="1" x14ac:dyDescent="0.25">
      <c r="C39" s="8">
        <v>37</v>
      </c>
      <c r="D39" s="157" t="s">
        <v>256</v>
      </c>
      <c r="E39" s="171">
        <v>3.5</v>
      </c>
      <c r="F39" s="8">
        <f t="shared" si="1"/>
        <v>11.479999999999999</v>
      </c>
      <c r="G39" s="136">
        <v>2005</v>
      </c>
      <c r="H39" s="159" t="s">
        <v>220</v>
      </c>
      <c r="I39" s="8" t="s">
        <v>221</v>
      </c>
      <c r="J39" s="168">
        <v>44438</v>
      </c>
      <c r="K39" s="169">
        <f t="shared" si="0"/>
        <v>16</v>
      </c>
      <c r="L39" s="8">
        <v>30</v>
      </c>
      <c r="M39" s="170">
        <v>0.1</v>
      </c>
      <c r="N39" s="8">
        <f t="shared" si="2"/>
        <v>3.0000000000000002E-2</v>
      </c>
      <c r="O39" s="171">
        <v>857.21</v>
      </c>
      <c r="P39" s="171">
        <f t="shared" si="3"/>
        <v>9227.1798820000004</v>
      </c>
      <c r="Q39" s="172">
        <v>1250</v>
      </c>
      <c r="R39" s="173">
        <f t="shared" si="4"/>
        <v>11533974.852500001</v>
      </c>
      <c r="S39" s="174">
        <f t="shared" si="5"/>
        <v>5536307.9292000011</v>
      </c>
      <c r="T39" s="174">
        <f t="shared" si="6"/>
        <v>5997666.9232999999</v>
      </c>
      <c r="U39" s="165">
        <f t="shared" si="7"/>
        <v>5098016.8848049995</v>
      </c>
      <c r="V39" s="166">
        <v>0.15</v>
      </c>
    </row>
    <row r="40" spans="3:22" s="167" customFormat="1" ht="135" x14ac:dyDescent="0.25">
      <c r="C40" s="8">
        <v>38</v>
      </c>
      <c r="D40" s="157" t="s">
        <v>257</v>
      </c>
      <c r="E40" s="171">
        <v>9.1463414634146343</v>
      </c>
      <c r="F40" s="8">
        <f t="shared" si="1"/>
        <v>30</v>
      </c>
      <c r="G40" s="136">
        <v>2005</v>
      </c>
      <c r="H40" s="176" t="s">
        <v>248</v>
      </c>
      <c r="I40" s="29" t="s">
        <v>375</v>
      </c>
      <c r="J40" s="168">
        <v>44438</v>
      </c>
      <c r="K40" s="169">
        <f t="shared" si="0"/>
        <v>16</v>
      </c>
      <c r="L40" s="8">
        <v>30</v>
      </c>
      <c r="M40" s="170">
        <v>0.1</v>
      </c>
      <c r="N40" s="8">
        <f t="shared" si="2"/>
        <v>3.0000000000000002E-2</v>
      </c>
      <c r="O40" s="171">
        <v>917.01</v>
      </c>
      <c r="P40" s="171">
        <f t="shared" si="3"/>
        <v>9870.8790420000005</v>
      </c>
      <c r="Q40" s="172">
        <v>950</v>
      </c>
      <c r="R40" s="173">
        <f t="shared" si="4"/>
        <v>9377335.0899</v>
      </c>
      <c r="S40" s="174">
        <f t="shared" si="5"/>
        <v>4501120.8431520006</v>
      </c>
      <c r="T40" s="174">
        <f t="shared" si="6"/>
        <v>4876214.2467479995</v>
      </c>
      <c r="U40" s="165">
        <f t="shared" si="7"/>
        <v>3900971.3973983997</v>
      </c>
      <c r="V40" s="166">
        <v>0.2</v>
      </c>
    </row>
    <row r="41" spans="3:22" s="167" customFormat="1" ht="135" x14ac:dyDescent="0.25">
      <c r="C41" s="8">
        <v>39</v>
      </c>
      <c r="D41" s="157" t="s">
        <v>258</v>
      </c>
      <c r="E41" s="171">
        <v>9.1463414634146343</v>
      </c>
      <c r="F41" s="8">
        <f t="shared" si="1"/>
        <v>30</v>
      </c>
      <c r="G41" s="136">
        <v>2005</v>
      </c>
      <c r="H41" s="176" t="s">
        <v>248</v>
      </c>
      <c r="I41" s="29" t="s">
        <v>375</v>
      </c>
      <c r="J41" s="168">
        <v>44438</v>
      </c>
      <c r="K41" s="169">
        <f t="shared" si="0"/>
        <v>16</v>
      </c>
      <c r="L41" s="8">
        <v>30</v>
      </c>
      <c r="M41" s="170">
        <v>0.1</v>
      </c>
      <c r="N41" s="8">
        <f t="shared" si="2"/>
        <v>3.0000000000000002E-2</v>
      </c>
      <c r="O41" s="171">
        <v>274.64</v>
      </c>
      <c r="P41" s="171">
        <f t="shared" si="3"/>
        <v>2956.279888</v>
      </c>
      <c r="Q41" s="172">
        <v>950</v>
      </c>
      <c r="R41" s="173">
        <f t="shared" si="4"/>
        <v>2808465.8936000001</v>
      </c>
      <c r="S41" s="174">
        <f t="shared" si="5"/>
        <v>1348063.6289280001</v>
      </c>
      <c r="T41" s="174">
        <f t="shared" si="6"/>
        <v>1460402.264672</v>
      </c>
      <c r="U41" s="165">
        <f t="shared" si="7"/>
        <v>1168321.8117376</v>
      </c>
      <c r="V41" s="166">
        <v>0.2</v>
      </c>
    </row>
    <row r="42" spans="3:22" s="167" customFormat="1" x14ac:dyDescent="0.25">
      <c r="C42" s="8">
        <v>41</v>
      </c>
      <c r="D42" s="157" t="s">
        <v>259</v>
      </c>
      <c r="E42" s="8">
        <v>3.5</v>
      </c>
      <c r="F42" s="8">
        <f t="shared" si="1"/>
        <v>11.479999999999999</v>
      </c>
      <c r="G42" s="136">
        <v>2005</v>
      </c>
      <c r="H42" s="159" t="s">
        <v>220</v>
      </c>
      <c r="I42" s="8" t="s">
        <v>221</v>
      </c>
      <c r="J42" s="168">
        <v>44438</v>
      </c>
      <c r="K42" s="169">
        <f t="shared" si="0"/>
        <v>16</v>
      </c>
      <c r="L42" s="8">
        <v>40</v>
      </c>
      <c r="M42" s="170">
        <v>0.1</v>
      </c>
      <c r="N42" s="8">
        <f t="shared" si="2"/>
        <v>2.2499999999999999E-2</v>
      </c>
      <c r="O42" s="171">
        <v>43.17</v>
      </c>
      <c r="P42" s="171">
        <f t="shared" si="3"/>
        <v>464.69051400000006</v>
      </c>
      <c r="Q42" s="172">
        <v>1250</v>
      </c>
      <c r="R42" s="173">
        <f t="shared" si="4"/>
        <v>580863.14250000007</v>
      </c>
      <c r="S42" s="174">
        <f t="shared" si="5"/>
        <v>209110.73130000001</v>
      </c>
      <c r="T42" s="174">
        <f t="shared" si="6"/>
        <v>371752.41120000009</v>
      </c>
      <c r="U42" s="165">
        <f t="shared" si="7"/>
        <v>315989.54952000006</v>
      </c>
      <c r="V42" s="166">
        <v>0.15</v>
      </c>
    </row>
    <row r="43" spans="3:22" s="167" customFormat="1" ht="30" x14ac:dyDescent="0.25">
      <c r="C43" s="8">
        <v>42</v>
      </c>
      <c r="D43" s="157" t="s">
        <v>260</v>
      </c>
      <c r="E43" s="8">
        <v>3.5</v>
      </c>
      <c r="F43" s="8">
        <f t="shared" si="1"/>
        <v>11.479999999999999</v>
      </c>
      <c r="G43" s="136">
        <v>2005</v>
      </c>
      <c r="H43" s="159" t="s">
        <v>248</v>
      </c>
      <c r="I43" s="8" t="s">
        <v>221</v>
      </c>
      <c r="J43" s="168">
        <v>44438</v>
      </c>
      <c r="K43" s="169">
        <f t="shared" si="0"/>
        <v>16</v>
      </c>
      <c r="L43" s="8">
        <v>30</v>
      </c>
      <c r="M43" s="170">
        <v>0.1</v>
      </c>
      <c r="N43" s="8">
        <f t="shared" si="2"/>
        <v>3.0000000000000002E-2</v>
      </c>
      <c r="O43" s="171">
        <v>259.35000000000002</v>
      </c>
      <c r="P43" s="171">
        <f t="shared" si="3"/>
        <v>2791.6952700000006</v>
      </c>
      <c r="Q43" s="172">
        <v>850</v>
      </c>
      <c r="R43" s="173">
        <f t="shared" si="4"/>
        <v>2372940.9795000004</v>
      </c>
      <c r="S43" s="174">
        <f t="shared" si="5"/>
        <v>1139011.6701600002</v>
      </c>
      <c r="T43" s="174">
        <f t="shared" si="6"/>
        <v>1233929.3093400002</v>
      </c>
      <c r="U43" s="165">
        <f t="shared" si="7"/>
        <v>1048839.9129390002</v>
      </c>
      <c r="V43" s="166">
        <v>0.15</v>
      </c>
    </row>
    <row r="44" spans="3:22" s="167" customFormat="1" ht="30" x14ac:dyDescent="0.25">
      <c r="C44" s="8">
        <v>43</v>
      </c>
      <c r="D44" s="157" t="s">
        <v>261</v>
      </c>
      <c r="E44" s="8">
        <v>5</v>
      </c>
      <c r="F44" s="8">
        <f t="shared" si="1"/>
        <v>16.399999999999999</v>
      </c>
      <c r="G44" s="136">
        <v>2005</v>
      </c>
      <c r="H44" s="159" t="s">
        <v>248</v>
      </c>
      <c r="I44" s="8" t="s">
        <v>221</v>
      </c>
      <c r="J44" s="168">
        <v>44438</v>
      </c>
      <c r="K44" s="169">
        <f t="shared" si="0"/>
        <v>16</v>
      </c>
      <c r="L44" s="8">
        <v>30</v>
      </c>
      <c r="M44" s="170">
        <v>0.1</v>
      </c>
      <c r="N44" s="8">
        <f t="shared" si="2"/>
        <v>3.0000000000000002E-2</v>
      </c>
      <c r="O44" s="171">
        <v>1329.65</v>
      </c>
      <c r="P44" s="171">
        <f t="shared" si="3"/>
        <v>14312.618530000002</v>
      </c>
      <c r="Q44" s="172">
        <v>850</v>
      </c>
      <c r="R44" s="173">
        <f t="shared" si="4"/>
        <v>12165725.750500001</v>
      </c>
      <c r="S44" s="174">
        <f t="shared" si="5"/>
        <v>5839548.3602400012</v>
      </c>
      <c r="T44" s="174">
        <f t="shared" si="6"/>
        <v>6326177.3902599998</v>
      </c>
      <c r="U44" s="165">
        <f t="shared" si="7"/>
        <v>5377250.7817209996</v>
      </c>
      <c r="V44" s="166">
        <v>0.15</v>
      </c>
    </row>
    <row r="45" spans="3:22" s="167" customFormat="1" ht="135" x14ac:dyDescent="0.25">
      <c r="C45" s="8">
        <v>44</v>
      </c>
      <c r="D45" s="157" t="s">
        <v>262</v>
      </c>
      <c r="E45" s="8">
        <v>5</v>
      </c>
      <c r="F45" s="8">
        <f t="shared" si="1"/>
        <v>16.399999999999999</v>
      </c>
      <c r="G45" s="136">
        <v>2005</v>
      </c>
      <c r="H45" s="159" t="s">
        <v>248</v>
      </c>
      <c r="I45" s="29" t="s">
        <v>375</v>
      </c>
      <c r="J45" s="168">
        <v>44438</v>
      </c>
      <c r="K45" s="169">
        <f t="shared" si="0"/>
        <v>16</v>
      </c>
      <c r="L45" s="8">
        <v>30</v>
      </c>
      <c r="M45" s="170">
        <v>0.1</v>
      </c>
      <c r="N45" s="8">
        <f t="shared" si="2"/>
        <v>3.0000000000000002E-2</v>
      </c>
      <c r="O45" s="171">
        <v>43.16</v>
      </c>
      <c r="P45" s="171">
        <f t="shared" si="3"/>
        <v>464.58287200000001</v>
      </c>
      <c r="Q45" s="172">
        <v>850</v>
      </c>
      <c r="R45" s="173">
        <f t="shared" si="4"/>
        <v>394895.4412</v>
      </c>
      <c r="S45" s="174">
        <f t="shared" si="5"/>
        <v>189549.81177600002</v>
      </c>
      <c r="T45" s="174">
        <f t="shared" si="6"/>
        <v>205345.62942399998</v>
      </c>
      <c r="U45" s="165">
        <f t="shared" si="7"/>
        <v>164276.5035392</v>
      </c>
      <c r="V45" s="166">
        <v>0.2</v>
      </c>
    </row>
    <row r="46" spans="3:22" s="167" customFormat="1" ht="30" x14ac:dyDescent="0.25">
      <c r="C46" s="8">
        <v>45</v>
      </c>
      <c r="D46" s="157" t="s">
        <v>263</v>
      </c>
      <c r="E46" s="8">
        <v>5</v>
      </c>
      <c r="F46" s="8">
        <f t="shared" si="1"/>
        <v>16.399999999999999</v>
      </c>
      <c r="G46" s="136">
        <v>2005</v>
      </c>
      <c r="H46" s="159" t="s">
        <v>248</v>
      </c>
      <c r="I46" s="8" t="s">
        <v>221</v>
      </c>
      <c r="J46" s="168">
        <v>44438</v>
      </c>
      <c r="K46" s="169">
        <f t="shared" si="0"/>
        <v>16</v>
      </c>
      <c r="L46" s="8">
        <v>30</v>
      </c>
      <c r="M46" s="170">
        <v>0.1</v>
      </c>
      <c r="N46" s="8">
        <f t="shared" si="2"/>
        <v>3.0000000000000002E-2</v>
      </c>
      <c r="O46" s="171">
        <v>1987.24</v>
      </c>
      <c r="P46" s="171">
        <f t="shared" si="3"/>
        <v>21391.048808000003</v>
      </c>
      <c r="Q46" s="172">
        <v>950</v>
      </c>
      <c r="R46" s="173">
        <f t="shared" si="4"/>
        <v>20321496.367600001</v>
      </c>
      <c r="S46" s="174">
        <f t="shared" si="5"/>
        <v>9754318.2564480007</v>
      </c>
      <c r="T46" s="174">
        <f t="shared" si="6"/>
        <v>10567178.111152001</v>
      </c>
      <c r="U46" s="165">
        <f t="shared" si="7"/>
        <v>8982101.3944792002</v>
      </c>
      <c r="V46" s="166">
        <v>0.15</v>
      </c>
    </row>
    <row r="47" spans="3:22" s="167" customFormat="1" ht="30" x14ac:dyDescent="0.25">
      <c r="C47" s="8">
        <v>46</v>
      </c>
      <c r="D47" s="157" t="s">
        <v>264</v>
      </c>
      <c r="E47" s="171">
        <v>9.1463414634146343</v>
      </c>
      <c r="F47" s="8">
        <f t="shared" si="1"/>
        <v>30</v>
      </c>
      <c r="G47" s="136">
        <v>2005</v>
      </c>
      <c r="H47" s="159" t="s">
        <v>248</v>
      </c>
      <c r="I47" s="8" t="s">
        <v>221</v>
      </c>
      <c r="J47" s="168">
        <v>44438</v>
      </c>
      <c r="K47" s="169">
        <f t="shared" si="0"/>
        <v>16</v>
      </c>
      <c r="L47" s="8">
        <v>30</v>
      </c>
      <c r="M47" s="170">
        <v>0.1</v>
      </c>
      <c r="N47" s="8">
        <f t="shared" si="2"/>
        <v>3.0000000000000002E-2</v>
      </c>
      <c r="O47" s="171">
        <v>64.8</v>
      </c>
      <c r="P47" s="171">
        <f t="shared" si="3"/>
        <v>697.52016000000003</v>
      </c>
      <c r="Q47" s="172">
        <v>950</v>
      </c>
      <c r="R47" s="173">
        <f t="shared" si="4"/>
        <v>662644.152</v>
      </c>
      <c r="S47" s="174">
        <f t="shared" si="5"/>
        <v>318069.19296000001</v>
      </c>
      <c r="T47" s="174">
        <f t="shared" si="6"/>
        <v>344574.95903999999</v>
      </c>
      <c r="U47" s="165">
        <f t="shared" si="7"/>
        <v>292888.71518399997</v>
      </c>
      <c r="V47" s="166">
        <v>0.15</v>
      </c>
    </row>
    <row r="48" spans="3:22" s="167" customFormat="1" ht="30" x14ac:dyDescent="0.25">
      <c r="C48" s="8">
        <v>47</v>
      </c>
      <c r="D48" s="157" t="s">
        <v>265</v>
      </c>
      <c r="E48" s="171">
        <v>9.1463414634146343</v>
      </c>
      <c r="F48" s="8">
        <f t="shared" si="1"/>
        <v>30</v>
      </c>
      <c r="G48" s="136">
        <v>2005</v>
      </c>
      <c r="H48" s="159" t="s">
        <v>248</v>
      </c>
      <c r="I48" s="8" t="s">
        <v>221</v>
      </c>
      <c r="J48" s="168">
        <v>44438</v>
      </c>
      <c r="K48" s="169">
        <f t="shared" si="0"/>
        <v>16</v>
      </c>
      <c r="L48" s="8">
        <v>30</v>
      </c>
      <c r="M48" s="170">
        <v>0.1</v>
      </c>
      <c r="N48" s="8">
        <f t="shared" si="2"/>
        <v>3.0000000000000002E-2</v>
      </c>
      <c r="O48" s="171">
        <v>75</v>
      </c>
      <c r="P48" s="171">
        <f t="shared" si="3"/>
        <v>807.31500000000005</v>
      </c>
      <c r="Q48" s="172">
        <v>950</v>
      </c>
      <c r="R48" s="173">
        <f t="shared" si="4"/>
        <v>766949.25</v>
      </c>
      <c r="S48" s="174">
        <f t="shared" si="5"/>
        <v>368135.64</v>
      </c>
      <c r="T48" s="174">
        <f t="shared" si="6"/>
        <v>398813.61</v>
      </c>
      <c r="U48" s="165">
        <f t="shared" si="7"/>
        <v>338991.56849999999</v>
      </c>
      <c r="V48" s="166">
        <v>0.15</v>
      </c>
    </row>
    <row r="49" spans="3:22" s="167" customFormat="1" x14ac:dyDescent="0.25">
      <c r="C49" s="269" t="s">
        <v>266</v>
      </c>
      <c r="D49" s="270"/>
      <c r="E49" s="270"/>
      <c r="F49" s="270"/>
      <c r="G49" s="270"/>
      <c r="H49" s="270"/>
      <c r="I49" s="270"/>
      <c r="J49" s="270"/>
      <c r="K49" s="270"/>
      <c r="L49" s="270"/>
      <c r="M49" s="270"/>
      <c r="N49" s="271"/>
      <c r="O49" s="17">
        <f>SUM(O7:O48)</f>
        <v>21515.809999999994</v>
      </c>
      <c r="P49" s="177">
        <f>SUM(P7:P48)</f>
        <v>231253.35990517068</v>
      </c>
      <c r="Q49" s="178"/>
      <c r="R49" s="179">
        <f>SUM(R7:R48)</f>
        <v>247849078.02856579</v>
      </c>
      <c r="S49" s="180">
        <f>SUM(S7:S48)</f>
        <v>106720440.85498273</v>
      </c>
      <c r="T49" s="180">
        <f t="shared" ref="T49:U49" si="8">SUM(T7:T48)</f>
        <v>141128637.17358312</v>
      </c>
      <c r="U49" s="180">
        <f t="shared" si="8"/>
        <v>117324036.39689803</v>
      </c>
      <c r="V49" s="166"/>
    </row>
    <row r="50" spans="3:22" s="167" customFormat="1" x14ac:dyDescent="0.25">
      <c r="C50" s="272"/>
      <c r="D50" s="273"/>
      <c r="E50" s="273"/>
      <c r="F50" s="273"/>
      <c r="G50" s="273"/>
      <c r="H50" s="273"/>
      <c r="I50" s="273"/>
      <c r="J50" s="273"/>
      <c r="K50" s="273"/>
      <c r="L50" s="273"/>
      <c r="M50" s="273"/>
      <c r="N50" s="273"/>
      <c r="O50" s="273"/>
      <c r="P50" s="273"/>
      <c r="Q50" s="273"/>
      <c r="R50" s="273"/>
      <c r="S50" s="273"/>
      <c r="T50" s="273"/>
      <c r="U50" s="274"/>
      <c r="V50" s="166"/>
    </row>
    <row r="51" spans="3:22" s="167" customFormat="1" ht="15" customHeight="1" x14ac:dyDescent="0.25">
      <c r="C51" s="275" t="s">
        <v>267</v>
      </c>
      <c r="D51" s="276"/>
      <c r="E51" s="276"/>
      <c r="F51" s="276"/>
      <c r="G51" s="276"/>
      <c r="H51" s="276"/>
      <c r="I51" s="276"/>
      <c r="J51" s="276"/>
      <c r="K51" s="276"/>
      <c r="L51" s="276"/>
      <c r="M51" s="276"/>
      <c r="N51" s="276"/>
      <c r="O51" s="276"/>
      <c r="P51" s="276"/>
      <c r="Q51" s="276"/>
      <c r="R51" s="276"/>
      <c r="S51" s="276"/>
      <c r="T51" s="276"/>
      <c r="U51" s="277"/>
      <c r="V51" s="166"/>
    </row>
    <row r="52" spans="3:22" s="167" customFormat="1" ht="15" customHeight="1" x14ac:dyDescent="0.25">
      <c r="C52" s="278" t="s">
        <v>268</v>
      </c>
      <c r="D52" s="279"/>
      <c r="E52" s="279"/>
      <c r="F52" s="279"/>
      <c r="G52" s="279"/>
      <c r="H52" s="279"/>
      <c r="I52" s="279"/>
      <c r="J52" s="279"/>
      <c r="K52" s="279"/>
      <c r="L52" s="279"/>
      <c r="M52" s="279"/>
      <c r="N52" s="279"/>
      <c r="O52" s="279"/>
      <c r="P52" s="279"/>
      <c r="Q52" s="279"/>
      <c r="R52" s="279"/>
      <c r="S52" s="279"/>
      <c r="T52" s="279"/>
      <c r="U52" s="280"/>
      <c r="V52" s="166"/>
    </row>
    <row r="53" spans="3:22" s="167" customFormat="1" ht="135" x14ac:dyDescent="0.25">
      <c r="C53" s="8">
        <v>51</v>
      </c>
      <c r="D53" s="157" t="s">
        <v>269</v>
      </c>
      <c r="E53" s="157">
        <v>12.2</v>
      </c>
      <c r="F53" s="8">
        <f t="shared" ref="F53" si="9">E53*3.28</f>
        <v>40.015999999999998</v>
      </c>
      <c r="G53" s="181">
        <v>2005</v>
      </c>
      <c r="H53" s="159" t="s">
        <v>248</v>
      </c>
      <c r="I53" s="29" t="s">
        <v>375</v>
      </c>
      <c r="J53" s="168">
        <v>44438</v>
      </c>
      <c r="K53" s="169">
        <f>YEAR(J53)-G53</f>
        <v>16</v>
      </c>
      <c r="L53" s="8">
        <v>30</v>
      </c>
      <c r="M53" s="170">
        <v>0.1</v>
      </c>
      <c r="N53" s="8">
        <f t="shared" ref="N53" si="10">(1-M53)/L53</f>
        <v>3.0000000000000002E-2</v>
      </c>
      <c r="O53" s="182">
        <v>37130.25</v>
      </c>
      <c r="P53" s="171">
        <f t="shared" ref="P53" si="11">O53*10.7642</f>
        <v>399677.43705000001</v>
      </c>
      <c r="Q53" s="172">
        <v>1050</v>
      </c>
      <c r="R53" s="173">
        <f t="shared" ref="R53:R61" si="12">Q53*P53</f>
        <v>419661308.90250003</v>
      </c>
      <c r="S53" s="174">
        <f t="shared" ref="S53" si="13">R53*N53*K53</f>
        <v>201437428.27320004</v>
      </c>
      <c r="T53" s="174">
        <f t="shared" ref="T53" si="14">MAX(R53-S53,0)</f>
        <v>218223880.6293</v>
      </c>
      <c r="U53" s="165">
        <f t="shared" si="7"/>
        <v>174579104.50344002</v>
      </c>
      <c r="V53" s="166">
        <v>0.2</v>
      </c>
    </row>
    <row r="54" spans="3:22" s="167" customFormat="1" x14ac:dyDescent="0.25">
      <c r="C54" s="272"/>
      <c r="D54" s="273"/>
      <c r="E54" s="273"/>
      <c r="F54" s="273"/>
      <c r="G54" s="273"/>
      <c r="H54" s="273"/>
      <c r="I54" s="273"/>
      <c r="J54" s="273"/>
      <c r="K54" s="273"/>
      <c r="L54" s="273"/>
      <c r="M54" s="273"/>
      <c r="N54" s="273"/>
      <c r="O54" s="273"/>
      <c r="P54" s="273"/>
      <c r="Q54" s="273"/>
      <c r="R54" s="273"/>
      <c r="S54" s="273"/>
      <c r="T54" s="273"/>
      <c r="U54" s="274"/>
      <c r="V54" s="166"/>
    </row>
    <row r="55" spans="3:22" s="167" customFormat="1" ht="15" customHeight="1" x14ac:dyDescent="0.25">
      <c r="C55" s="278" t="s">
        <v>270</v>
      </c>
      <c r="D55" s="279"/>
      <c r="E55" s="279"/>
      <c r="F55" s="279"/>
      <c r="G55" s="279"/>
      <c r="H55" s="279"/>
      <c r="I55" s="279"/>
      <c r="J55" s="279"/>
      <c r="K55" s="279"/>
      <c r="L55" s="279"/>
      <c r="M55" s="279"/>
      <c r="N55" s="279"/>
      <c r="O55" s="279"/>
      <c r="P55" s="279"/>
      <c r="Q55" s="279"/>
      <c r="R55" s="279"/>
      <c r="S55" s="279"/>
      <c r="T55" s="279"/>
      <c r="U55" s="280"/>
      <c r="V55" s="166"/>
    </row>
    <row r="56" spans="3:22" s="167" customFormat="1" x14ac:dyDescent="0.25">
      <c r="C56" s="8">
        <v>53</v>
      </c>
      <c r="D56" s="157" t="s">
        <v>271</v>
      </c>
      <c r="E56" s="157">
        <v>3.5</v>
      </c>
      <c r="F56" s="8">
        <f t="shared" ref="F56:F61" si="15">E56*3.28</f>
        <v>11.479999999999999</v>
      </c>
      <c r="G56" s="181">
        <v>2005</v>
      </c>
      <c r="H56" s="183" t="s">
        <v>220</v>
      </c>
      <c r="I56" s="8" t="s">
        <v>221</v>
      </c>
      <c r="J56" s="168">
        <v>44438</v>
      </c>
      <c r="K56" s="169">
        <f t="shared" ref="K56:K61" si="16">YEAR(J56)-G56</f>
        <v>16</v>
      </c>
      <c r="L56" s="8">
        <v>40</v>
      </c>
      <c r="M56" s="170">
        <v>0.1</v>
      </c>
      <c r="N56" s="8">
        <f t="shared" ref="N56:N61" si="17">(1-M56)/L56</f>
        <v>2.2499999999999999E-2</v>
      </c>
      <c r="O56" s="8">
        <v>405.52</v>
      </c>
      <c r="P56" s="171">
        <f t="shared" ref="P56:P61" si="18">O56*10.7642</f>
        <v>4365.0983839999999</v>
      </c>
      <c r="Q56" s="172">
        <v>1250</v>
      </c>
      <c r="R56" s="173">
        <f t="shared" si="12"/>
        <v>5456372.9799999995</v>
      </c>
      <c r="S56" s="174">
        <f t="shared" ref="S56:S61" si="19">R56*N56*K56</f>
        <v>1964294.2727999997</v>
      </c>
      <c r="T56" s="174">
        <f t="shared" ref="T56:T61" si="20">MAX(R56-S56,0)</f>
        <v>3492078.7072000001</v>
      </c>
      <c r="U56" s="165">
        <f t="shared" si="7"/>
        <v>2968266.9011200001</v>
      </c>
      <c r="V56" s="166">
        <v>0.15</v>
      </c>
    </row>
    <row r="57" spans="3:22" s="167" customFormat="1" x14ac:dyDescent="0.25">
      <c r="C57" s="8">
        <v>54</v>
      </c>
      <c r="D57" s="157" t="s">
        <v>272</v>
      </c>
      <c r="E57" s="157">
        <v>3.5</v>
      </c>
      <c r="F57" s="8">
        <f t="shared" si="15"/>
        <v>11.479999999999999</v>
      </c>
      <c r="G57" s="181">
        <v>2005</v>
      </c>
      <c r="H57" s="183" t="s">
        <v>220</v>
      </c>
      <c r="I57" s="8" t="s">
        <v>221</v>
      </c>
      <c r="J57" s="168">
        <v>44438</v>
      </c>
      <c r="K57" s="169">
        <f t="shared" si="16"/>
        <v>16</v>
      </c>
      <c r="L57" s="8">
        <v>40</v>
      </c>
      <c r="M57" s="170">
        <v>0.1</v>
      </c>
      <c r="N57" s="8">
        <f t="shared" si="17"/>
        <v>2.2499999999999999E-2</v>
      </c>
      <c r="O57" s="8">
        <v>667.2</v>
      </c>
      <c r="P57" s="171">
        <f t="shared" si="18"/>
        <v>7181.874240000001</v>
      </c>
      <c r="Q57" s="172">
        <v>1250</v>
      </c>
      <c r="R57" s="173">
        <f t="shared" si="12"/>
        <v>8977342.8000000007</v>
      </c>
      <c r="S57" s="174">
        <f t="shared" si="19"/>
        <v>3231843.4080000003</v>
      </c>
      <c r="T57" s="174">
        <f t="shared" si="20"/>
        <v>5745499.3920000009</v>
      </c>
      <c r="U57" s="165">
        <f t="shared" si="7"/>
        <v>4883674.4832000006</v>
      </c>
      <c r="V57" s="166">
        <v>0.15</v>
      </c>
    </row>
    <row r="58" spans="3:22" s="167" customFormat="1" x14ac:dyDescent="0.25">
      <c r="C58" s="8">
        <v>55</v>
      </c>
      <c r="D58" s="157" t="s">
        <v>273</v>
      </c>
      <c r="E58" s="157">
        <v>3.5</v>
      </c>
      <c r="F58" s="8">
        <f t="shared" si="15"/>
        <v>11.479999999999999</v>
      </c>
      <c r="G58" s="181">
        <v>2005</v>
      </c>
      <c r="H58" s="183" t="s">
        <v>220</v>
      </c>
      <c r="I58" s="8" t="s">
        <v>221</v>
      </c>
      <c r="J58" s="168">
        <v>44438</v>
      </c>
      <c r="K58" s="169">
        <f t="shared" si="16"/>
        <v>16</v>
      </c>
      <c r="L58" s="8">
        <v>40</v>
      </c>
      <c r="M58" s="170">
        <v>0.1</v>
      </c>
      <c r="N58" s="8">
        <f t="shared" si="17"/>
        <v>2.2499999999999999E-2</v>
      </c>
      <c r="O58" s="8">
        <v>77.69</v>
      </c>
      <c r="P58" s="171">
        <f t="shared" si="18"/>
        <v>836.27069800000004</v>
      </c>
      <c r="Q58" s="172">
        <v>1250</v>
      </c>
      <c r="R58" s="173">
        <f t="shared" si="12"/>
        <v>1045338.3725000001</v>
      </c>
      <c r="S58" s="174">
        <f t="shared" si="19"/>
        <v>376321.81410000002</v>
      </c>
      <c r="T58" s="174">
        <f t="shared" si="20"/>
        <v>669016.55839999998</v>
      </c>
      <c r="U58" s="165">
        <f t="shared" si="7"/>
        <v>568664.07464000001</v>
      </c>
      <c r="V58" s="166">
        <v>0.15</v>
      </c>
    </row>
    <row r="59" spans="3:22" s="167" customFormat="1" ht="135" x14ac:dyDescent="0.25">
      <c r="C59" s="8">
        <v>56</v>
      </c>
      <c r="D59" s="157" t="s">
        <v>274</v>
      </c>
      <c r="E59" s="157">
        <v>3.5</v>
      </c>
      <c r="F59" s="8">
        <f t="shared" si="15"/>
        <v>11.479999999999999</v>
      </c>
      <c r="G59" s="181">
        <v>2005</v>
      </c>
      <c r="H59" s="183" t="s">
        <v>220</v>
      </c>
      <c r="I59" s="29" t="s">
        <v>375</v>
      </c>
      <c r="J59" s="168">
        <v>44438</v>
      </c>
      <c r="K59" s="169">
        <f t="shared" si="16"/>
        <v>16</v>
      </c>
      <c r="L59" s="8">
        <v>40</v>
      </c>
      <c r="M59" s="170">
        <v>0.1</v>
      </c>
      <c r="N59" s="8">
        <f t="shared" si="17"/>
        <v>2.2499999999999999E-2</v>
      </c>
      <c r="O59" s="8">
        <v>646.07000000000005</v>
      </c>
      <c r="P59" s="171">
        <f t="shared" si="18"/>
        <v>6954.4266940000007</v>
      </c>
      <c r="Q59" s="172">
        <v>1250</v>
      </c>
      <c r="R59" s="173">
        <f t="shared" si="12"/>
        <v>8693033.3675000016</v>
      </c>
      <c r="S59" s="174">
        <f t="shared" si="19"/>
        <v>3129492.0123000005</v>
      </c>
      <c r="T59" s="174">
        <f t="shared" si="20"/>
        <v>5563541.355200001</v>
      </c>
      <c r="U59" s="165">
        <f t="shared" si="7"/>
        <v>4172656.016400001</v>
      </c>
      <c r="V59" s="166">
        <v>0.25</v>
      </c>
    </row>
    <row r="60" spans="3:22" s="167" customFormat="1" ht="30" x14ac:dyDescent="0.25">
      <c r="C60" s="8">
        <v>57</v>
      </c>
      <c r="D60" s="157" t="s">
        <v>275</v>
      </c>
      <c r="E60" s="157">
        <v>3.5</v>
      </c>
      <c r="F60" s="8">
        <f t="shared" si="15"/>
        <v>11.479999999999999</v>
      </c>
      <c r="G60" s="181">
        <v>2005</v>
      </c>
      <c r="H60" s="183" t="s">
        <v>220</v>
      </c>
      <c r="I60" s="8" t="s">
        <v>221</v>
      </c>
      <c r="J60" s="168">
        <v>44438</v>
      </c>
      <c r="K60" s="169">
        <f t="shared" si="16"/>
        <v>16</v>
      </c>
      <c r="L60" s="8">
        <v>40</v>
      </c>
      <c r="M60" s="170">
        <v>0.1</v>
      </c>
      <c r="N60" s="8">
        <f t="shared" si="17"/>
        <v>2.2499999999999999E-2</v>
      </c>
      <c r="O60" s="8">
        <v>35.65</v>
      </c>
      <c r="P60" s="171">
        <f t="shared" si="18"/>
        <v>383.74373000000003</v>
      </c>
      <c r="Q60" s="172">
        <v>1250</v>
      </c>
      <c r="R60" s="173">
        <f t="shared" si="12"/>
        <v>479679.66250000003</v>
      </c>
      <c r="S60" s="174">
        <f t="shared" si="19"/>
        <v>172684.67850000001</v>
      </c>
      <c r="T60" s="174">
        <f t="shared" si="20"/>
        <v>306994.98400000005</v>
      </c>
      <c r="U60" s="165">
        <f t="shared" si="7"/>
        <v>260945.73640000005</v>
      </c>
      <c r="V60" s="166">
        <v>0.15</v>
      </c>
    </row>
    <row r="61" spans="3:22" s="167" customFormat="1" ht="135" x14ac:dyDescent="0.25">
      <c r="C61" s="8">
        <v>58</v>
      </c>
      <c r="D61" s="157" t="s">
        <v>276</v>
      </c>
      <c r="E61" s="157">
        <v>3.5</v>
      </c>
      <c r="F61" s="8">
        <f t="shared" si="15"/>
        <v>11.479999999999999</v>
      </c>
      <c r="G61" s="181">
        <v>2005</v>
      </c>
      <c r="H61" s="183" t="s">
        <v>220</v>
      </c>
      <c r="I61" s="29" t="s">
        <v>375</v>
      </c>
      <c r="J61" s="168">
        <v>44438</v>
      </c>
      <c r="K61" s="169">
        <f t="shared" si="16"/>
        <v>16</v>
      </c>
      <c r="L61" s="8">
        <v>40</v>
      </c>
      <c r="M61" s="170">
        <v>0.1</v>
      </c>
      <c r="N61" s="8">
        <f t="shared" si="17"/>
        <v>2.2499999999999999E-2</v>
      </c>
      <c r="O61" s="8">
        <v>111.44</v>
      </c>
      <c r="P61" s="171">
        <f t="shared" si="18"/>
        <v>1199.5624480000001</v>
      </c>
      <c r="Q61" s="172">
        <v>1250</v>
      </c>
      <c r="R61" s="173">
        <f t="shared" si="12"/>
        <v>1499453.06</v>
      </c>
      <c r="S61" s="174">
        <f t="shared" si="19"/>
        <v>539803.10160000005</v>
      </c>
      <c r="T61" s="174">
        <f t="shared" si="20"/>
        <v>959649.9584</v>
      </c>
      <c r="U61" s="165">
        <f t="shared" si="7"/>
        <v>719737.46880000003</v>
      </c>
      <c r="V61" s="166">
        <v>0.25</v>
      </c>
    </row>
    <row r="62" spans="3:22" s="167" customFormat="1" x14ac:dyDescent="0.25">
      <c r="C62" s="281" t="s">
        <v>277</v>
      </c>
      <c r="D62" s="281"/>
      <c r="E62" s="281"/>
      <c r="F62" s="281"/>
      <c r="G62" s="281"/>
      <c r="H62" s="281"/>
      <c r="I62" s="281"/>
      <c r="J62" s="281"/>
      <c r="K62" s="281"/>
      <c r="L62" s="281"/>
      <c r="M62" s="281"/>
      <c r="N62" s="281"/>
      <c r="O62" s="184">
        <f>SUM(O53:O61)</f>
        <v>39073.82</v>
      </c>
      <c r="P62" s="184">
        <f>SUM(P53:P61)</f>
        <v>420598.413244</v>
      </c>
      <c r="Q62" s="185"/>
      <c r="R62" s="179">
        <f t="shared" ref="R62:U62" si="21">SUM(R53:R61)</f>
        <v>445812529.1450001</v>
      </c>
      <c r="S62" s="179">
        <f t="shared" si="21"/>
        <v>210851867.56050003</v>
      </c>
      <c r="T62" s="179">
        <f t="shared" si="21"/>
        <v>234960661.58449998</v>
      </c>
      <c r="U62" s="179">
        <f t="shared" si="21"/>
        <v>188153049.18400007</v>
      </c>
    </row>
    <row r="63" spans="3:22" s="167" customFormat="1" x14ac:dyDescent="0.25">
      <c r="C63" s="282"/>
      <c r="D63" s="282"/>
      <c r="E63" s="282"/>
      <c r="F63" s="282"/>
      <c r="G63" s="282"/>
      <c r="H63" s="282"/>
      <c r="I63" s="282"/>
      <c r="J63" s="282"/>
      <c r="K63" s="282"/>
      <c r="L63" s="282"/>
      <c r="M63" s="282"/>
      <c r="N63" s="282"/>
      <c r="O63" s="282"/>
      <c r="P63" s="282"/>
      <c r="Q63" s="282"/>
      <c r="R63" s="282"/>
      <c r="S63" s="282"/>
      <c r="T63" s="282"/>
      <c r="U63" s="282"/>
    </row>
    <row r="64" spans="3:22" s="167" customFormat="1" x14ac:dyDescent="0.25">
      <c r="C64" s="283" t="s">
        <v>278</v>
      </c>
      <c r="D64" s="283"/>
      <c r="E64" s="283"/>
      <c r="F64" s="283"/>
      <c r="G64" s="283"/>
      <c r="H64" s="283"/>
      <c r="I64" s="283"/>
      <c r="J64" s="283"/>
      <c r="K64" s="283"/>
      <c r="L64" s="283"/>
      <c r="M64" s="283"/>
      <c r="N64" s="283"/>
      <c r="O64" s="184">
        <f>SUM(O49,O62)</f>
        <v>60589.62999999999</v>
      </c>
      <c r="P64" s="184">
        <f>SUM(P49,P62)</f>
        <v>651851.77314917068</v>
      </c>
      <c r="Q64" s="9"/>
      <c r="R64" s="179">
        <f>R62+R49</f>
        <v>693661607.17356586</v>
      </c>
      <c r="S64" s="179">
        <f t="shared" ref="S64:U64" si="22">S62+S49</f>
        <v>317572308.41548276</v>
      </c>
      <c r="T64" s="179">
        <f t="shared" si="22"/>
        <v>376089298.75808311</v>
      </c>
      <c r="U64" s="179">
        <f t="shared" si="22"/>
        <v>305477085.58089811</v>
      </c>
    </row>
  </sheetData>
  <autoFilter ref="C6:Y49"/>
  <mergeCells count="10">
    <mergeCell ref="C54:U54"/>
    <mergeCell ref="C55:U55"/>
    <mergeCell ref="C62:N62"/>
    <mergeCell ref="C63:U63"/>
    <mergeCell ref="C64:N64"/>
    <mergeCell ref="C5:U5"/>
    <mergeCell ref="C49:N49"/>
    <mergeCell ref="C50:U50"/>
    <mergeCell ref="C51:U51"/>
    <mergeCell ref="C52:U52"/>
  </mergeCells>
  <pageMargins left="0.23622047244094491" right="0.23622047244094491" top="0.74803149606299213" bottom="0.74803149606299213" header="0.31496062992125984" footer="0.31496062992125984"/>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5:X33"/>
  <sheetViews>
    <sheetView topLeftCell="J24" workbookViewId="0">
      <selection activeCell="Q38" sqref="Q38"/>
    </sheetView>
  </sheetViews>
  <sheetFormatPr defaultRowHeight="15" x14ac:dyDescent="0.25"/>
  <cols>
    <col min="3" max="3" width="8" customWidth="1"/>
    <col min="4" max="4" width="27.140625" customWidth="1"/>
    <col min="5" max="5" width="9.5703125" style="151" customWidth="1"/>
    <col min="7" max="7" width="10.42578125" customWidth="1"/>
    <col min="8" max="8" width="13.140625" style="6" customWidth="1"/>
    <col min="9" max="9" width="16.7109375" customWidth="1"/>
    <col min="10" max="10" width="12.140625" customWidth="1"/>
    <col min="11" max="11" width="10.42578125" customWidth="1"/>
    <col min="12" max="12" width="9.28515625" customWidth="1"/>
    <col min="13" max="13" width="9.140625" customWidth="1"/>
    <col min="14" max="14" width="12.5703125" style="151" customWidth="1"/>
    <col min="15" max="15" width="14" style="6" customWidth="1"/>
    <col min="16" max="16" width="12.7109375" customWidth="1"/>
    <col min="17" max="17" width="17.140625" customWidth="1"/>
    <col min="18" max="18" width="20.85546875" style="6" customWidth="1"/>
    <col min="19" max="19" width="20.140625" customWidth="1"/>
    <col min="20" max="20" width="24.140625" customWidth="1"/>
    <col min="21" max="21" width="27" customWidth="1"/>
  </cols>
  <sheetData>
    <row r="5" spans="3:24" s="152" customFormat="1" ht="21" customHeight="1" x14ac:dyDescent="0.25">
      <c r="C5" s="267" t="s">
        <v>387</v>
      </c>
      <c r="D5" s="268"/>
      <c r="E5" s="268"/>
      <c r="F5" s="268"/>
      <c r="G5" s="268"/>
      <c r="H5" s="268"/>
      <c r="I5" s="268"/>
      <c r="J5" s="268"/>
      <c r="K5" s="268"/>
      <c r="L5" s="268"/>
      <c r="M5" s="268"/>
      <c r="N5" s="268"/>
      <c r="O5" s="268"/>
      <c r="P5" s="268"/>
      <c r="Q5" s="268"/>
      <c r="R5" s="268"/>
      <c r="S5" s="268"/>
      <c r="T5" s="268"/>
      <c r="U5" s="268"/>
      <c r="X5" s="153"/>
    </row>
    <row r="6" spans="3:24" s="154" customFormat="1" ht="57" customHeight="1" x14ac:dyDescent="0.25">
      <c r="C6" s="2" t="s">
        <v>205</v>
      </c>
      <c r="D6" s="2" t="s">
        <v>206</v>
      </c>
      <c r="E6" s="2" t="s">
        <v>207</v>
      </c>
      <c r="F6" s="2" t="s">
        <v>208</v>
      </c>
      <c r="G6" s="2" t="s">
        <v>209</v>
      </c>
      <c r="H6" s="2" t="s">
        <v>210</v>
      </c>
      <c r="I6" s="2" t="s">
        <v>211</v>
      </c>
      <c r="J6" s="2" t="s">
        <v>5</v>
      </c>
      <c r="K6" s="2" t="s">
        <v>212</v>
      </c>
      <c r="L6" s="2" t="s">
        <v>213</v>
      </c>
      <c r="M6" s="2" t="s">
        <v>22</v>
      </c>
      <c r="N6" s="2" t="s">
        <v>7</v>
      </c>
      <c r="O6" s="2" t="s">
        <v>214</v>
      </c>
      <c r="P6" s="2" t="s">
        <v>215</v>
      </c>
      <c r="Q6" s="2" t="s">
        <v>216</v>
      </c>
      <c r="R6" s="2" t="s">
        <v>217</v>
      </c>
      <c r="S6" s="2" t="s">
        <v>10</v>
      </c>
      <c r="T6" s="2" t="s">
        <v>23</v>
      </c>
      <c r="U6" s="2" t="s">
        <v>218</v>
      </c>
      <c r="V6" s="155"/>
      <c r="X6" s="156"/>
    </row>
    <row r="7" spans="3:24" x14ac:dyDescent="0.25">
      <c r="C7" s="150">
        <v>1</v>
      </c>
      <c r="D7" s="157" t="s">
        <v>285</v>
      </c>
      <c r="E7" s="175" t="s">
        <v>239</v>
      </c>
      <c r="F7" s="8">
        <f>3.5*3.28</f>
        <v>11.479999999999999</v>
      </c>
      <c r="G7" s="158">
        <v>2006</v>
      </c>
      <c r="H7" s="159" t="s">
        <v>220</v>
      </c>
      <c r="I7" s="150" t="s">
        <v>221</v>
      </c>
      <c r="J7" s="160">
        <v>44438</v>
      </c>
      <c r="K7" s="161">
        <f t="shared" ref="K7:K22" si="0">YEAR(J7)-G7</f>
        <v>15</v>
      </c>
      <c r="L7" s="150">
        <v>40</v>
      </c>
      <c r="M7" s="162">
        <v>0.1</v>
      </c>
      <c r="N7" s="150">
        <f>(1-M7)/L7</f>
        <v>2.2499999999999999E-2</v>
      </c>
      <c r="O7" s="35">
        <f>P7/10.7642</f>
        <v>608.33224949369207</v>
      </c>
      <c r="P7" s="35">
        <v>6548.21</v>
      </c>
      <c r="Q7" s="163">
        <v>1350</v>
      </c>
      <c r="R7" s="164">
        <f>Q7*P7</f>
        <v>8840083.5</v>
      </c>
      <c r="S7" s="165">
        <f>R7*N7*K7</f>
        <v>2983528.1812499999</v>
      </c>
      <c r="T7" s="165">
        <f>MAX(R7-S7,0)</f>
        <v>5856555.3187499996</v>
      </c>
      <c r="U7" s="165">
        <f>IF(T7&gt;=R7*M7,T7*(1-V7),R7*M7)</f>
        <v>4978072.0209374996</v>
      </c>
      <c r="V7" s="166">
        <v>0.15</v>
      </c>
    </row>
    <row r="8" spans="3:24" x14ac:dyDescent="0.25">
      <c r="C8" s="150">
        <v>2</v>
      </c>
      <c r="D8" s="157" t="s">
        <v>286</v>
      </c>
      <c r="E8" s="176">
        <v>3.5</v>
      </c>
      <c r="F8" s="150">
        <f t="shared" ref="F8:F30" si="1">E8*3.28</f>
        <v>11.479999999999999</v>
      </c>
      <c r="G8" s="158">
        <v>2006</v>
      </c>
      <c r="H8" s="159" t="s">
        <v>220</v>
      </c>
      <c r="I8" s="150" t="s">
        <v>221</v>
      </c>
      <c r="J8" s="160">
        <v>44438</v>
      </c>
      <c r="K8" s="161">
        <f t="shared" si="0"/>
        <v>15</v>
      </c>
      <c r="L8" s="150">
        <v>40</v>
      </c>
      <c r="M8" s="162">
        <v>0.1</v>
      </c>
      <c r="N8" s="150">
        <f t="shared" ref="N8:N28" si="2">(1-M8)/L8</f>
        <v>2.2499999999999999E-2</v>
      </c>
      <c r="O8" s="35">
        <f t="shared" ref="O8:O22" si="3">P8/10.7642</f>
        <v>1655.3538581594546</v>
      </c>
      <c r="P8" s="35">
        <v>17818.560000000001</v>
      </c>
      <c r="Q8" s="163">
        <v>1350</v>
      </c>
      <c r="R8" s="164">
        <f t="shared" ref="R8:R30" si="4">Q8*P8</f>
        <v>24055056</v>
      </c>
      <c r="S8" s="165">
        <f t="shared" ref="S8:S30" si="5">R8*N8*K8</f>
        <v>8118581.4000000004</v>
      </c>
      <c r="T8" s="165">
        <f t="shared" ref="T8:T30" si="6">MAX(R8-S8,0)</f>
        <v>15936474.6</v>
      </c>
      <c r="U8" s="165">
        <f>IF(T8&gt;=R8*M8,T8*(1-V8),R8*M8)</f>
        <v>13546003.41</v>
      </c>
      <c r="V8" s="166">
        <v>0.15</v>
      </c>
    </row>
    <row r="9" spans="3:24" x14ac:dyDescent="0.25">
      <c r="C9" s="150">
        <v>3</v>
      </c>
      <c r="D9" s="157" t="s">
        <v>287</v>
      </c>
      <c r="E9" s="176">
        <v>3.5</v>
      </c>
      <c r="F9" s="150">
        <f t="shared" si="1"/>
        <v>11.479999999999999</v>
      </c>
      <c r="G9" s="158">
        <v>2006</v>
      </c>
      <c r="H9" s="159" t="s">
        <v>220</v>
      </c>
      <c r="I9" s="150" t="s">
        <v>221</v>
      </c>
      <c r="J9" s="160">
        <v>44438</v>
      </c>
      <c r="K9" s="161">
        <f t="shared" si="0"/>
        <v>15</v>
      </c>
      <c r="L9" s="150">
        <v>40</v>
      </c>
      <c r="M9" s="162">
        <v>0.1</v>
      </c>
      <c r="N9" s="150">
        <f t="shared" si="2"/>
        <v>2.2499999999999999E-2</v>
      </c>
      <c r="O9" s="35">
        <f t="shared" si="3"/>
        <v>405.74125341409479</v>
      </c>
      <c r="P9" s="35">
        <v>4367.4799999999996</v>
      </c>
      <c r="Q9" s="163">
        <v>1350</v>
      </c>
      <c r="R9" s="164">
        <f t="shared" si="4"/>
        <v>5896097.9999999991</v>
      </c>
      <c r="S9" s="165">
        <f t="shared" si="5"/>
        <v>1989933.0749999997</v>
      </c>
      <c r="T9" s="165">
        <f t="shared" si="6"/>
        <v>3906164.9249999993</v>
      </c>
      <c r="U9" s="165">
        <f>IF(T9&gt;=R9*M9,T9*(1-V9),R9*M9)</f>
        <v>3320240.1862499993</v>
      </c>
      <c r="V9" s="166">
        <v>0.15</v>
      </c>
    </row>
    <row r="10" spans="3:24" ht="30" x14ac:dyDescent="0.25">
      <c r="C10" s="150">
        <v>4</v>
      </c>
      <c r="D10" s="157" t="s">
        <v>288</v>
      </c>
      <c r="E10" s="176">
        <v>4</v>
      </c>
      <c r="F10" s="150">
        <f t="shared" si="1"/>
        <v>13.12</v>
      </c>
      <c r="G10" s="158">
        <v>2006</v>
      </c>
      <c r="H10" s="159" t="s">
        <v>220</v>
      </c>
      <c r="I10" s="150" t="s">
        <v>221</v>
      </c>
      <c r="J10" s="160">
        <v>44438</v>
      </c>
      <c r="K10" s="161">
        <f t="shared" si="0"/>
        <v>15</v>
      </c>
      <c r="L10" s="150">
        <v>40</v>
      </c>
      <c r="M10" s="162">
        <v>0.1</v>
      </c>
      <c r="N10" s="150">
        <f t="shared" si="2"/>
        <v>2.2499999999999999E-2</v>
      </c>
      <c r="O10" s="35">
        <f t="shared" si="3"/>
        <v>140.82978762936401</v>
      </c>
      <c r="P10" s="35">
        <v>1515.92</v>
      </c>
      <c r="Q10" s="163">
        <v>1350</v>
      </c>
      <c r="R10" s="164">
        <f t="shared" si="4"/>
        <v>2046492</v>
      </c>
      <c r="S10" s="165">
        <f t="shared" si="5"/>
        <v>690691.05</v>
      </c>
      <c r="T10" s="165">
        <f t="shared" si="6"/>
        <v>1355800.95</v>
      </c>
      <c r="U10" s="165">
        <f t="shared" ref="U10:U28" si="7">IF(T10&gt;=R10*M10,T10*(1-V10),R10*M10)</f>
        <v>1152430.8074999999</v>
      </c>
      <c r="V10" s="166">
        <v>0.15</v>
      </c>
    </row>
    <row r="11" spans="3:24" x14ac:dyDescent="0.25">
      <c r="C11" s="150">
        <v>5</v>
      </c>
      <c r="D11" s="157" t="s">
        <v>289</v>
      </c>
      <c r="E11" s="176">
        <v>4</v>
      </c>
      <c r="F11" s="150">
        <f t="shared" si="1"/>
        <v>13.12</v>
      </c>
      <c r="G11" s="158">
        <v>2006</v>
      </c>
      <c r="H11" s="159" t="s">
        <v>220</v>
      </c>
      <c r="I11" s="150" t="s">
        <v>221</v>
      </c>
      <c r="J11" s="160">
        <v>44438</v>
      </c>
      <c r="K11" s="161">
        <f t="shared" si="0"/>
        <v>15</v>
      </c>
      <c r="L11" s="150">
        <v>40</v>
      </c>
      <c r="M11" s="162">
        <v>0.1</v>
      </c>
      <c r="N11" s="150">
        <f t="shared" si="2"/>
        <v>2.2499999999999999E-2</v>
      </c>
      <c r="O11" s="35">
        <f t="shared" si="3"/>
        <v>126.20073948830382</v>
      </c>
      <c r="P11" s="35">
        <v>1358.45</v>
      </c>
      <c r="Q11" s="163">
        <v>1350</v>
      </c>
      <c r="R11" s="164">
        <f t="shared" si="4"/>
        <v>1833907.5</v>
      </c>
      <c r="S11" s="165">
        <f t="shared" si="5"/>
        <v>618943.78125</v>
      </c>
      <c r="T11" s="165">
        <f t="shared" si="6"/>
        <v>1214963.71875</v>
      </c>
      <c r="U11" s="165">
        <f t="shared" si="7"/>
        <v>1032719.1609375</v>
      </c>
      <c r="V11" s="166">
        <v>0.15</v>
      </c>
    </row>
    <row r="12" spans="3:24" x14ac:dyDescent="0.25">
      <c r="C12" s="150">
        <v>6</v>
      </c>
      <c r="D12" s="157" t="s">
        <v>290</v>
      </c>
      <c r="E12" s="176">
        <v>3.5</v>
      </c>
      <c r="F12" s="150">
        <f t="shared" si="1"/>
        <v>11.479999999999999</v>
      </c>
      <c r="G12" s="158">
        <v>2006</v>
      </c>
      <c r="H12" s="159" t="s">
        <v>220</v>
      </c>
      <c r="I12" s="150" t="s">
        <v>221</v>
      </c>
      <c r="J12" s="160">
        <v>44438</v>
      </c>
      <c r="K12" s="161">
        <f t="shared" si="0"/>
        <v>15</v>
      </c>
      <c r="L12" s="150">
        <v>40</v>
      </c>
      <c r="M12" s="162">
        <v>0.1</v>
      </c>
      <c r="N12" s="150">
        <f t="shared" si="2"/>
        <v>2.2499999999999999E-2</v>
      </c>
      <c r="O12" s="35">
        <f t="shared" si="3"/>
        <v>171.77217071403354</v>
      </c>
      <c r="P12" s="35">
        <v>1848.99</v>
      </c>
      <c r="Q12" s="163">
        <v>1350</v>
      </c>
      <c r="R12" s="164">
        <f t="shared" si="4"/>
        <v>2496136.5</v>
      </c>
      <c r="S12" s="165">
        <f t="shared" si="5"/>
        <v>842446.06874999998</v>
      </c>
      <c r="T12" s="165">
        <f t="shared" si="6"/>
        <v>1653690.4312499999</v>
      </c>
      <c r="U12" s="165">
        <f t="shared" si="7"/>
        <v>1405636.8665624999</v>
      </c>
      <c r="V12" s="166">
        <v>0.15</v>
      </c>
    </row>
    <row r="13" spans="3:24" x14ac:dyDescent="0.25">
      <c r="C13" s="150">
        <v>7</v>
      </c>
      <c r="D13" s="157" t="s">
        <v>291</v>
      </c>
      <c r="E13" s="176">
        <v>3.5</v>
      </c>
      <c r="F13" s="150">
        <f t="shared" si="1"/>
        <v>11.479999999999999</v>
      </c>
      <c r="G13" s="158">
        <v>2006</v>
      </c>
      <c r="H13" s="159" t="s">
        <v>220</v>
      </c>
      <c r="I13" s="150" t="s">
        <v>221</v>
      </c>
      <c r="J13" s="160">
        <v>44438</v>
      </c>
      <c r="K13" s="161">
        <f t="shared" si="0"/>
        <v>15</v>
      </c>
      <c r="L13" s="150">
        <v>40</v>
      </c>
      <c r="M13" s="162">
        <v>0.1</v>
      </c>
      <c r="N13" s="150">
        <f t="shared" si="2"/>
        <v>2.2499999999999999E-2</v>
      </c>
      <c r="O13" s="35">
        <f t="shared" si="3"/>
        <v>182.5179762546218</v>
      </c>
      <c r="P13" s="35">
        <v>1964.66</v>
      </c>
      <c r="Q13" s="163">
        <v>1350</v>
      </c>
      <c r="R13" s="164">
        <f t="shared" si="4"/>
        <v>2652291</v>
      </c>
      <c r="S13" s="165">
        <f t="shared" si="5"/>
        <v>895148.21250000002</v>
      </c>
      <c r="T13" s="165">
        <f t="shared" si="6"/>
        <v>1757142.7875000001</v>
      </c>
      <c r="U13" s="165">
        <f t="shared" si="7"/>
        <v>1493571.369375</v>
      </c>
      <c r="V13" s="166">
        <v>0.15</v>
      </c>
    </row>
    <row r="14" spans="3:24" x14ac:dyDescent="0.25">
      <c r="C14" s="150">
        <v>8</v>
      </c>
      <c r="D14" s="157" t="s">
        <v>292</v>
      </c>
      <c r="E14" s="176">
        <v>4</v>
      </c>
      <c r="F14" s="150">
        <f t="shared" si="1"/>
        <v>13.12</v>
      </c>
      <c r="G14" s="158">
        <v>2006</v>
      </c>
      <c r="H14" s="159" t="s">
        <v>220</v>
      </c>
      <c r="I14" s="150" t="s">
        <v>221</v>
      </c>
      <c r="J14" s="160">
        <v>44438</v>
      </c>
      <c r="K14" s="161">
        <f t="shared" si="0"/>
        <v>15</v>
      </c>
      <c r="L14" s="150">
        <v>40</v>
      </c>
      <c r="M14" s="162">
        <v>0.1</v>
      </c>
      <c r="N14" s="150">
        <f t="shared" si="2"/>
        <v>2.2499999999999999E-2</v>
      </c>
      <c r="O14" s="35">
        <f t="shared" si="3"/>
        <v>1250.9810297095928</v>
      </c>
      <c r="P14" s="35">
        <v>13465.81</v>
      </c>
      <c r="Q14" s="163">
        <v>1350</v>
      </c>
      <c r="R14" s="164">
        <f t="shared" si="4"/>
        <v>18178843.5</v>
      </c>
      <c r="S14" s="165">
        <f t="shared" si="5"/>
        <v>6135359.6812500004</v>
      </c>
      <c r="T14" s="165">
        <f t="shared" si="6"/>
        <v>12043483.81875</v>
      </c>
      <c r="U14" s="165">
        <f t="shared" si="7"/>
        <v>10236961.2459375</v>
      </c>
      <c r="V14" s="166">
        <v>0.15</v>
      </c>
    </row>
    <row r="15" spans="3:24" s="167" customFormat="1" x14ac:dyDescent="0.25">
      <c r="C15" s="8">
        <v>9</v>
      </c>
      <c r="D15" s="157" t="s">
        <v>293</v>
      </c>
      <c r="E15" s="176">
        <v>3.5</v>
      </c>
      <c r="F15" s="8">
        <f t="shared" si="1"/>
        <v>11.479999999999999</v>
      </c>
      <c r="G15" s="158">
        <v>2006</v>
      </c>
      <c r="H15" s="159" t="s">
        <v>220</v>
      </c>
      <c r="I15" s="8" t="s">
        <v>221</v>
      </c>
      <c r="J15" s="168">
        <v>44438</v>
      </c>
      <c r="K15" s="169">
        <f t="shared" si="0"/>
        <v>15</v>
      </c>
      <c r="L15" s="8">
        <v>40</v>
      </c>
      <c r="M15" s="170">
        <v>0.1</v>
      </c>
      <c r="N15" s="8">
        <f t="shared" si="2"/>
        <v>2.2499999999999999E-2</v>
      </c>
      <c r="O15" s="35">
        <f t="shared" si="3"/>
        <v>236.86665056390626</v>
      </c>
      <c r="P15" s="171">
        <v>2549.6799999999998</v>
      </c>
      <c r="Q15" s="163">
        <v>1350</v>
      </c>
      <c r="R15" s="173">
        <f t="shared" si="4"/>
        <v>3442068</v>
      </c>
      <c r="S15" s="174">
        <f t="shared" si="5"/>
        <v>1161697.95</v>
      </c>
      <c r="T15" s="174">
        <f t="shared" si="6"/>
        <v>2280370.0499999998</v>
      </c>
      <c r="U15" s="165">
        <f t="shared" si="7"/>
        <v>1938314.5424999997</v>
      </c>
      <c r="V15" s="166">
        <v>0.15</v>
      </c>
    </row>
    <row r="16" spans="3:24" s="167" customFormat="1" x14ac:dyDescent="0.25">
      <c r="C16" s="8">
        <v>10</v>
      </c>
      <c r="D16" s="157" t="s">
        <v>294</v>
      </c>
      <c r="E16" s="176">
        <v>5.5</v>
      </c>
      <c r="F16" s="8">
        <f t="shared" si="1"/>
        <v>18.04</v>
      </c>
      <c r="G16" s="158">
        <v>2006</v>
      </c>
      <c r="H16" s="159" t="s">
        <v>220</v>
      </c>
      <c r="I16" s="8" t="s">
        <v>221</v>
      </c>
      <c r="J16" s="168">
        <v>44438</v>
      </c>
      <c r="K16" s="169">
        <f t="shared" si="0"/>
        <v>15</v>
      </c>
      <c r="L16" s="8">
        <v>40</v>
      </c>
      <c r="M16" s="170">
        <v>0.1</v>
      </c>
      <c r="N16" s="8">
        <f t="shared" si="2"/>
        <v>2.2499999999999999E-2</v>
      </c>
      <c r="O16" s="35">
        <f t="shared" si="3"/>
        <v>87.255903829360278</v>
      </c>
      <c r="P16" s="171">
        <v>939.24</v>
      </c>
      <c r="Q16" s="163">
        <v>1350</v>
      </c>
      <c r="R16" s="173">
        <f t="shared" si="4"/>
        <v>1267974</v>
      </c>
      <c r="S16" s="174">
        <f t="shared" si="5"/>
        <v>427941.22499999998</v>
      </c>
      <c r="T16" s="174">
        <f t="shared" si="6"/>
        <v>840032.77500000002</v>
      </c>
      <c r="U16" s="165">
        <f t="shared" si="7"/>
        <v>714027.85875000001</v>
      </c>
      <c r="V16" s="166">
        <v>0.15</v>
      </c>
    </row>
    <row r="17" spans="3:22" s="167" customFormat="1" ht="30" x14ac:dyDescent="0.25">
      <c r="C17" s="8">
        <v>12</v>
      </c>
      <c r="D17" s="157" t="s">
        <v>295</v>
      </c>
      <c r="E17" s="176">
        <v>7</v>
      </c>
      <c r="F17" s="8">
        <f t="shared" si="1"/>
        <v>22.959999999999997</v>
      </c>
      <c r="G17" s="158">
        <v>2006</v>
      </c>
      <c r="H17" s="159" t="s">
        <v>220</v>
      </c>
      <c r="I17" s="8" t="s">
        <v>221</v>
      </c>
      <c r="J17" s="168">
        <v>44438</v>
      </c>
      <c r="K17" s="169">
        <f t="shared" si="0"/>
        <v>15</v>
      </c>
      <c r="L17" s="8">
        <v>40</v>
      </c>
      <c r="M17" s="170">
        <v>0.1</v>
      </c>
      <c r="N17" s="8">
        <f t="shared" si="2"/>
        <v>2.2499999999999999E-2</v>
      </c>
      <c r="O17" s="35">
        <f t="shared" si="3"/>
        <v>37.385035580907079</v>
      </c>
      <c r="P17" s="171">
        <v>402.42</v>
      </c>
      <c r="Q17" s="163">
        <v>1350</v>
      </c>
      <c r="R17" s="173">
        <f t="shared" si="4"/>
        <v>543267</v>
      </c>
      <c r="S17" s="174">
        <f t="shared" si="5"/>
        <v>183352.61249999999</v>
      </c>
      <c r="T17" s="174">
        <f t="shared" si="6"/>
        <v>359914.38750000001</v>
      </c>
      <c r="U17" s="165">
        <f t="shared" si="7"/>
        <v>305927.229375</v>
      </c>
      <c r="V17" s="166">
        <v>0.15</v>
      </c>
    </row>
    <row r="18" spans="3:22" s="167" customFormat="1" x14ac:dyDescent="0.25">
      <c r="C18" s="8">
        <v>13</v>
      </c>
      <c r="D18" s="157" t="s">
        <v>296</v>
      </c>
      <c r="E18" s="176">
        <v>3.5</v>
      </c>
      <c r="F18" s="8">
        <f t="shared" si="1"/>
        <v>11.479999999999999</v>
      </c>
      <c r="G18" s="158">
        <v>2006</v>
      </c>
      <c r="H18" s="159" t="s">
        <v>220</v>
      </c>
      <c r="I18" s="8" t="s">
        <v>221</v>
      </c>
      <c r="J18" s="168">
        <v>44438</v>
      </c>
      <c r="K18" s="169">
        <f t="shared" si="0"/>
        <v>15</v>
      </c>
      <c r="L18" s="8">
        <v>40</v>
      </c>
      <c r="M18" s="170">
        <v>0.1</v>
      </c>
      <c r="N18" s="8">
        <f t="shared" si="2"/>
        <v>2.2499999999999999E-2</v>
      </c>
      <c r="O18" s="35">
        <f t="shared" si="3"/>
        <v>1049.7073632968543</v>
      </c>
      <c r="P18" s="171">
        <v>11299.26</v>
      </c>
      <c r="Q18" s="163">
        <v>1350</v>
      </c>
      <c r="R18" s="173">
        <f t="shared" si="4"/>
        <v>15254001</v>
      </c>
      <c r="S18" s="174">
        <f t="shared" si="5"/>
        <v>5148225.3374999994</v>
      </c>
      <c r="T18" s="174">
        <f t="shared" si="6"/>
        <v>10105775.662500001</v>
      </c>
      <c r="U18" s="165">
        <f t="shared" si="7"/>
        <v>8589909.3131250013</v>
      </c>
      <c r="V18" s="166">
        <v>0.15</v>
      </c>
    </row>
    <row r="19" spans="3:22" s="167" customFormat="1" x14ac:dyDescent="0.25">
      <c r="C19" s="8">
        <v>14</v>
      </c>
      <c r="D19" s="157" t="s">
        <v>297</v>
      </c>
      <c r="E19" s="176">
        <v>4</v>
      </c>
      <c r="F19" s="8">
        <f t="shared" si="1"/>
        <v>13.12</v>
      </c>
      <c r="G19" s="158">
        <v>2006</v>
      </c>
      <c r="H19" s="159" t="s">
        <v>220</v>
      </c>
      <c r="I19" s="8" t="s">
        <v>221</v>
      </c>
      <c r="J19" s="168">
        <v>44438</v>
      </c>
      <c r="K19" s="169">
        <f t="shared" si="0"/>
        <v>15</v>
      </c>
      <c r="L19" s="8">
        <v>40</v>
      </c>
      <c r="M19" s="170">
        <v>0.1</v>
      </c>
      <c r="N19" s="8">
        <f t="shared" si="2"/>
        <v>2.2499999999999999E-2</v>
      </c>
      <c r="O19" s="35">
        <f t="shared" si="3"/>
        <v>74.700395756303294</v>
      </c>
      <c r="P19" s="171">
        <v>804.09</v>
      </c>
      <c r="Q19" s="163">
        <v>1350</v>
      </c>
      <c r="R19" s="173">
        <f t="shared" si="4"/>
        <v>1085521.5</v>
      </c>
      <c r="S19" s="174">
        <f t="shared" si="5"/>
        <v>366363.50624999998</v>
      </c>
      <c r="T19" s="174">
        <f t="shared" si="6"/>
        <v>719157.99375000002</v>
      </c>
      <c r="U19" s="165">
        <f t="shared" si="7"/>
        <v>611284.29468749999</v>
      </c>
      <c r="V19" s="166">
        <v>0.15</v>
      </c>
    </row>
    <row r="20" spans="3:22" s="167" customFormat="1" x14ac:dyDescent="0.25">
      <c r="C20" s="8">
        <v>15</v>
      </c>
      <c r="D20" s="157" t="s">
        <v>298</v>
      </c>
      <c r="E20" s="176">
        <v>3.5</v>
      </c>
      <c r="F20" s="8">
        <f t="shared" si="1"/>
        <v>11.479999999999999</v>
      </c>
      <c r="G20" s="158">
        <v>2006</v>
      </c>
      <c r="H20" s="159" t="s">
        <v>220</v>
      </c>
      <c r="I20" s="8" t="s">
        <v>221</v>
      </c>
      <c r="J20" s="168">
        <v>44438</v>
      </c>
      <c r="K20" s="169">
        <f t="shared" si="0"/>
        <v>15</v>
      </c>
      <c r="L20" s="8">
        <v>25</v>
      </c>
      <c r="M20" s="170">
        <v>0.1</v>
      </c>
      <c r="N20" s="8">
        <f t="shared" si="2"/>
        <v>3.6000000000000004E-2</v>
      </c>
      <c r="O20" s="35">
        <f t="shared" si="3"/>
        <v>48.210735586481114</v>
      </c>
      <c r="P20" s="171">
        <v>518.95000000000005</v>
      </c>
      <c r="Q20" s="163">
        <v>1350</v>
      </c>
      <c r="R20" s="173">
        <f t="shared" si="4"/>
        <v>700582.50000000012</v>
      </c>
      <c r="S20" s="174">
        <f t="shared" si="5"/>
        <v>378314.5500000001</v>
      </c>
      <c r="T20" s="174">
        <f t="shared" si="6"/>
        <v>322267.95</v>
      </c>
      <c r="U20" s="165">
        <f t="shared" si="7"/>
        <v>273927.75750000001</v>
      </c>
      <c r="V20" s="166">
        <v>0.15</v>
      </c>
    </row>
    <row r="21" spans="3:22" s="167" customFormat="1" x14ac:dyDescent="0.25">
      <c r="C21" s="8">
        <v>17</v>
      </c>
      <c r="D21" s="157" t="s">
        <v>299</v>
      </c>
      <c r="E21" s="176">
        <v>3.5</v>
      </c>
      <c r="F21" s="8">
        <f t="shared" si="1"/>
        <v>11.479999999999999</v>
      </c>
      <c r="G21" s="158">
        <v>2006</v>
      </c>
      <c r="H21" s="159" t="s">
        <v>220</v>
      </c>
      <c r="I21" s="8" t="s">
        <v>221</v>
      </c>
      <c r="J21" s="168">
        <v>44438</v>
      </c>
      <c r="K21" s="169">
        <f t="shared" si="0"/>
        <v>15</v>
      </c>
      <c r="L21" s="8">
        <v>40</v>
      </c>
      <c r="M21" s="170">
        <v>0.1</v>
      </c>
      <c r="N21" s="8">
        <f t="shared" si="2"/>
        <v>2.2499999999999999E-2</v>
      </c>
      <c r="O21" s="35">
        <f t="shared" si="3"/>
        <v>142.74353876739562</v>
      </c>
      <c r="P21" s="171">
        <v>1536.52</v>
      </c>
      <c r="Q21" s="163">
        <v>1350</v>
      </c>
      <c r="R21" s="173">
        <f t="shared" si="4"/>
        <v>2074302</v>
      </c>
      <c r="S21" s="174">
        <f t="shared" si="5"/>
        <v>700076.92499999993</v>
      </c>
      <c r="T21" s="174">
        <f t="shared" si="6"/>
        <v>1374225.0750000002</v>
      </c>
      <c r="U21" s="165">
        <f t="shared" si="7"/>
        <v>1168091.3137500002</v>
      </c>
      <c r="V21" s="166">
        <v>0.15</v>
      </c>
    </row>
    <row r="22" spans="3:22" s="167" customFormat="1" x14ac:dyDescent="0.25">
      <c r="C22" s="8">
        <v>18</v>
      </c>
      <c r="D22" s="157" t="s">
        <v>300</v>
      </c>
      <c r="E22" s="176">
        <v>10.5</v>
      </c>
      <c r="F22" s="8">
        <f t="shared" si="1"/>
        <v>34.44</v>
      </c>
      <c r="G22" s="158">
        <v>2006</v>
      </c>
      <c r="H22" s="159" t="s">
        <v>220</v>
      </c>
      <c r="I22" s="8" t="s">
        <v>221</v>
      </c>
      <c r="J22" s="168">
        <v>44438</v>
      </c>
      <c r="K22" s="169">
        <f t="shared" si="0"/>
        <v>15</v>
      </c>
      <c r="L22" s="8">
        <v>40</v>
      </c>
      <c r="M22" s="170">
        <v>0.1</v>
      </c>
      <c r="N22" s="8">
        <f t="shared" si="2"/>
        <v>2.2499999999999999E-2</v>
      </c>
      <c r="O22" s="35">
        <f t="shared" si="3"/>
        <v>5010.2943089128776</v>
      </c>
      <c r="P22" s="171">
        <v>53931.81</v>
      </c>
      <c r="Q22" s="163">
        <v>1350</v>
      </c>
      <c r="R22" s="173">
        <f t="shared" si="4"/>
        <v>72807943.5</v>
      </c>
      <c r="S22" s="174">
        <f t="shared" si="5"/>
        <v>24572680.931249999</v>
      </c>
      <c r="T22" s="174">
        <f t="shared" si="6"/>
        <v>48235262.568750001</v>
      </c>
      <c r="U22" s="165">
        <f>IF(T22&gt;=R22*M22,T22*(1-V22),R22*M22)</f>
        <v>40999973.183437504</v>
      </c>
      <c r="V22" s="166">
        <v>0.15</v>
      </c>
    </row>
    <row r="23" spans="3:22" s="167" customFormat="1" x14ac:dyDescent="0.25">
      <c r="C23" s="269" t="s">
        <v>266</v>
      </c>
      <c r="D23" s="270"/>
      <c r="E23" s="270"/>
      <c r="F23" s="270"/>
      <c r="G23" s="270"/>
      <c r="H23" s="270"/>
      <c r="I23" s="270"/>
      <c r="J23" s="270"/>
      <c r="K23" s="270"/>
      <c r="L23" s="270"/>
      <c r="M23" s="270"/>
      <c r="N23" s="270"/>
      <c r="O23" s="189">
        <f>SUM(O7:O22)</f>
        <v>11228.892997157243</v>
      </c>
      <c r="P23" s="189">
        <f t="shared" ref="P23:S23" si="8">SUM(P7:P22)</f>
        <v>120870.04999999999</v>
      </c>
      <c r="Q23" s="163">
        <v>1350</v>
      </c>
      <c r="R23" s="179">
        <f t="shared" si="8"/>
        <v>163174567.5</v>
      </c>
      <c r="S23" s="179">
        <f t="shared" si="8"/>
        <v>55213284.487500004</v>
      </c>
      <c r="T23" s="179">
        <f>SUM(T7:T22)</f>
        <v>107961283.0125</v>
      </c>
      <c r="U23" s="190">
        <f>SUM(U7:U22)</f>
        <v>91767090.560625002</v>
      </c>
      <c r="V23" s="166"/>
    </row>
    <row r="24" spans="3:22" s="167" customFormat="1" x14ac:dyDescent="0.25">
      <c r="C24" s="284"/>
      <c r="D24" s="285"/>
      <c r="E24" s="285"/>
      <c r="F24" s="285"/>
      <c r="G24" s="285"/>
      <c r="H24" s="285"/>
      <c r="I24" s="285"/>
      <c r="J24" s="285"/>
      <c r="K24" s="285"/>
      <c r="L24" s="285"/>
      <c r="M24" s="285"/>
      <c r="N24" s="285"/>
      <c r="O24" s="285"/>
      <c r="P24" s="285"/>
      <c r="Q24" s="285"/>
      <c r="R24" s="285"/>
      <c r="S24" s="285"/>
      <c r="T24" s="285"/>
      <c r="U24" s="286"/>
      <c r="V24" s="166"/>
    </row>
    <row r="25" spans="3:22" s="167" customFormat="1" x14ac:dyDescent="0.25">
      <c r="C25" s="275" t="s">
        <v>307</v>
      </c>
      <c r="D25" s="276"/>
      <c r="E25" s="276"/>
      <c r="F25" s="276"/>
      <c r="G25" s="276"/>
      <c r="H25" s="276"/>
      <c r="I25" s="276"/>
      <c r="J25" s="276"/>
      <c r="K25" s="276"/>
      <c r="L25" s="276"/>
      <c r="M25" s="276"/>
      <c r="N25" s="276"/>
      <c r="O25" s="276"/>
      <c r="P25" s="276"/>
      <c r="Q25" s="276"/>
      <c r="R25" s="276"/>
      <c r="S25" s="276"/>
      <c r="T25" s="276"/>
      <c r="U25" s="277"/>
      <c r="V25" s="166"/>
    </row>
    <row r="26" spans="3:22" s="167" customFormat="1" x14ac:dyDescent="0.25">
      <c r="C26" s="8">
        <v>20</v>
      </c>
      <c r="D26" s="287" t="s">
        <v>301</v>
      </c>
      <c r="E26" s="288"/>
      <c r="F26" s="288"/>
      <c r="G26" s="288"/>
      <c r="H26" s="288"/>
      <c r="I26" s="288"/>
      <c r="J26" s="288"/>
      <c r="K26" s="288"/>
      <c r="L26" s="288"/>
      <c r="M26" s="288"/>
      <c r="N26" s="288"/>
      <c r="O26" s="288"/>
      <c r="P26" s="288"/>
      <c r="Q26" s="288"/>
      <c r="R26" s="288"/>
      <c r="S26" s="288"/>
      <c r="T26" s="288"/>
      <c r="U26" s="289"/>
      <c r="V26" s="166"/>
    </row>
    <row r="27" spans="3:22" s="167" customFormat="1" ht="75" x14ac:dyDescent="0.25">
      <c r="C27" s="8">
        <v>20.100000000000001</v>
      </c>
      <c r="D27" s="157" t="s">
        <v>302</v>
      </c>
      <c r="E27" s="176">
        <v>12.2</v>
      </c>
      <c r="F27" s="8">
        <f t="shared" si="1"/>
        <v>40.015999999999998</v>
      </c>
      <c r="G27" s="158">
        <v>2006</v>
      </c>
      <c r="H27" s="159" t="s">
        <v>306</v>
      </c>
      <c r="I27" s="29" t="s">
        <v>375</v>
      </c>
      <c r="J27" s="168">
        <v>44438</v>
      </c>
      <c r="K27" s="169">
        <f>YEAR(J27)-G27</f>
        <v>15</v>
      </c>
      <c r="L27" s="8">
        <v>40</v>
      </c>
      <c r="M27" s="170">
        <v>0.1</v>
      </c>
      <c r="N27" s="8">
        <f t="shared" si="2"/>
        <v>2.2499999999999999E-2</v>
      </c>
      <c r="O27" s="171">
        <v>10600</v>
      </c>
      <c r="P27" s="171">
        <f t="shared" ref="P27:P30" si="9">O27*10.7642</f>
        <v>114100.52</v>
      </c>
      <c r="Q27" s="172">
        <v>1050</v>
      </c>
      <c r="R27" s="173">
        <f t="shared" si="4"/>
        <v>119805546</v>
      </c>
      <c r="S27" s="174">
        <f t="shared" si="5"/>
        <v>40434371.774999999</v>
      </c>
      <c r="T27" s="174">
        <f t="shared" si="6"/>
        <v>79371174.224999994</v>
      </c>
      <c r="U27" s="165">
        <f t="shared" si="7"/>
        <v>59528380.668749996</v>
      </c>
      <c r="V27" s="166">
        <v>0.25</v>
      </c>
    </row>
    <row r="28" spans="3:22" s="167" customFormat="1" ht="75" x14ac:dyDescent="0.25">
      <c r="C28" s="8">
        <v>20.2</v>
      </c>
      <c r="D28" s="157" t="s">
        <v>303</v>
      </c>
      <c r="E28" s="176">
        <v>12.2</v>
      </c>
      <c r="F28" s="8">
        <f t="shared" si="1"/>
        <v>40.015999999999998</v>
      </c>
      <c r="G28" s="158">
        <v>2006</v>
      </c>
      <c r="H28" s="159" t="s">
        <v>306</v>
      </c>
      <c r="I28" s="29" t="s">
        <v>375</v>
      </c>
      <c r="J28" s="168">
        <v>44438</v>
      </c>
      <c r="K28" s="169">
        <f>YEAR(J28)-G28</f>
        <v>15</v>
      </c>
      <c r="L28" s="8">
        <v>40</v>
      </c>
      <c r="M28" s="170">
        <v>0.1</v>
      </c>
      <c r="N28" s="8">
        <f t="shared" si="2"/>
        <v>2.2499999999999999E-2</v>
      </c>
      <c r="O28" s="171">
        <v>24187</v>
      </c>
      <c r="P28" s="171">
        <f t="shared" si="9"/>
        <v>260353.70540000001</v>
      </c>
      <c r="Q28" s="172">
        <v>1050</v>
      </c>
      <c r="R28" s="173">
        <f t="shared" si="4"/>
        <v>273371390.67000002</v>
      </c>
      <c r="S28" s="174">
        <f t="shared" si="5"/>
        <v>92262844.351125002</v>
      </c>
      <c r="T28" s="174">
        <f t="shared" si="6"/>
        <v>181108546.31887501</v>
      </c>
      <c r="U28" s="165">
        <f t="shared" si="7"/>
        <v>135831409.73915625</v>
      </c>
      <c r="V28" s="166">
        <v>0.25</v>
      </c>
    </row>
    <row r="29" spans="3:22" s="167" customFormat="1" x14ac:dyDescent="0.25">
      <c r="C29" s="8">
        <v>21</v>
      </c>
      <c r="D29" s="287" t="s">
        <v>304</v>
      </c>
      <c r="E29" s="288"/>
      <c r="F29" s="288"/>
      <c r="G29" s="288"/>
      <c r="H29" s="288"/>
      <c r="I29" s="288"/>
      <c r="J29" s="288"/>
      <c r="K29" s="288"/>
      <c r="L29" s="288"/>
      <c r="M29" s="288"/>
      <c r="N29" s="288"/>
      <c r="O29" s="288"/>
      <c r="P29" s="288"/>
      <c r="Q29" s="288"/>
      <c r="R29" s="288"/>
      <c r="S29" s="288"/>
      <c r="T29" s="288"/>
      <c r="U29" s="289"/>
      <c r="V29" s="166"/>
    </row>
    <row r="30" spans="3:22" s="167" customFormat="1" ht="75" x14ac:dyDescent="0.25">
      <c r="C30" s="8">
        <v>21.1</v>
      </c>
      <c r="D30" s="157" t="s">
        <v>305</v>
      </c>
      <c r="E30" s="191">
        <v>12.2</v>
      </c>
      <c r="F30" s="8">
        <f t="shared" si="1"/>
        <v>40.015999999999998</v>
      </c>
      <c r="G30" s="158">
        <v>2006</v>
      </c>
      <c r="H30" s="159" t="s">
        <v>306</v>
      </c>
      <c r="I30" s="29" t="s">
        <v>375</v>
      </c>
      <c r="J30" s="168">
        <v>44438</v>
      </c>
      <c r="K30" s="169">
        <f>YEAR(J30)-G30</f>
        <v>15</v>
      </c>
      <c r="L30" s="8">
        <v>40</v>
      </c>
      <c r="M30" s="170">
        <v>0.1</v>
      </c>
      <c r="N30" s="8">
        <f>(1-M30)/L30</f>
        <v>2.2499999999999999E-2</v>
      </c>
      <c r="O30" s="171">
        <v>1509.73</v>
      </c>
      <c r="P30" s="171">
        <f t="shared" si="9"/>
        <v>16251.035666000002</v>
      </c>
      <c r="Q30" s="172">
        <v>1050</v>
      </c>
      <c r="R30" s="173">
        <f t="shared" si="4"/>
        <v>17063587.449300002</v>
      </c>
      <c r="S30" s="174">
        <f t="shared" si="5"/>
        <v>5758960.7641387507</v>
      </c>
      <c r="T30" s="174">
        <f t="shared" si="6"/>
        <v>11304626.685161252</v>
      </c>
      <c r="U30" s="165">
        <f>IF(T30&gt;=R30*M30,T30*(1-V30),R30*M30)</f>
        <v>8478470.0138709396</v>
      </c>
      <c r="V30" s="166">
        <v>0.25</v>
      </c>
    </row>
    <row r="31" spans="3:22" s="167" customFormat="1" x14ac:dyDescent="0.25">
      <c r="C31" s="269" t="s">
        <v>277</v>
      </c>
      <c r="D31" s="270"/>
      <c r="E31" s="270"/>
      <c r="F31" s="270"/>
      <c r="G31" s="270"/>
      <c r="H31" s="270"/>
      <c r="I31" s="270"/>
      <c r="J31" s="270"/>
      <c r="K31" s="270"/>
      <c r="L31" s="270"/>
      <c r="M31" s="270"/>
      <c r="N31" s="271"/>
      <c r="O31" s="189">
        <f>SUM(O27:O30)</f>
        <v>36296.730000000003</v>
      </c>
      <c r="P31" s="189">
        <f t="shared" ref="P31:U31" si="10">SUM(P27:P30)</f>
        <v>390705.26106599998</v>
      </c>
      <c r="Q31" s="171"/>
      <c r="R31" s="179">
        <f t="shared" si="10"/>
        <v>410240524.11930001</v>
      </c>
      <c r="S31" s="179">
        <f t="shared" si="10"/>
        <v>138456176.89026377</v>
      </c>
      <c r="T31" s="179">
        <f t="shared" si="10"/>
        <v>271784347.22903627</v>
      </c>
      <c r="U31" s="179">
        <f t="shared" si="10"/>
        <v>203838260.42177719</v>
      </c>
      <c r="V31" s="166"/>
    </row>
    <row r="32" spans="3:22" s="167" customFormat="1" x14ac:dyDescent="0.25">
      <c r="C32" s="282"/>
      <c r="D32" s="282"/>
      <c r="E32" s="282"/>
      <c r="F32" s="282"/>
      <c r="G32" s="282"/>
      <c r="H32" s="282"/>
      <c r="I32" s="282"/>
      <c r="J32" s="282"/>
      <c r="K32" s="282"/>
      <c r="L32" s="282"/>
      <c r="M32" s="282"/>
      <c r="N32" s="282"/>
      <c r="O32" s="282"/>
      <c r="P32" s="282"/>
      <c r="Q32" s="282"/>
      <c r="R32" s="282"/>
      <c r="S32" s="282"/>
      <c r="T32" s="282"/>
      <c r="U32" s="282"/>
    </row>
    <row r="33" spans="3:21" s="167" customFormat="1" x14ac:dyDescent="0.25">
      <c r="C33" s="283" t="s">
        <v>278</v>
      </c>
      <c r="D33" s="283"/>
      <c r="E33" s="283"/>
      <c r="F33" s="283"/>
      <c r="G33" s="283"/>
      <c r="H33" s="283"/>
      <c r="I33" s="283"/>
      <c r="J33" s="283"/>
      <c r="K33" s="283"/>
      <c r="L33" s="283"/>
      <c r="M33" s="283"/>
      <c r="N33" s="283"/>
      <c r="O33" s="184">
        <f>O31+O23</f>
        <v>47525.622997157247</v>
      </c>
      <c r="P33" s="184">
        <f>P31+P23</f>
        <v>511575.31106599997</v>
      </c>
      <c r="Q33" s="184"/>
      <c r="R33" s="179">
        <f>R31+R23</f>
        <v>573415091.61930001</v>
      </c>
      <c r="S33" s="179">
        <f>S31+S23</f>
        <v>193669461.37776378</v>
      </c>
      <c r="T33" s="179">
        <f>T31+T23</f>
        <v>379745630.24153626</v>
      </c>
      <c r="U33" s="179">
        <f>U31+U23</f>
        <v>295605350.98240221</v>
      </c>
    </row>
  </sheetData>
  <autoFilter ref="C6:X6"/>
  <mergeCells count="9">
    <mergeCell ref="C5:U5"/>
    <mergeCell ref="C33:N33"/>
    <mergeCell ref="C25:U25"/>
    <mergeCell ref="C24:U24"/>
    <mergeCell ref="C23:N23"/>
    <mergeCell ref="C31:N31"/>
    <mergeCell ref="D26:U26"/>
    <mergeCell ref="D29:U29"/>
    <mergeCell ref="C32:U32"/>
  </mergeCells>
  <pageMargins left="0.25" right="0.25" top="0.75" bottom="0.75" header="0.3" footer="0.3"/>
  <pageSetup paperSize="9" scale="4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5:X44"/>
  <sheetViews>
    <sheetView tabSelected="1" topLeftCell="I25" workbookViewId="0">
      <selection activeCell="C5" sqref="C5:U44"/>
    </sheetView>
  </sheetViews>
  <sheetFormatPr defaultRowHeight="15" x14ac:dyDescent="0.25"/>
  <cols>
    <col min="3" max="3" width="8" customWidth="1"/>
    <col min="4" max="4" width="26.85546875" customWidth="1"/>
    <col min="5" max="5" width="8.42578125" style="151" bestFit="1" customWidth="1"/>
    <col min="7" max="7" width="10.42578125" customWidth="1"/>
    <col min="8" max="8" width="19.7109375" style="6" customWidth="1"/>
    <col min="9" max="9" width="17.42578125" customWidth="1"/>
    <col min="10" max="10" width="14.42578125" customWidth="1"/>
    <col min="11" max="11" width="11.5703125" style="215" customWidth="1"/>
    <col min="12" max="12" width="9.28515625" customWidth="1"/>
    <col min="13" max="13" width="9.140625" style="205" customWidth="1"/>
    <col min="14" max="14" width="7" style="208" bestFit="1" customWidth="1"/>
    <col min="15" max="15" width="11.5703125" style="6" hidden="1" customWidth="1"/>
    <col min="16" max="16" width="11.85546875" bestFit="1" customWidth="1"/>
    <col min="17" max="17" width="17.140625" style="212" customWidth="1"/>
    <col min="18" max="18" width="20.85546875" style="6" customWidth="1"/>
    <col min="19" max="19" width="20.140625" customWidth="1"/>
    <col min="20" max="20" width="24.140625" customWidth="1"/>
    <col min="21" max="21" width="24.140625" style="219" customWidth="1"/>
  </cols>
  <sheetData>
    <row r="5" spans="3:24" s="152" customFormat="1" ht="21" customHeight="1" x14ac:dyDescent="0.25">
      <c r="C5" s="297" t="s">
        <v>386</v>
      </c>
      <c r="D5" s="297"/>
      <c r="E5" s="297"/>
      <c r="F5" s="297"/>
      <c r="G5" s="297"/>
      <c r="H5" s="297"/>
      <c r="I5" s="297"/>
      <c r="J5" s="297"/>
      <c r="K5" s="297"/>
      <c r="L5" s="297"/>
      <c r="M5" s="297"/>
      <c r="N5" s="297"/>
      <c r="O5" s="297"/>
      <c r="P5" s="297"/>
      <c r="Q5" s="297"/>
      <c r="R5" s="297"/>
      <c r="S5" s="297"/>
      <c r="T5" s="297"/>
      <c r="U5" s="297"/>
      <c r="X5" s="153"/>
    </row>
    <row r="6" spans="3:24" s="154" customFormat="1" ht="57" customHeight="1" x14ac:dyDescent="0.25">
      <c r="C6" s="2" t="s">
        <v>205</v>
      </c>
      <c r="D6" s="2" t="s">
        <v>206</v>
      </c>
      <c r="E6" s="2" t="s">
        <v>207</v>
      </c>
      <c r="F6" s="2" t="s">
        <v>208</v>
      </c>
      <c r="G6" s="2" t="s">
        <v>209</v>
      </c>
      <c r="H6" s="2" t="s">
        <v>210</v>
      </c>
      <c r="I6" s="2" t="s">
        <v>211</v>
      </c>
      <c r="J6" s="2" t="s">
        <v>5</v>
      </c>
      <c r="K6" s="214" t="s">
        <v>212</v>
      </c>
      <c r="L6" s="2" t="s">
        <v>213</v>
      </c>
      <c r="M6" s="204" t="s">
        <v>22</v>
      </c>
      <c r="N6" s="206" t="s">
        <v>7</v>
      </c>
      <c r="O6" s="2" t="s">
        <v>214</v>
      </c>
      <c r="P6" s="2" t="s">
        <v>215</v>
      </c>
      <c r="Q6" s="209" t="s">
        <v>216</v>
      </c>
      <c r="R6" s="2" t="s">
        <v>217</v>
      </c>
      <c r="S6" s="2" t="s">
        <v>10</v>
      </c>
      <c r="T6" s="2" t="s">
        <v>23</v>
      </c>
      <c r="U6" s="216" t="s">
        <v>218</v>
      </c>
      <c r="V6" s="155"/>
      <c r="X6" s="156"/>
    </row>
    <row r="7" spans="3:24" ht="15.75" x14ac:dyDescent="0.25">
      <c r="C7" s="198">
        <v>1</v>
      </c>
      <c r="D7" s="231" t="s">
        <v>345</v>
      </c>
      <c r="E7" s="199">
        <v>3.5</v>
      </c>
      <c r="F7" s="198">
        <f>E7*3.28</f>
        <v>11.479999999999999</v>
      </c>
      <c r="G7" s="203">
        <v>2009</v>
      </c>
      <c r="H7" s="203" t="s">
        <v>220</v>
      </c>
      <c r="I7" s="198" t="s">
        <v>221</v>
      </c>
      <c r="J7" s="160">
        <v>44438</v>
      </c>
      <c r="K7" s="169">
        <f t="shared" ref="K7:K31" si="0">YEAR(J7)-G7</f>
        <v>12</v>
      </c>
      <c r="L7" s="198">
        <v>40</v>
      </c>
      <c r="M7" s="34">
        <v>0.1</v>
      </c>
      <c r="N7" s="35">
        <f>(1-M7)/L7</f>
        <v>2.2499999999999999E-2</v>
      </c>
      <c r="O7" s="35">
        <f>P7/10.7642</f>
        <v>80.124858326675465</v>
      </c>
      <c r="P7" s="201">
        <v>862.48</v>
      </c>
      <c r="Q7" s="210">
        <v>1350</v>
      </c>
      <c r="R7" s="164">
        <f>P7*Q7</f>
        <v>1164348</v>
      </c>
      <c r="S7" s="165">
        <f>R7*N7*K7</f>
        <v>314373.95999999996</v>
      </c>
      <c r="T7" s="165">
        <f>MAX(R7-S7,0)</f>
        <v>849974.04</v>
      </c>
      <c r="U7" s="217">
        <f t="shared" ref="U7:U31" si="1">IF(T7&gt;=R7*M7,T7*(1-V7),R7*M7)</f>
        <v>764976.63600000006</v>
      </c>
      <c r="V7" s="166">
        <v>0.1</v>
      </c>
    </row>
    <row r="8" spans="3:24" ht="15.75" x14ac:dyDescent="0.25">
      <c r="C8" s="198">
        <v>2</v>
      </c>
      <c r="D8" s="231" t="s">
        <v>291</v>
      </c>
      <c r="E8" s="199">
        <v>4</v>
      </c>
      <c r="F8" s="198">
        <f t="shared" ref="F8:F41" si="2">E8*3.28</f>
        <v>13.12</v>
      </c>
      <c r="G8" s="203">
        <v>2009</v>
      </c>
      <c r="H8" s="203" t="s">
        <v>220</v>
      </c>
      <c r="I8" s="198" t="s">
        <v>221</v>
      </c>
      <c r="J8" s="160">
        <v>44438</v>
      </c>
      <c r="K8" s="169">
        <f t="shared" si="0"/>
        <v>12</v>
      </c>
      <c r="L8" s="198">
        <v>40</v>
      </c>
      <c r="M8" s="34">
        <v>0.1</v>
      </c>
      <c r="N8" s="35">
        <f t="shared" ref="N8:N31" si="3">(1-M8)/L8</f>
        <v>2.2499999999999999E-2</v>
      </c>
      <c r="O8" s="35">
        <f t="shared" ref="O8:O31" si="4">P8/10.7642</f>
        <v>186.40307686590734</v>
      </c>
      <c r="P8" s="202">
        <v>2006.48</v>
      </c>
      <c r="Q8" s="210">
        <v>1350</v>
      </c>
      <c r="R8" s="164">
        <f t="shared" ref="R8:R30" si="5">P8*Q8</f>
        <v>2708748</v>
      </c>
      <c r="S8" s="165">
        <f t="shared" ref="S8:S31" si="6">R8*N8*K8</f>
        <v>731361.96</v>
      </c>
      <c r="T8" s="165">
        <f t="shared" ref="T8:T31" si="7">MAX(R8-S8,0)</f>
        <v>1977386.04</v>
      </c>
      <c r="U8" s="217">
        <f t="shared" si="1"/>
        <v>1779647.436</v>
      </c>
      <c r="V8" s="166">
        <v>0.1</v>
      </c>
    </row>
    <row r="9" spans="3:24" ht="15.75" x14ac:dyDescent="0.25">
      <c r="C9" s="198">
        <v>3</v>
      </c>
      <c r="D9" s="231" t="s">
        <v>346</v>
      </c>
      <c r="E9" s="199">
        <v>4</v>
      </c>
      <c r="F9" s="198">
        <f t="shared" si="2"/>
        <v>13.12</v>
      </c>
      <c r="G9" s="203">
        <v>2009</v>
      </c>
      <c r="H9" s="203" t="s">
        <v>220</v>
      </c>
      <c r="I9" s="198" t="s">
        <v>221</v>
      </c>
      <c r="J9" s="160">
        <v>44438</v>
      </c>
      <c r="K9" s="169">
        <f t="shared" si="0"/>
        <v>12</v>
      </c>
      <c r="L9" s="198">
        <v>40</v>
      </c>
      <c r="M9" s="34">
        <v>0.1</v>
      </c>
      <c r="N9" s="35">
        <f t="shared" si="3"/>
        <v>2.2499999999999999E-2</v>
      </c>
      <c r="O9" s="35">
        <f t="shared" si="4"/>
        <v>193.74129057431111</v>
      </c>
      <c r="P9" s="202">
        <v>2085.4699999999998</v>
      </c>
      <c r="Q9" s="210">
        <v>1350</v>
      </c>
      <c r="R9" s="164">
        <f t="shared" si="5"/>
        <v>2815384.4999999995</v>
      </c>
      <c r="S9" s="165">
        <f t="shared" si="6"/>
        <v>760153.81499999983</v>
      </c>
      <c r="T9" s="165">
        <f t="shared" si="7"/>
        <v>2055230.6849999996</v>
      </c>
      <c r="U9" s="217">
        <f t="shared" si="1"/>
        <v>1849707.6164999998</v>
      </c>
      <c r="V9" s="166">
        <v>0.1</v>
      </c>
    </row>
    <row r="10" spans="3:24" ht="15.75" x14ac:dyDescent="0.25">
      <c r="C10" s="198">
        <v>4</v>
      </c>
      <c r="D10" s="231" t="s">
        <v>316</v>
      </c>
      <c r="E10" s="199">
        <v>3.5</v>
      </c>
      <c r="F10" s="198">
        <f t="shared" si="2"/>
        <v>11.479999999999999</v>
      </c>
      <c r="G10" s="203">
        <v>2009</v>
      </c>
      <c r="H10" s="203" t="s">
        <v>220</v>
      </c>
      <c r="I10" s="198" t="s">
        <v>221</v>
      </c>
      <c r="J10" s="160">
        <v>44438</v>
      </c>
      <c r="K10" s="169">
        <f t="shared" si="0"/>
        <v>12</v>
      </c>
      <c r="L10" s="198">
        <v>40</v>
      </c>
      <c r="M10" s="34">
        <v>0.1</v>
      </c>
      <c r="N10" s="35">
        <f t="shared" si="3"/>
        <v>2.2499999999999999E-2</v>
      </c>
      <c r="O10" s="35">
        <f t="shared" si="4"/>
        <v>12.392932126864977</v>
      </c>
      <c r="P10" s="201">
        <v>133.4</v>
      </c>
      <c r="Q10" s="210">
        <v>1350</v>
      </c>
      <c r="R10" s="164">
        <f t="shared" si="5"/>
        <v>180090</v>
      </c>
      <c r="S10" s="165">
        <f t="shared" si="6"/>
        <v>48624.299999999996</v>
      </c>
      <c r="T10" s="165">
        <f t="shared" si="7"/>
        <v>131465.70000000001</v>
      </c>
      <c r="U10" s="217">
        <f t="shared" si="1"/>
        <v>118319.13000000002</v>
      </c>
      <c r="V10" s="166">
        <v>0.1</v>
      </c>
    </row>
    <row r="11" spans="3:24" ht="15.75" x14ac:dyDescent="0.25">
      <c r="C11" s="198">
        <v>5</v>
      </c>
      <c r="D11" s="231" t="s">
        <v>317</v>
      </c>
      <c r="E11" s="199">
        <v>7</v>
      </c>
      <c r="F11" s="198">
        <f t="shared" si="2"/>
        <v>22.959999999999997</v>
      </c>
      <c r="G11" s="203">
        <v>2009</v>
      </c>
      <c r="H11" s="203" t="s">
        <v>220</v>
      </c>
      <c r="I11" s="198" t="s">
        <v>221</v>
      </c>
      <c r="J11" s="160">
        <v>44438</v>
      </c>
      <c r="K11" s="169">
        <f t="shared" si="0"/>
        <v>12</v>
      </c>
      <c r="L11" s="198">
        <v>40</v>
      </c>
      <c r="M11" s="34">
        <v>0.1</v>
      </c>
      <c r="N11" s="35">
        <f t="shared" si="3"/>
        <v>2.2499999999999999E-2</v>
      </c>
      <c r="O11" s="35">
        <f t="shared" si="4"/>
        <v>843.99955407740458</v>
      </c>
      <c r="P11" s="202">
        <v>9084.98</v>
      </c>
      <c r="Q11" s="210">
        <v>1350</v>
      </c>
      <c r="R11" s="164">
        <f t="shared" si="5"/>
        <v>12264723</v>
      </c>
      <c r="S11" s="165">
        <f t="shared" si="6"/>
        <v>3311475.21</v>
      </c>
      <c r="T11" s="165">
        <f t="shared" si="7"/>
        <v>8953247.7899999991</v>
      </c>
      <c r="U11" s="217">
        <f t="shared" si="1"/>
        <v>8057923.010999999</v>
      </c>
      <c r="V11" s="166">
        <v>0.1</v>
      </c>
    </row>
    <row r="12" spans="3:24" ht="15.75" x14ac:dyDescent="0.25">
      <c r="C12" s="198">
        <v>6</v>
      </c>
      <c r="D12" s="231" t="s">
        <v>318</v>
      </c>
      <c r="E12" s="199">
        <v>4</v>
      </c>
      <c r="F12" s="198">
        <f t="shared" si="2"/>
        <v>13.12</v>
      </c>
      <c r="G12" s="203">
        <v>2009</v>
      </c>
      <c r="H12" s="203" t="s">
        <v>220</v>
      </c>
      <c r="I12" s="198" t="s">
        <v>221</v>
      </c>
      <c r="J12" s="160">
        <v>44438</v>
      </c>
      <c r="K12" s="169">
        <f t="shared" si="0"/>
        <v>12</v>
      </c>
      <c r="L12" s="198">
        <v>40</v>
      </c>
      <c r="M12" s="34">
        <v>0.1</v>
      </c>
      <c r="N12" s="35">
        <f t="shared" si="3"/>
        <v>2.2499999999999999E-2</v>
      </c>
      <c r="O12" s="35">
        <f t="shared" si="4"/>
        <v>119.07526801805986</v>
      </c>
      <c r="P12" s="202">
        <v>1281.75</v>
      </c>
      <c r="Q12" s="210">
        <v>1350</v>
      </c>
      <c r="R12" s="164">
        <f t="shared" si="5"/>
        <v>1730362.5</v>
      </c>
      <c r="S12" s="165">
        <f t="shared" si="6"/>
        <v>467197.875</v>
      </c>
      <c r="T12" s="165">
        <f t="shared" si="7"/>
        <v>1263164.625</v>
      </c>
      <c r="U12" s="217">
        <f t="shared" si="1"/>
        <v>1136848.1625000001</v>
      </c>
      <c r="V12" s="166">
        <v>0.1</v>
      </c>
    </row>
    <row r="13" spans="3:24" ht="15.75" x14ac:dyDescent="0.25">
      <c r="C13" s="198">
        <v>7</v>
      </c>
      <c r="D13" s="231" t="s">
        <v>319</v>
      </c>
      <c r="E13" s="199">
        <v>3.5</v>
      </c>
      <c r="F13" s="198">
        <f t="shared" si="2"/>
        <v>11.479999999999999</v>
      </c>
      <c r="G13" s="203">
        <v>2009</v>
      </c>
      <c r="H13" s="203" t="s">
        <v>220</v>
      </c>
      <c r="I13" s="198" t="s">
        <v>221</v>
      </c>
      <c r="J13" s="160">
        <v>44438</v>
      </c>
      <c r="K13" s="169">
        <f t="shared" si="0"/>
        <v>12</v>
      </c>
      <c r="L13" s="198">
        <v>40</v>
      </c>
      <c r="M13" s="34">
        <v>0.1</v>
      </c>
      <c r="N13" s="35">
        <f t="shared" si="3"/>
        <v>2.2499999999999999E-2</v>
      </c>
      <c r="O13" s="35">
        <f t="shared" si="4"/>
        <v>129.33334572007209</v>
      </c>
      <c r="P13" s="202">
        <v>1392.17</v>
      </c>
      <c r="Q13" s="210">
        <v>1350</v>
      </c>
      <c r="R13" s="164">
        <f t="shared" si="5"/>
        <v>1879429.5</v>
      </c>
      <c r="S13" s="165">
        <f t="shared" si="6"/>
        <v>507445.96499999997</v>
      </c>
      <c r="T13" s="165">
        <f t="shared" si="7"/>
        <v>1371983.5350000001</v>
      </c>
      <c r="U13" s="217">
        <f t="shared" si="1"/>
        <v>1234785.1815000002</v>
      </c>
      <c r="V13" s="166">
        <v>0.1</v>
      </c>
    </row>
    <row r="14" spans="3:24" ht="15.75" x14ac:dyDescent="0.25">
      <c r="C14" s="198">
        <v>8</v>
      </c>
      <c r="D14" s="231" t="s">
        <v>320</v>
      </c>
      <c r="E14" s="199">
        <v>4</v>
      </c>
      <c r="F14" s="198">
        <f t="shared" si="2"/>
        <v>13.12</v>
      </c>
      <c r="G14" s="203">
        <v>2009</v>
      </c>
      <c r="H14" s="203" t="s">
        <v>220</v>
      </c>
      <c r="I14" s="198" t="s">
        <v>221</v>
      </c>
      <c r="J14" s="160">
        <v>44438</v>
      </c>
      <c r="K14" s="169">
        <f t="shared" si="0"/>
        <v>12</v>
      </c>
      <c r="L14" s="198">
        <v>40</v>
      </c>
      <c r="M14" s="34">
        <v>0.1</v>
      </c>
      <c r="N14" s="35">
        <f t="shared" si="3"/>
        <v>2.2499999999999999E-2</v>
      </c>
      <c r="O14" s="35">
        <f t="shared" si="4"/>
        <v>48.15035023503836</v>
      </c>
      <c r="P14" s="201">
        <v>518.29999999999995</v>
      </c>
      <c r="Q14" s="210">
        <v>1350</v>
      </c>
      <c r="R14" s="164">
        <f t="shared" si="5"/>
        <v>699704.99999999988</v>
      </c>
      <c r="S14" s="165">
        <f t="shared" si="6"/>
        <v>188920.34999999998</v>
      </c>
      <c r="T14" s="165">
        <f t="shared" si="7"/>
        <v>510784.64999999991</v>
      </c>
      <c r="U14" s="217">
        <f t="shared" si="1"/>
        <v>459706.18499999994</v>
      </c>
      <c r="V14" s="166">
        <v>0.1</v>
      </c>
    </row>
    <row r="15" spans="3:24" s="167" customFormat="1" ht="15.75" x14ac:dyDescent="0.25">
      <c r="C15" s="8">
        <v>9</v>
      </c>
      <c r="D15" s="231" t="s">
        <v>321</v>
      </c>
      <c r="E15" s="199">
        <v>3.5</v>
      </c>
      <c r="F15" s="198">
        <f t="shared" si="2"/>
        <v>11.479999999999999</v>
      </c>
      <c r="G15" s="203">
        <v>2009</v>
      </c>
      <c r="H15" s="203" t="s">
        <v>220</v>
      </c>
      <c r="I15" s="198" t="s">
        <v>221</v>
      </c>
      <c r="J15" s="160">
        <v>44438</v>
      </c>
      <c r="K15" s="169">
        <f t="shared" si="0"/>
        <v>12</v>
      </c>
      <c r="L15" s="198">
        <v>40</v>
      </c>
      <c r="M15" s="34">
        <v>0.1</v>
      </c>
      <c r="N15" s="35">
        <f t="shared" si="3"/>
        <v>2.2499999999999999E-2</v>
      </c>
      <c r="O15" s="35">
        <f t="shared" si="4"/>
        <v>322.32307092027276</v>
      </c>
      <c r="P15" s="202">
        <v>3469.55</v>
      </c>
      <c r="Q15" s="210">
        <v>1350</v>
      </c>
      <c r="R15" s="164">
        <f t="shared" si="5"/>
        <v>4683892.5</v>
      </c>
      <c r="S15" s="165">
        <f t="shared" si="6"/>
        <v>1264650.9750000001</v>
      </c>
      <c r="T15" s="165">
        <f t="shared" si="7"/>
        <v>3419241.5249999999</v>
      </c>
      <c r="U15" s="217">
        <f t="shared" si="1"/>
        <v>3077317.3725000001</v>
      </c>
      <c r="V15" s="166">
        <v>0.1</v>
      </c>
    </row>
    <row r="16" spans="3:24" s="167" customFormat="1" ht="15.75" x14ac:dyDescent="0.25">
      <c r="C16" s="8">
        <v>10</v>
      </c>
      <c r="D16" s="231" t="s">
        <v>322</v>
      </c>
      <c r="E16" s="199">
        <v>4</v>
      </c>
      <c r="F16" s="198">
        <f t="shared" si="2"/>
        <v>13.12</v>
      </c>
      <c r="G16" s="203">
        <v>2009</v>
      </c>
      <c r="H16" s="203" t="s">
        <v>220</v>
      </c>
      <c r="I16" s="198" t="s">
        <v>221</v>
      </c>
      <c r="J16" s="160">
        <v>44438</v>
      </c>
      <c r="K16" s="169">
        <f t="shared" si="0"/>
        <v>12</v>
      </c>
      <c r="L16" s="198">
        <v>40</v>
      </c>
      <c r="M16" s="34">
        <v>0.1</v>
      </c>
      <c r="N16" s="35">
        <f t="shared" si="3"/>
        <v>2.2499999999999999E-2</v>
      </c>
      <c r="O16" s="35">
        <f t="shared" si="4"/>
        <v>558.17710559075454</v>
      </c>
      <c r="P16" s="202">
        <v>6008.33</v>
      </c>
      <c r="Q16" s="210">
        <v>1350</v>
      </c>
      <c r="R16" s="164">
        <f t="shared" si="5"/>
        <v>8111245.5</v>
      </c>
      <c r="S16" s="165">
        <f t="shared" si="6"/>
        <v>2190036.2850000001</v>
      </c>
      <c r="T16" s="165">
        <f t="shared" si="7"/>
        <v>5921209.2149999999</v>
      </c>
      <c r="U16" s="217">
        <f t="shared" si="1"/>
        <v>5329088.2934999997</v>
      </c>
      <c r="V16" s="166">
        <v>0.1</v>
      </c>
    </row>
    <row r="17" spans="3:22" s="167" customFormat="1" ht="15.75" x14ac:dyDescent="0.25">
      <c r="C17" s="8">
        <v>12</v>
      </c>
      <c r="D17" s="231" t="s">
        <v>323</v>
      </c>
      <c r="E17" s="199">
        <v>4</v>
      </c>
      <c r="F17" s="198">
        <f t="shared" si="2"/>
        <v>13.12</v>
      </c>
      <c r="G17" s="203">
        <v>2009</v>
      </c>
      <c r="H17" s="203" t="s">
        <v>220</v>
      </c>
      <c r="I17" s="198" t="s">
        <v>221</v>
      </c>
      <c r="J17" s="160">
        <v>44438</v>
      </c>
      <c r="K17" s="169">
        <f t="shared" si="0"/>
        <v>12</v>
      </c>
      <c r="L17" s="198">
        <v>40</v>
      </c>
      <c r="M17" s="34">
        <v>0.1</v>
      </c>
      <c r="N17" s="35">
        <f t="shared" si="3"/>
        <v>2.2499999999999999E-2</v>
      </c>
      <c r="O17" s="35">
        <f t="shared" si="4"/>
        <v>76.543542483417241</v>
      </c>
      <c r="P17" s="201">
        <v>823.93</v>
      </c>
      <c r="Q17" s="210">
        <v>1350</v>
      </c>
      <c r="R17" s="164">
        <f t="shared" si="5"/>
        <v>1112305.5</v>
      </c>
      <c r="S17" s="165">
        <f t="shared" si="6"/>
        <v>300322.48499999999</v>
      </c>
      <c r="T17" s="165">
        <f t="shared" si="7"/>
        <v>811983.01500000001</v>
      </c>
      <c r="U17" s="217">
        <f t="shared" si="1"/>
        <v>730784.71350000007</v>
      </c>
      <c r="V17" s="166">
        <v>0.1</v>
      </c>
    </row>
    <row r="18" spans="3:22" s="167" customFormat="1" ht="15.75" x14ac:dyDescent="0.25">
      <c r="C18" s="8">
        <v>13</v>
      </c>
      <c r="D18" s="231" t="s">
        <v>324</v>
      </c>
      <c r="E18" s="199">
        <v>4</v>
      </c>
      <c r="F18" s="198">
        <f t="shared" si="2"/>
        <v>13.12</v>
      </c>
      <c r="G18" s="203">
        <v>2009</v>
      </c>
      <c r="H18" s="203" t="s">
        <v>220</v>
      </c>
      <c r="I18" s="198" t="s">
        <v>221</v>
      </c>
      <c r="J18" s="160">
        <v>44438</v>
      </c>
      <c r="K18" s="169">
        <f t="shared" si="0"/>
        <v>12</v>
      </c>
      <c r="L18" s="198">
        <v>40</v>
      </c>
      <c r="M18" s="34">
        <v>0.1</v>
      </c>
      <c r="N18" s="35">
        <f t="shared" si="3"/>
        <v>2.2499999999999999E-2</v>
      </c>
      <c r="O18" s="35">
        <f t="shared" si="4"/>
        <v>76.543542483417241</v>
      </c>
      <c r="P18" s="201">
        <v>823.93</v>
      </c>
      <c r="Q18" s="210">
        <v>1350</v>
      </c>
      <c r="R18" s="164">
        <f t="shared" si="5"/>
        <v>1112305.5</v>
      </c>
      <c r="S18" s="165">
        <f t="shared" si="6"/>
        <v>300322.48499999999</v>
      </c>
      <c r="T18" s="165">
        <f t="shared" si="7"/>
        <v>811983.01500000001</v>
      </c>
      <c r="U18" s="217">
        <f t="shared" si="1"/>
        <v>730784.71350000007</v>
      </c>
      <c r="V18" s="166">
        <v>0.1</v>
      </c>
    </row>
    <row r="19" spans="3:22" s="167" customFormat="1" ht="15.75" x14ac:dyDescent="0.25">
      <c r="C19" s="8">
        <v>14</v>
      </c>
      <c r="D19" s="231" t="s">
        <v>325</v>
      </c>
      <c r="E19" s="199">
        <v>4</v>
      </c>
      <c r="F19" s="198">
        <f t="shared" si="2"/>
        <v>13.12</v>
      </c>
      <c r="G19" s="203">
        <v>2009</v>
      </c>
      <c r="H19" s="203" t="s">
        <v>220</v>
      </c>
      <c r="I19" s="198" t="s">
        <v>221</v>
      </c>
      <c r="J19" s="160">
        <v>44438</v>
      </c>
      <c r="K19" s="169">
        <f t="shared" si="0"/>
        <v>12</v>
      </c>
      <c r="L19" s="198">
        <v>40</v>
      </c>
      <c r="M19" s="34">
        <v>0.1</v>
      </c>
      <c r="N19" s="35">
        <f t="shared" si="3"/>
        <v>2.2499999999999999E-2</v>
      </c>
      <c r="O19" s="35">
        <f t="shared" si="4"/>
        <v>29.136396573828058</v>
      </c>
      <c r="P19" s="201">
        <v>313.63</v>
      </c>
      <c r="Q19" s="210">
        <v>1350</v>
      </c>
      <c r="R19" s="164">
        <f t="shared" si="5"/>
        <v>423400.5</v>
      </c>
      <c r="S19" s="165">
        <f t="shared" si="6"/>
        <v>114318.13499999999</v>
      </c>
      <c r="T19" s="165">
        <f t="shared" si="7"/>
        <v>309082.36499999999</v>
      </c>
      <c r="U19" s="217">
        <f t="shared" si="1"/>
        <v>278174.12849999999</v>
      </c>
      <c r="V19" s="166">
        <v>0.1</v>
      </c>
    </row>
    <row r="20" spans="3:22" s="167" customFormat="1" ht="15.75" x14ac:dyDescent="0.25">
      <c r="C20" s="8">
        <v>15</v>
      </c>
      <c r="D20" s="231" t="s">
        <v>326</v>
      </c>
      <c r="E20" s="199">
        <v>3.5</v>
      </c>
      <c r="F20" s="198">
        <f t="shared" si="2"/>
        <v>11.479999999999999</v>
      </c>
      <c r="G20" s="203">
        <v>2009</v>
      </c>
      <c r="H20" s="203" t="s">
        <v>220</v>
      </c>
      <c r="I20" s="198" t="s">
        <v>221</v>
      </c>
      <c r="J20" s="160">
        <v>44438</v>
      </c>
      <c r="K20" s="169">
        <f t="shared" si="0"/>
        <v>12</v>
      </c>
      <c r="L20" s="198">
        <v>40</v>
      </c>
      <c r="M20" s="34">
        <v>0.1</v>
      </c>
      <c r="N20" s="35">
        <f t="shared" si="3"/>
        <v>2.2499999999999999E-2</v>
      </c>
      <c r="O20" s="35">
        <f t="shared" si="4"/>
        <v>105.5182921164601</v>
      </c>
      <c r="P20" s="202">
        <v>1135.82</v>
      </c>
      <c r="Q20" s="210">
        <v>1350</v>
      </c>
      <c r="R20" s="164">
        <f t="shared" si="5"/>
        <v>1533357</v>
      </c>
      <c r="S20" s="165">
        <f t="shared" si="6"/>
        <v>414006.39</v>
      </c>
      <c r="T20" s="165">
        <f t="shared" si="7"/>
        <v>1119350.6099999999</v>
      </c>
      <c r="U20" s="217">
        <f t="shared" si="1"/>
        <v>1007415.5489999999</v>
      </c>
      <c r="V20" s="166">
        <v>0.1</v>
      </c>
    </row>
    <row r="21" spans="3:22" s="167" customFormat="1" ht="15.75" x14ac:dyDescent="0.25">
      <c r="C21" s="8">
        <v>17</v>
      </c>
      <c r="D21" s="231" t="s">
        <v>327</v>
      </c>
      <c r="E21" s="199">
        <v>3.5</v>
      </c>
      <c r="F21" s="198">
        <f t="shared" si="2"/>
        <v>11.479999999999999</v>
      </c>
      <c r="G21" s="203">
        <v>2009</v>
      </c>
      <c r="H21" s="203" t="s">
        <v>220</v>
      </c>
      <c r="I21" s="198" t="s">
        <v>221</v>
      </c>
      <c r="J21" s="160">
        <v>44438</v>
      </c>
      <c r="K21" s="169">
        <f t="shared" si="0"/>
        <v>12</v>
      </c>
      <c r="L21" s="198">
        <v>40</v>
      </c>
      <c r="M21" s="34">
        <v>0.1</v>
      </c>
      <c r="N21" s="35">
        <f t="shared" si="3"/>
        <v>2.2499999999999999E-2</v>
      </c>
      <c r="O21" s="35">
        <f t="shared" si="4"/>
        <v>101.26902138570445</v>
      </c>
      <c r="P21" s="202">
        <v>1090.08</v>
      </c>
      <c r="Q21" s="210">
        <v>1350</v>
      </c>
      <c r="R21" s="164">
        <f t="shared" si="5"/>
        <v>1471608</v>
      </c>
      <c r="S21" s="165">
        <f t="shared" si="6"/>
        <v>397334.16000000003</v>
      </c>
      <c r="T21" s="165">
        <f t="shared" si="7"/>
        <v>1074273.8399999999</v>
      </c>
      <c r="U21" s="217">
        <f t="shared" si="1"/>
        <v>966846.45599999989</v>
      </c>
      <c r="V21" s="166">
        <v>0.1</v>
      </c>
    </row>
    <row r="22" spans="3:22" s="167" customFormat="1" ht="15.75" x14ac:dyDescent="0.25">
      <c r="C22" s="8">
        <v>18</v>
      </c>
      <c r="D22" s="231" t="s">
        <v>328</v>
      </c>
      <c r="E22" s="199">
        <v>4</v>
      </c>
      <c r="F22" s="198">
        <f t="shared" si="2"/>
        <v>13.12</v>
      </c>
      <c r="G22" s="203">
        <v>2009</v>
      </c>
      <c r="H22" s="203" t="s">
        <v>220</v>
      </c>
      <c r="I22" s="198" t="s">
        <v>221</v>
      </c>
      <c r="J22" s="160">
        <v>44438</v>
      </c>
      <c r="K22" s="169">
        <f t="shared" si="0"/>
        <v>12</v>
      </c>
      <c r="L22" s="198">
        <v>40</v>
      </c>
      <c r="M22" s="34">
        <v>0.1</v>
      </c>
      <c r="N22" s="35">
        <f t="shared" si="3"/>
        <v>2.2499999999999999E-2</v>
      </c>
      <c r="O22" s="35">
        <f t="shared" si="4"/>
        <v>505.84344400884407</v>
      </c>
      <c r="P22" s="202">
        <v>5445</v>
      </c>
      <c r="Q22" s="210">
        <v>1350</v>
      </c>
      <c r="R22" s="164">
        <f t="shared" si="5"/>
        <v>7350750</v>
      </c>
      <c r="S22" s="165">
        <f t="shared" si="6"/>
        <v>1984702.5</v>
      </c>
      <c r="T22" s="165">
        <f t="shared" si="7"/>
        <v>5366047.5</v>
      </c>
      <c r="U22" s="217">
        <f t="shared" si="1"/>
        <v>4829442.75</v>
      </c>
      <c r="V22" s="166">
        <v>0.1</v>
      </c>
    </row>
    <row r="23" spans="3:22" s="167" customFormat="1" ht="15.75" x14ac:dyDescent="0.25">
      <c r="C23" s="8">
        <v>19</v>
      </c>
      <c r="D23" s="231" t="s">
        <v>329</v>
      </c>
      <c r="E23" s="199">
        <v>4.2</v>
      </c>
      <c r="F23" s="198">
        <f t="shared" si="2"/>
        <v>13.776</v>
      </c>
      <c r="G23" s="203">
        <v>2009</v>
      </c>
      <c r="H23" s="203" t="s">
        <v>220</v>
      </c>
      <c r="I23" s="198" t="s">
        <v>221</v>
      </c>
      <c r="J23" s="160">
        <v>44438</v>
      </c>
      <c r="K23" s="169">
        <f t="shared" si="0"/>
        <v>12</v>
      </c>
      <c r="L23" s="198">
        <v>40</v>
      </c>
      <c r="M23" s="34">
        <v>0.1</v>
      </c>
      <c r="N23" s="35">
        <f t="shared" si="3"/>
        <v>2.2499999999999999E-2</v>
      </c>
      <c r="O23" s="35">
        <f t="shared" si="4"/>
        <v>5.7654075546719676</v>
      </c>
      <c r="P23" s="201">
        <v>62.06</v>
      </c>
      <c r="Q23" s="210">
        <v>1350</v>
      </c>
      <c r="R23" s="164">
        <f t="shared" si="5"/>
        <v>83781</v>
      </c>
      <c r="S23" s="165">
        <f t="shared" si="6"/>
        <v>22620.87</v>
      </c>
      <c r="T23" s="165">
        <f t="shared" si="7"/>
        <v>61160.130000000005</v>
      </c>
      <c r="U23" s="217">
        <f t="shared" si="1"/>
        <v>55044.117000000006</v>
      </c>
      <c r="V23" s="166">
        <v>0.1</v>
      </c>
    </row>
    <row r="24" spans="3:22" s="167" customFormat="1" ht="15.75" x14ac:dyDescent="0.25">
      <c r="C24" s="8">
        <v>20</v>
      </c>
      <c r="D24" s="231" t="s">
        <v>330</v>
      </c>
      <c r="E24" s="199"/>
      <c r="F24" s="198">
        <f>3.8*3.28</f>
        <v>12.463999999999999</v>
      </c>
      <c r="G24" s="203">
        <v>2009</v>
      </c>
      <c r="H24" s="203" t="s">
        <v>220</v>
      </c>
      <c r="I24" s="198" t="s">
        <v>221</v>
      </c>
      <c r="J24" s="160">
        <v>44438</v>
      </c>
      <c r="K24" s="169">
        <f t="shared" si="0"/>
        <v>12</v>
      </c>
      <c r="L24" s="198">
        <v>40</v>
      </c>
      <c r="M24" s="34">
        <v>0.1</v>
      </c>
      <c r="N24" s="35">
        <f t="shared" si="3"/>
        <v>2.2499999999999999E-2</v>
      </c>
      <c r="O24" s="35">
        <f t="shared" si="4"/>
        <v>1.1408186395644822</v>
      </c>
      <c r="P24" s="201">
        <v>12.28</v>
      </c>
      <c r="Q24" s="210">
        <v>1350</v>
      </c>
      <c r="R24" s="164">
        <f t="shared" si="5"/>
        <v>16578</v>
      </c>
      <c r="S24" s="165">
        <f t="shared" si="6"/>
        <v>4476.0599999999995</v>
      </c>
      <c r="T24" s="165">
        <f t="shared" si="7"/>
        <v>12101.94</v>
      </c>
      <c r="U24" s="217">
        <f t="shared" si="1"/>
        <v>10891.746000000001</v>
      </c>
      <c r="V24" s="166">
        <v>0.1</v>
      </c>
    </row>
    <row r="25" spans="3:22" s="167" customFormat="1" ht="15" customHeight="1" x14ac:dyDescent="0.25">
      <c r="C25" s="8">
        <v>21</v>
      </c>
      <c r="D25" s="231" t="s">
        <v>331</v>
      </c>
      <c r="E25" s="199"/>
      <c r="F25" s="198">
        <f>4*3.28</f>
        <v>13.12</v>
      </c>
      <c r="G25" s="203">
        <v>2009</v>
      </c>
      <c r="H25" s="203" t="s">
        <v>220</v>
      </c>
      <c r="I25" s="198" t="s">
        <v>221</v>
      </c>
      <c r="J25" s="160">
        <v>44438</v>
      </c>
      <c r="K25" s="169">
        <f t="shared" si="0"/>
        <v>12</v>
      </c>
      <c r="L25" s="198">
        <v>40</v>
      </c>
      <c r="M25" s="34">
        <v>0.1</v>
      </c>
      <c r="N25" s="35">
        <f t="shared" si="3"/>
        <v>2.2499999999999999E-2</v>
      </c>
      <c r="O25" s="35">
        <f t="shared" si="4"/>
        <v>647.98498727262586</v>
      </c>
      <c r="P25" s="202">
        <v>6975.04</v>
      </c>
      <c r="Q25" s="210">
        <v>1350</v>
      </c>
      <c r="R25" s="164">
        <f t="shared" si="5"/>
        <v>9416304</v>
      </c>
      <c r="S25" s="165">
        <f t="shared" si="6"/>
        <v>2542402.08</v>
      </c>
      <c r="T25" s="165">
        <f t="shared" si="7"/>
        <v>6873901.9199999999</v>
      </c>
      <c r="U25" s="217">
        <f t="shared" si="1"/>
        <v>6186511.7280000001</v>
      </c>
      <c r="V25" s="166">
        <v>0.1</v>
      </c>
    </row>
    <row r="26" spans="3:22" s="167" customFormat="1" ht="15.75" x14ac:dyDescent="0.25">
      <c r="C26" s="8">
        <v>22</v>
      </c>
      <c r="D26" s="231" t="s">
        <v>332</v>
      </c>
      <c r="E26" s="199">
        <v>4</v>
      </c>
      <c r="F26" s="198">
        <f t="shared" si="2"/>
        <v>13.12</v>
      </c>
      <c r="G26" s="203">
        <v>2009</v>
      </c>
      <c r="H26" s="203" t="s">
        <v>220</v>
      </c>
      <c r="I26" s="198" t="s">
        <v>221</v>
      </c>
      <c r="J26" s="160">
        <v>44438</v>
      </c>
      <c r="K26" s="169">
        <f t="shared" si="0"/>
        <v>12</v>
      </c>
      <c r="L26" s="198">
        <v>40</v>
      </c>
      <c r="M26" s="34">
        <v>0.1</v>
      </c>
      <c r="N26" s="35">
        <f t="shared" si="3"/>
        <v>2.2499999999999999E-2</v>
      </c>
      <c r="O26" s="35">
        <f t="shared" si="4"/>
        <v>104.20374946582189</v>
      </c>
      <c r="P26" s="202">
        <v>1121.67</v>
      </c>
      <c r="Q26" s="210">
        <v>1350</v>
      </c>
      <c r="R26" s="164">
        <f t="shared" si="5"/>
        <v>1514254.5</v>
      </c>
      <c r="S26" s="165">
        <f t="shared" si="6"/>
        <v>408848.71499999997</v>
      </c>
      <c r="T26" s="165">
        <f t="shared" si="7"/>
        <v>1105405.7850000001</v>
      </c>
      <c r="U26" s="217">
        <f t="shared" si="1"/>
        <v>994865.2065000002</v>
      </c>
      <c r="V26" s="166">
        <v>0.1</v>
      </c>
    </row>
    <row r="27" spans="3:22" s="167" customFormat="1" ht="15.75" x14ac:dyDescent="0.25">
      <c r="C27" s="8">
        <v>23</v>
      </c>
      <c r="D27" s="231" t="s">
        <v>333</v>
      </c>
      <c r="E27" s="199">
        <v>3.5</v>
      </c>
      <c r="F27" s="198">
        <f t="shared" si="2"/>
        <v>11.479999999999999</v>
      </c>
      <c r="G27" s="203">
        <v>2009</v>
      </c>
      <c r="H27" s="203" t="s">
        <v>220</v>
      </c>
      <c r="I27" s="198" t="s">
        <v>221</v>
      </c>
      <c r="J27" s="160">
        <v>44438</v>
      </c>
      <c r="K27" s="169">
        <f t="shared" si="0"/>
        <v>12</v>
      </c>
      <c r="L27" s="198">
        <v>40</v>
      </c>
      <c r="M27" s="34">
        <v>0.1</v>
      </c>
      <c r="N27" s="35">
        <f t="shared" si="3"/>
        <v>2.2499999999999999E-2</v>
      </c>
      <c r="O27" s="35">
        <f t="shared" si="4"/>
        <v>73.700785938574157</v>
      </c>
      <c r="P27" s="201">
        <v>793.33</v>
      </c>
      <c r="Q27" s="210">
        <v>1350</v>
      </c>
      <c r="R27" s="164">
        <f t="shared" si="5"/>
        <v>1070995.5</v>
      </c>
      <c r="S27" s="165">
        <f t="shared" si="6"/>
        <v>289168.78500000003</v>
      </c>
      <c r="T27" s="165">
        <f t="shared" si="7"/>
        <v>781826.71499999997</v>
      </c>
      <c r="U27" s="217">
        <f t="shared" si="1"/>
        <v>703644.04350000003</v>
      </c>
      <c r="V27" s="166">
        <v>0.1</v>
      </c>
    </row>
    <row r="28" spans="3:22" s="167" customFormat="1" ht="15.75" x14ac:dyDescent="0.25">
      <c r="C28" s="8">
        <v>24</v>
      </c>
      <c r="D28" s="231" t="s">
        <v>334</v>
      </c>
      <c r="E28" s="199">
        <v>4</v>
      </c>
      <c r="F28" s="198">
        <f t="shared" si="2"/>
        <v>13.12</v>
      </c>
      <c r="G28" s="203">
        <v>2009</v>
      </c>
      <c r="H28" s="203" t="s">
        <v>220</v>
      </c>
      <c r="I28" s="198" t="s">
        <v>221</v>
      </c>
      <c r="J28" s="160">
        <v>44438</v>
      </c>
      <c r="K28" s="169">
        <f t="shared" si="0"/>
        <v>12</v>
      </c>
      <c r="L28" s="198">
        <v>40</v>
      </c>
      <c r="M28" s="34">
        <v>0.1</v>
      </c>
      <c r="N28" s="35">
        <f t="shared" si="3"/>
        <v>2.2499999999999999E-2</v>
      </c>
      <c r="O28" s="35">
        <f t="shared" si="4"/>
        <v>436.84621244495639</v>
      </c>
      <c r="P28" s="202">
        <v>4702.3</v>
      </c>
      <c r="Q28" s="210">
        <v>1350</v>
      </c>
      <c r="R28" s="164">
        <f t="shared" si="5"/>
        <v>6348105</v>
      </c>
      <c r="S28" s="165">
        <f t="shared" si="6"/>
        <v>1713988.3499999999</v>
      </c>
      <c r="T28" s="165">
        <f t="shared" si="7"/>
        <v>4634116.6500000004</v>
      </c>
      <c r="U28" s="217">
        <f t="shared" si="1"/>
        <v>4170704.9850000003</v>
      </c>
      <c r="V28" s="166">
        <v>0.1</v>
      </c>
    </row>
    <row r="29" spans="3:22" s="167" customFormat="1" ht="15.75" x14ac:dyDescent="0.25">
      <c r="C29" s="8">
        <v>25</v>
      </c>
      <c r="D29" s="231" t="s">
        <v>335</v>
      </c>
      <c r="E29" s="199">
        <v>4</v>
      </c>
      <c r="F29" s="198">
        <f t="shared" si="2"/>
        <v>13.12</v>
      </c>
      <c r="G29" s="203">
        <v>2009</v>
      </c>
      <c r="H29" s="203" t="s">
        <v>220</v>
      </c>
      <c r="I29" s="198" t="s">
        <v>221</v>
      </c>
      <c r="J29" s="160">
        <v>44438</v>
      </c>
      <c r="K29" s="169">
        <f t="shared" si="0"/>
        <v>12</v>
      </c>
      <c r="L29" s="198">
        <v>40</v>
      </c>
      <c r="M29" s="34">
        <v>0.1</v>
      </c>
      <c r="N29" s="35">
        <f t="shared" si="3"/>
        <v>2.2499999999999999E-2</v>
      </c>
      <c r="O29" s="35">
        <f t="shared" si="4"/>
        <v>254.94509578045745</v>
      </c>
      <c r="P29" s="202">
        <v>2744.28</v>
      </c>
      <c r="Q29" s="210">
        <v>1350</v>
      </c>
      <c r="R29" s="164">
        <f t="shared" si="5"/>
        <v>3704778.0000000005</v>
      </c>
      <c r="S29" s="165">
        <f t="shared" si="6"/>
        <v>1000290.06</v>
      </c>
      <c r="T29" s="165">
        <f t="shared" si="7"/>
        <v>2704487.9400000004</v>
      </c>
      <c r="U29" s="217">
        <f t="shared" si="1"/>
        <v>2434039.1460000006</v>
      </c>
      <c r="V29" s="166">
        <v>0.1</v>
      </c>
    </row>
    <row r="30" spans="3:22" s="167" customFormat="1" ht="15.75" x14ac:dyDescent="0.25">
      <c r="C30" s="8">
        <v>26</v>
      </c>
      <c r="D30" s="231" t="s">
        <v>336</v>
      </c>
      <c r="E30" s="199">
        <v>4</v>
      </c>
      <c r="F30" s="198">
        <f t="shared" si="2"/>
        <v>13.12</v>
      </c>
      <c r="G30" s="203">
        <v>2009</v>
      </c>
      <c r="H30" s="203" t="s">
        <v>220</v>
      </c>
      <c r="I30" s="198" t="s">
        <v>221</v>
      </c>
      <c r="J30" s="160">
        <v>44438</v>
      </c>
      <c r="K30" s="169">
        <f t="shared" si="0"/>
        <v>12</v>
      </c>
      <c r="L30" s="198">
        <v>40</v>
      </c>
      <c r="M30" s="34">
        <v>0.1</v>
      </c>
      <c r="N30" s="35">
        <f t="shared" si="3"/>
        <v>2.2499999999999999E-2</v>
      </c>
      <c r="O30" s="35">
        <f t="shared" si="4"/>
        <v>104.20374946582189</v>
      </c>
      <c r="P30" s="202">
        <v>1121.67</v>
      </c>
      <c r="Q30" s="210">
        <v>1350</v>
      </c>
      <c r="R30" s="164">
        <f t="shared" si="5"/>
        <v>1514254.5</v>
      </c>
      <c r="S30" s="165">
        <f t="shared" si="6"/>
        <v>408848.71499999997</v>
      </c>
      <c r="T30" s="165">
        <f t="shared" si="7"/>
        <v>1105405.7850000001</v>
      </c>
      <c r="U30" s="217">
        <f t="shared" si="1"/>
        <v>994865.2065000002</v>
      </c>
      <c r="V30" s="166">
        <v>0.1</v>
      </c>
    </row>
    <row r="31" spans="3:22" s="167" customFormat="1" ht="15.75" x14ac:dyDescent="0.25">
      <c r="C31" s="8">
        <v>27</v>
      </c>
      <c r="D31" s="231" t="s">
        <v>292</v>
      </c>
      <c r="E31" s="199"/>
      <c r="F31" s="198">
        <f>4*3.28</f>
        <v>13.12</v>
      </c>
      <c r="G31" s="203">
        <v>2009</v>
      </c>
      <c r="H31" s="203" t="s">
        <v>220</v>
      </c>
      <c r="I31" s="198" t="s">
        <v>221</v>
      </c>
      <c r="J31" s="160">
        <v>44438</v>
      </c>
      <c r="K31" s="169">
        <f t="shared" si="0"/>
        <v>12</v>
      </c>
      <c r="L31" s="198">
        <v>40</v>
      </c>
      <c r="M31" s="34">
        <v>0.1</v>
      </c>
      <c r="N31" s="35">
        <f t="shared" si="3"/>
        <v>2.2499999999999999E-2</v>
      </c>
      <c r="O31" s="35">
        <f t="shared" si="4"/>
        <v>653.71137660021179</v>
      </c>
      <c r="P31" s="202">
        <v>7036.68</v>
      </c>
      <c r="Q31" s="210">
        <v>1350</v>
      </c>
      <c r="R31" s="164">
        <f>P31*Q31</f>
        <v>9499518</v>
      </c>
      <c r="S31" s="165">
        <f t="shared" si="6"/>
        <v>2564869.86</v>
      </c>
      <c r="T31" s="165">
        <f t="shared" si="7"/>
        <v>6934648.1400000006</v>
      </c>
      <c r="U31" s="217">
        <f t="shared" si="1"/>
        <v>6241183.3260000004</v>
      </c>
      <c r="V31" s="166">
        <v>0.1</v>
      </c>
    </row>
    <row r="32" spans="3:22" s="167" customFormat="1" x14ac:dyDescent="0.25">
      <c r="C32" s="294" t="s">
        <v>266</v>
      </c>
      <c r="D32" s="295"/>
      <c r="E32" s="295"/>
      <c r="F32" s="295"/>
      <c r="G32" s="295"/>
      <c r="H32" s="295"/>
      <c r="I32" s="295"/>
      <c r="J32" s="295"/>
      <c r="K32" s="295"/>
      <c r="L32" s="295"/>
      <c r="M32" s="295"/>
      <c r="N32" s="296"/>
      <c r="O32" s="200"/>
      <c r="P32" s="230">
        <f>SUM(P7:P31)</f>
        <v>61044.609999999993</v>
      </c>
      <c r="Q32" s="220"/>
      <c r="R32" s="221">
        <f>SUM(R7:R31)</f>
        <v>82410223.5</v>
      </c>
      <c r="S32" s="221">
        <f>SUM(S7:S31)</f>
        <v>22250760.344999999</v>
      </c>
      <c r="T32" s="221">
        <f>MAX(R32-S32,0)</f>
        <v>60159463.155000001</v>
      </c>
      <c r="U32" s="222">
        <f>SUM(U7:U31)</f>
        <v>54143516.839499995</v>
      </c>
      <c r="V32" s="223"/>
    </row>
    <row r="33" spans="3:22" s="167" customFormat="1" x14ac:dyDescent="0.25">
      <c r="C33" s="283"/>
      <c r="D33" s="283"/>
      <c r="E33" s="283"/>
      <c r="F33" s="283"/>
      <c r="G33" s="283"/>
      <c r="H33" s="283"/>
      <c r="I33" s="283"/>
      <c r="J33" s="283"/>
      <c r="K33" s="283"/>
      <c r="L33" s="283"/>
      <c r="M33" s="283"/>
      <c r="N33" s="283"/>
      <c r="O33" s="283"/>
      <c r="P33" s="283"/>
      <c r="Q33" s="283"/>
      <c r="R33" s="283"/>
      <c r="S33" s="283"/>
      <c r="T33" s="283"/>
      <c r="U33" s="283"/>
    </row>
    <row r="34" spans="3:22" ht="15.75" x14ac:dyDescent="0.25">
      <c r="C34" s="291" t="s">
        <v>307</v>
      </c>
      <c r="D34" s="292"/>
      <c r="E34" s="292"/>
      <c r="F34" s="292"/>
      <c r="G34" s="292"/>
      <c r="H34" s="292"/>
      <c r="I34" s="292"/>
      <c r="J34" s="292"/>
      <c r="K34" s="292"/>
      <c r="L34" s="292"/>
      <c r="M34" s="292"/>
      <c r="N34" s="292"/>
      <c r="O34" s="292"/>
      <c r="P34" s="292"/>
      <c r="Q34" s="292"/>
      <c r="R34" s="292"/>
      <c r="S34" s="292"/>
      <c r="T34" s="292"/>
      <c r="U34" s="293"/>
    </row>
    <row r="35" spans="3:22" ht="15.75" x14ac:dyDescent="0.25">
      <c r="C35" s="227">
        <v>28</v>
      </c>
      <c r="D35" s="231" t="s">
        <v>337</v>
      </c>
      <c r="E35" s="199">
        <v>15.24</v>
      </c>
      <c r="F35" s="198">
        <f t="shared" si="2"/>
        <v>49.987199999999994</v>
      </c>
      <c r="G35" s="203">
        <v>2009</v>
      </c>
      <c r="H35" s="203" t="s">
        <v>344</v>
      </c>
      <c r="I35" s="198" t="s">
        <v>221</v>
      </c>
      <c r="J35" s="160">
        <v>44438</v>
      </c>
      <c r="K35" s="169">
        <f t="shared" ref="K35:K41" si="8">YEAR(J35)-G35</f>
        <v>12</v>
      </c>
      <c r="L35" s="198">
        <v>40</v>
      </c>
      <c r="M35" s="34">
        <v>0.1</v>
      </c>
      <c r="N35" s="207">
        <v>0.02</v>
      </c>
      <c r="O35" s="35">
        <f>P35/10.7642</f>
        <v>853.58131584325827</v>
      </c>
      <c r="P35" s="241">
        <v>9188.1200000000008</v>
      </c>
      <c r="Q35" s="211">
        <v>1050</v>
      </c>
      <c r="R35" s="213">
        <f>Q35*P35</f>
        <v>9647526</v>
      </c>
      <c r="S35" s="211">
        <f>R35*N35*K35</f>
        <v>2315406.2399999998</v>
      </c>
      <c r="T35" s="211">
        <f>MAX(R35-S35,0)</f>
        <v>7332119.7599999998</v>
      </c>
      <c r="U35" s="218">
        <f>IF(T35&gt;=R35*M35,T35*(1-V35),R35*M35)</f>
        <v>6598907.784</v>
      </c>
      <c r="V35" s="205">
        <v>0.1</v>
      </c>
    </row>
    <row r="36" spans="3:22" s="240" customFormat="1" ht="75" x14ac:dyDescent="0.25">
      <c r="C36" s="234">
        <v>29</v>
      </c>
      <c r="D36" s="235" t="s">
        <v>338</v>
      </c>
      <c r="E36" s="236">
        <v>15.24</v>
      </c>
      <c r="F36" s="234">
        <f t="shared" si="2"/>
        <v>49.987199999999994</v>
      </c>
      <c r="G36" s="237">
        <v>2009</v>
      </c>
      <c r="H36" s="237" t="s">
        <v>344</v>
      </c>
      <c r="I36" s="29" t="s">
        <v>375</v>
      </c>
      <c r="J36" s="160">
        <v>44438</v>
      </c>
      <c r="K36" s="169">
        <f t="shared" si="8"/>
        <v>12</v>
      </c>
      <c r="L36" s="234">
        <v>40</v>
      </c>
      <c r="M36" s="34">
        <v>0.1</v>
      </c>
      <c r="N36" s="35">
        <f t="shared" ref="N36:N41" si="9">(1-M36)/L36</f>
        <v>2.2499999999999999E-2</v>
      </c>
      <c r="O36" s="35">
        <f t="shared" ref="O36:O41" si="10">P36/10.7642</f>
        <v>15834.114007543523</v>
      </c>
      <c r="P36" s="182">
        <v>170441.57</v>
      </c>
      <c r="Q36" s="238">
        <v>1050</v>
      </c>
      <c r="R36" s="213">
        <f t="shared" ref="R36:R41" si="11">Q36*P36</f>
        <v>178963648.5</v>
      </c>
      <c r="S36" s="238">
        <f t="shared" ref="S36:S41" si="12">R36*N36*K36</f>
        <v>48320185.094999999</v>
      </c>
      <c r="T36" s="238">
        <f t="shared" ref="T36:T41" si="13">MAX(R36-S36,0)</f>
        <v>130643463.405</v>
      </c>
      <c r="U36" s="217">
        <f t="shared" ref="U36:U41" si="14">IF(T36&gt;=R36*M36,T36*(1-V36),R36*M36)</f>
        <v>104514770.72400001</v>
      </c>
      <c r="V36" s="239">
        <v>0.2</v>
      </c>
    </row>
    <row r="37" spans="3:22" s="240" customFormat="1" ht="75" x14ac:dyDescent="0.25">
      <c r="C37" s="234">
        <v>30</v>
      </c>
      <c r="D37" s="235" t="s">
        <v>339</v>
      </c>
      <c r="E37" s="236">
        <v>15.24</v>
      </c>
      <c r="F37" s="234">
        <f t="shared" si="2"/>
        <v>49.987199999999994</v>
      </c>
      <c r="G37" s="237">
        <v>2009</v>
      </c>
      <c r="H37" s="237" t="s">
        <v>344</v>
      </c>
      <c r="I37" s="29" t="s">
        <v>375</v>
      </c>
      <c r="J37" s="160">
        <v>44438</v>
      </c>
      <c r="K37" s="169">
        <f t="shared" si="8"/>
        <v>12</v>
      </c>
      <c r="L37" s="234">
        <v>40</v>
      </c>
      <c r="M37" s="34">
        <v>0.1</v>
      </c>
      <c r="N37" s="35">
        <f t="shared" si="9"/>
        <v>2.2499999999999999E-2</v>
      </c>
      <c r="O37" s="35">
        <f t="shared" si="10"/>
        <v>9305.4959959866956</v>
      </c>
      <c r="P37" s="182">
        <v>100166.22</v>
      </c>
      <c r="Q37" s="238">
        <v>1050</v>
      </c>
      <c r="R37" s="213">
        <f t="shared" si="11"/>
        <v>105174531</v>
      </c>
      <c r="S37" s="238">
        <f t="shared" si="12"/>
        <v>28397123.369999997</v>
      </c>
      <c r="T37" s="238">
        <f t="shared" si="13"/>
        <v>76777407.629999995</v>
      </c>
      <c r="U37" s="217">
        <f t="shared" si="14"/>
        <v>61421926.104000002</v>
      </c>
      <c r="V37" s="239">
        <v>0.2</v>
      </c>
    </row>
    <row r="38" spans="3:22" s="240" customFormat="1" ht="75" x14ac:dyDescent="0.25">
      <c r="C38" s="234">
        <v>31</v>
      </c>
      <c r="D38" s="235" t="s">
        <v>340</v>
      </c>
      <c r="E38" s="236">
        <v>15.24</v>
      </c>
      <c r="F38" s="234">
        <f t="shared" si="2"/>
        <v>49.987199999999994</v>
      </c>
      <c r="G38" s="237">
        <v>2009</v>
      </c>
      <c r="H38" s="237" t="s">
        <v>344</v>
      </c>
      <c r="I38" s="29" t="s">
        <v>375</v>
      </c>
      <c r="J38" s="160">
        <v>44438</v>
      </c>
      <c r="K38" s="169">
        <f t="shared" si="8"/>
        <v>12</v>
      </c>
      <c r="L38" s="234">
        <v>40</v>
      </c>
      <c r="M38" s="34">
        <v>0.1</v>
      </c>
      <c r="N38" s="35">
        <f t="shared" si="9"/>
        <v>2.2499999999999999E-2</v>
      </c>
      <c r="O38" s="35">
        <f t="shared" si="10"/>
        <v>6425.2234258003373</v>
      </c>
      <c r="P38" s="182">
        <v>69162.39</v>
      </c>
      <c r="Q38" s="238">
        <v>1050</v>
      </c>
      <c r="R38" s="213">
        <f t="shared" si="11"/>
        <v>72620509.5</v>
      </c>
      <c r="S38" s="238">
        <f t="shared" si="12"/>
        <v>19607537.564999998</v>
      </c>
      <c r="T38" s="238">
        <f t="shared" si="13"/>
        <v>53012971.935000002</v>
      </c>
      <c r="U38" s="217">
        <f t="shared" si="14"/>
        <v>42410377.548000008</v>
      </c>
      <c r="V38" s="239">
        <v>0.2</v>
      </c>
    </row>
    <row r="39" spans="3:22" ht="15.75" x14ac:dyDescent="0.25">
      <c r="C39" s="227">
        <v>32</v>
      </c>
      <c r="D39" s="231" t="s">
        <v>341</v>
      </c>
      <c r="E39" s="199">
        <v>15.24</v>
      </c>
      <c r="F39" s="198">
        <f t="shared" si="2"/>
        <v>49.987199999999994</v>
      </c>
      <c r="G39" s="203">
        <v>2009</v>
      </c>
      <c r="H39" s="203" t="s">
        <v>344</v>
      </c>
      <c r="I39" s="198" t="s">
        <v>221</v>
      </c>
      <c r="J39" s="160">
        <v>44438</v>
      </c>
      <c r="K39" s="169">
        <f t="shared" si="8"/>
        <v>12</v>
      </c>
      <c r="L39" s="198">
        <v>40</v>
      </c>
      <c r="M39" s="34">
        <v>0.1</v>
      </c>
      <c r="N39" s="207">
        <f t="shared" si="9"/>
        <v>2.2499999999999999E-2</v>
      </c>
      <c r="O39" s="35">
        <f t="shared" si="10"/>
        <v>1365.7772988238792</v>
      </c>
      <c r="P39" s="241">
        <v>14701.5</v>
      </c>
      <c r="Q39" s="211">
        <v>1050</v>
      </c>
      <c r="R39" s="213">
        <f t="shared" si="11"/>
        <v>15436575</v>
      </c>
      <c r="S39" s="211">
        <f t="shared" si="12"/>
        <v>4167875.25</v>
      </c>
      <c r="T39" s="211">
        <f t="shared" si="13"/>
        <v>11268699.75</v>
      </c>
      <c r="U39" s="218">
        <f t="shared" si="14"/>
        <v>10141829.775</v>
      </c>
      <c r="V39" s="205">
        <v>0.1</v>
      </c>
    </row>
    <row r="40" spans="3:22" ht="15.75" x14ac:dyDescent="0.25">
      <c r="C40" s="227">
        <v>33</v>
      </c>
      <c r="D40" s="231" t="s">
        <v>342</v>
      </c>
      <c r="E40" s="199">
        <v>15.24</v>
      </c>
      <c r="F40" s="198">
        <f t="shared" si="2"/>
        <v>49.987199999999994</v>
      </c>
      <c r="G40" s="203">
        <v>2009</v>
      </c>
      <c r="H40" s="203" t="s">
        <v>344</v>
      </c>
      <c r="I40" s="198" t="s">
        <v>221</v>
      </c>
      <c r="J40" s="160">
        <v>44438</v>
      </c>
      <c r="K40" s="169">
        <f t="shared" si="8"/>
        <v>12</v>
      </c>
      <c r="L40" s="198">
        <v>40</v>
      </c>
      <c r="M40" s="34">
        <v>0.1</v>
      </c>
      <c r="N40" s="207">
        <f t="shared" si="9"/>
        <v>2.2499999999999999E-2</v>
      </c>
      <c r="O40" s="35">
        <f t="shared" si="10"/>
        <v>270.42325486334329</v>
      </c>
      <c r="P40" s="241">
        <v>2910.89</v>
      </c>
      <c r="Q40" s="211">
        <v>1050</v>
      </c>
      <c r="R40" s="213">
        <f t="shared" si="11"/>
        <v>3056434.5</v>
      </c>
      <c r="S40" s="211">
        <f t="shared" si="12"/>
        <v>825237.31499999994</v>
      </c>
      <c r="T40" s="211">
        <f t="shared" si="13"/>
        <v>2231197.1850000001</v>
      </c>
      <c r="U40" s="218">
        <f t="shared" si="14"/>
        <v>2008077.4665000001</v>
      </c>
      <c r="V40" s="205">
        <v>0.1</v>
      </c>
    </row>
    <row r="41" spans="3:22" ht="15.75" x14ac:dyDescent="0.25">
      <c r="C41" s="227">
        <v>34</v>
      </c>
      <c r="D41" s="231" t="s">
        <v>343</v>
      </c>
      <c r="E41" s="199">
        <v>15.24</v>
      </c>
      <c r="F41" s="198">
        <f t="shared" si="2"/>
        <v>49.987199999999994</v>
      </c>
      <c r="G41" s="203">
        <v>2009</v>
      </c>
      <c r="H41" s="203" t="s">
        <v>344</v>
      </c>
      <c r="I41" s="198" t="s">
        <v>221</v>
      </c>
      <c r="J41" s="160">
        <v>44438</v>
      </c>
      <c r="K41" s="169">
        <f t="shared" si="8"/>
        <v>12</v>
      </c>
      <c r="L41" s="198">
        <v>40</v>
      </c>
      <c r="M41" s="34">
        <v>0.1</v>
      </c>
      <c r="N41" s="207">
        <f t="shared" si="9"/>
        <v>2.2499999999999999E-2</v>
      </c>
      <c r="O41" s="35">
        <f t="shared" si="10"/>
        <v>75.876516601326614</v>
      </c>
      <c r="P41" s="242">
        <v>816.75</v>
      </c>
      <c r="Q41" s="211">
        <v>1050</v>
      </c>
      <c r="R41" s="213">
        <f t="shared" si="11"/>
        <v>857587.5</v>
      </c>
      <c r="S41" s="211">
        <f t="shared" si="12"/>
        <v>231548.625</v>
      </c>
      <c r="T41" s="211">
        <f t="shared" si="13"/>
        <v>626038.875</v>
      </c>
      <c r="U41" s="218">
        <f t="shared" si="14"/>
        <v>563434.98750000005</v>
      </c>
      <c r="V41" s="205">
        <v>0.1</v>
      </c>
    </row>
    <row r="42" spans="3:22" x14ac:dyDescent="0.25">
      <c r="C42" s="264" t="s">
        <v>277</v>
      </c>
      <c r="D42" s="290"/>
      <c r="E42" s="290"/>
      <c r="F42" s="290"/>
      <c r="G42" s="290"/>
      <c r="H42" s="290"/>
      <c r="I42" s="290"/>
      <c r="J42" s="290"/>
      <c r="K42" s="290"/>
      <c r="L42" s="290"/>
      <c r="M42" s="290"/>
      <c r="N42" s="265"/>
      <c r="O42" s="195">
        <f>SUM(O35:O41)</f>
        <v>34130.491815462367</v>
      </c>
      <c r="P42" s="224">
        <f>SUM(P35:P41)</f>
        <v>367387.44000000006</v>
      </c>
      <c r="Q42" s="85"/>
      <c r="R42" s="225">
        <f>SUM(R35:R41)</f>
        <v>385756812</v>
      </c>
      <c r="S42" s="85">
        <f>SUM(S35:S41)</f>
        <v>103864913.45999999</v>
      </c>
      <c r="T42" s="85">
        <f>MAX(R42-S42,0)</f>
        <v>281891898.54000002</v>
      </c>
      <c r="U42" s="226">
        <f>SUM(U35:U41)</f>
        <v>227659324.38900003</v>
      </c>
      <c r="V42" s="205"/>
    </row>
    <row r="43" spans="3:22" x14ac:dyDescent="0.25">
      <c r="C43" s="298"/>
      <c r="D43" s="298"/>
      <c r="E43" s="298"/>
      <c r="F43" s="298"/>
      <c r="G43" s="298"/>
      <c r="H43" s="298"/>
      <c r="I43" s="298"/>
      <c r="J43" s="298"/>
      <c r="K43" s="298"/>
      <c r="L43" s="298"/>
      <c r="M43" s="298"/>
      <c r="N43" s="298"/>
      <c r="O43" s="298"/>
      <c r="P43" s="298"/>
      <c r="Q43" s="298"/>
      <c r="R43" s="298"/>
      <c r="S43" s="298"/>
      <c r="T43" s="298"/>
      <c r="U43" s="298"/>
    </row>
    <row r="44" spans="3:22" x14ac:dyDescent="0.25">
      <c r="C44" s="264" t="s">
        <v>278</v>
      </c>
      <c r="D44" s="290"/>
      <c r="E44" s="290"/>
      <c r="F44" s="290"/>
      <c r="G44" s="290"/>
      <c r="H44" s="290"/>
      <c r="I44" s="290"/>
      <c r="J44" s="290"/>
      <c r="K44" s="290"/>
      <c r="L44" s="290"/>
      <c r="M44" s="290"/>
      <c r="N44" s="290"/>
      <c r="O44" s="265"/>
      <c r="P44" s="224">
        <f>P42+P32</f>
        <v>428432.05000000005</v>
      </c>
      <c r="Q44" s="85"/>
      <c r="R44" s="225">
        <f>R42+R32</f>
        <v>468167035.5</v>
      </c>
      <c r="S44" s="85">
        <f>S42+S32</f>
        <v>126115673.80499999</v>
      </c>
      <c r="T44" s="85">
        <f>T42+T32</f>
        <v>342051361.69500005</v>
      </c>
      <c r="U44" s="254">
        <f>U42+U32</f>
        <v>281802841.22850001</v>
      </c>
    </row>
  </sheetData>
  <mergeCells count="7">
    <mergeCell ref="C44:O44"/>
    <mergeCell ref="C34:U34"/>
    <mergeCell ref="C32:N32"/>
    <mergeCell ref="C5:U5"/>
    <mergeCell ref="C43:U43"/>
    <mergeCell ref="C33:U33"/>
    <mergeCell ref="C42:N42"/>
  </mergeCells>
  <pageMargins left="0.23622047244094491" right="0.23622047244094491" top="0.74803149606299213" bottom="0.74803149606299213" header="0.31496062992125984" footer="0.31496062992125984"/>
  <pageSetup paperSize="9" scale="4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1:P25"/>
  <sheetViews>
    <sheetView topLeftCell="B1" workbookViewId="0">
      <selection activeCell="J11" sqref="J11"/>
    </sheetView>
  </sheetViews>
  <sheetFormatPr defaultRowHeight="15" x14ac:dyDescent="0.25"/>
  <cols>
    <col min="4" max="4" width="5.85546875" customWidth="1"/>
    <col min="5" max="5" width="26.85546875" customWidth="1"/>
    <col min="6" max="6" width="10.140625" bestFit="1" customWidth="1"/>
    <col min="7" max="7" width="24.85546875" customWidth="1"/>
    <col min="8" max="8" width="19" hidden="1" customWidth="1"/>
    <col min="9" max="9" width="21.7109375" customWidth="1"/>
    <col min="10" max="10" width="23.7109375" customWidth="1"/>
    <col min="12" max="12" width="16.5703125" customWidth="1"/>
    <col min="14" max="14" width="15.85546875" bestFit="1" customWidth="1"/>
    <col min="15" max="16" width="6.42578125" customWidth="1"/>
    <col min="17" max="17" width="12" bestFit="1" customWidth="1"/>
  </cols>
  <sheetData>
    <row r="1" spans="4:16" ht="15.75" thickBot="1" x14ac:dyDescent="0.3"/>
    <row r="2" spans="4:16" ht="30.75" customHeight="1" x14ac:dyDescent="0.25">
      <c r="D2" s="307" t="s">
        <v>361</v>
      </c>
      <c r="E2" s="308"/>
      <c r="F2" s="308"/>
      <c r="G2" s="308"/>
      <c r="H2" s="308"/>
      <c r="I2" s="308"/>
      <c r="J2" s="309"/>
    </row>
    <row r="3" spans="4:16" ht="57.75" x14ac:dyDescent="0.25">
      <c r="D3" s="186" t="s">
        <v>17</v>
      </c>
      <c r="E3" s="11" t="s">
        <v>18</v>
      </c>
      <c r="F3" s="11" t="s">
        <v>24</v>
      </c>
      <c r="G3" s="187" t="s">
        <v>279</v>
      </c>
      <c r="H3" s="187" t="s">
        <v>280</v>
      </c>
      <c r="I3" s="187" t="s">
        <v>376</v>
      </c>
      <c r="J3" s="188" t="s">
        <v>284</v>
      </c>
    </row>
    <row r="4" spans="4:16" x14ac:dyDescent="0.25">
      <c r="D4" s="14">
        <v>1</v>
      </c>
      <c r="E4" s="9" t="s">
        <v>281</v>
      </c>
      <c r="F4" s="8" t="s">
        <v>25</v>
      </c>
      <c r="G4" s="243">
        <v>426343948</v>
      </c>
      <c r="H4" s="243">
        <v>259695982.82999998</v>
      </c>
      <c r="I4" s="243">
        <f>'Factory Building- Unit 1'!$R$64</f>
        <v>693661607.17356586</v>
      </c>
      <c r="J4" s="245">
        <f>'Factory Building- Unit 1'!$U$64</f>
        <v>305477085.58089811</v>
      </c>
    </row>
    <row r="5" spans="4:16" ht="31.5" customHeight="1" x14ac:dyDescent="0.25">
      <c r="D5" s="313" t="s">
        <v>378</v>
      </c>
      <c r="E5" s="314"/>
      <c r="F5" s="314"/>
      <c r="G5" s="314"/>
      <c r="H5" s="314"/>
      <c r="I5" s="314"/>
      <c r="J5" s="245">
        <f>6.5*10^7</f>
        <v>65000000</v>
      </c>
    </row>
    <row r="6" spans="4:16" x14ac:dyDescent="0.25">
      <c r="D6" s="14">
        <v>2</v>
      </c>
      <c r="E6" s="9" t="s">
        <v>282</v>
      </c>
      <c r="F6" s="8" t="s">
        <v>352</v>
      </c>
      <c r="G6" s="243">
        <v>717063953</v>
      </c>
      <c r="H6" s="243">
        <v>350751134.04999995</v>
      </c>
      <c r="I6" s="243">
        <f>'Factory Building-Unit 2'!$R$33</f>
        <v>573415091.61930001</v>
      </c>
      <c r="J6" s="245">
        <f>'Factory Building-Unit 2'!$U$33</f>
        <v>295605350.98240221</v>
      </c>
    </row>
    <row r="7" spans="4:16" ht="30.75" customHeight="1" x14ac:dyDescent="0.25">
      <c r="D7" s="313" t="s">
        <v>378</v>
      </c>
      <c r="E7" s="314"/>
      <c r="F7" s="314"/>
      <c r="G7" s="314"/>
      <c r="H7" s="314"/>
      <c r="I7" s="314"/>
      <c r="J7" s="245">
        <f>8.5*10^7</f>
        <v>85000000</v>
      </c>
    </row>
    <row r="8" spans="4:16" x14ac:dyDescent="0.25">
      <c r="D8" s="14">
        <v>3</v>
      </c>
      <c r="E8" s="9" t="s">
        <v>283</v>
      </c>
      <c r="F8" s="8" t="s">
        <v>353</v>
      </c>
      <c r="G8" s="243">
        <v>394094468</v>
      </c>
      <c r="H8" s="243">
        <v>201099890.29999998</v>
      </c>
      <c r="I8" s="248">
        <f>'Factory Building-Unit 3'!R44</f>
        <v>468167035.5</v>
      </c>
      <c r="J8" s="245">
        <f>'Factory Building-Unit 3'!$U$44</f>
        <v>281802841.22850001</v>
      </c>
      <c r="L8">
        <v>308128961.52999997</v>
      </c>
      <c r="N8" s="244">
        <f>L8-J8</f>
        <v>26326120.301499963</v>
      </c>
      <c r="P8" s="145"/>
    </row>
    <row r="9" spans="4:16" ht="28.5" customHeight="1" x14ac:dyDescent="0.25">
      <c r="D9" s="313" t="s">
        <v>378</v>
      </c>
      <c r="E9" s="314"/>
      <c r="F9" s="314"/>
      <c r="G9" s="314"/>
      <c r="H9" s="314"/>
      <c r="I9" s="314"/>
      <c r="J9" s="245">
        <f>5*10^7</f>
        <v>50000000</v>
      </c>
    </row>
    <row r="10" spans="4:16" ht="15.75" x14ac:dyDescent="0.25">
      <c r="D10" s="305" t="s">
        <v>12</v>
      </c>
      <c r="E10" s="306"/>
      <c r="F10" s="306"/>
      <c r="G10" s="246">
        <f>SUM(G4:G8)</f>
        <v>1537502369</v>
      </c>
      <c r="H10" s="246">
        <f>SUM(H4:H8)</f>
        <v>811547007.17999983</v>
      </c>
      <c r="I10" s="246">
        <f>SUM(I4:I8)</f>
        <v>1735243734.2928658</v>
      </c>
      <c r="J10" s="247">
        <f>SUM(J4:J9)</f>
        <v>1082885277.7918005</v>
      </c>
      <c r="L10" s="244">
        <f>J10*20%</f>
        <v>216577055.5583601</v>
      </c>
    </row>
    <row r="11" spans="4:16" ht="15.75" x14ac:dyDescent="0.25">
      <c r="D11" s="305" t="s">
        <v>377</v>
      </c>
      <c r="E11" s="306"/>
      <c r="F11" s="306"/>
      <c r="G11" s="306"/>
      <c r="H11" s="306"/>
      <c r="I11" s="306"/>
      <c r="J11" s="247">
        <f>SUM(J10:J10)</f>
        <v>1082885277.7918005</v>
      </c>
      <c r="L11" s="244"/>
    </row>
    <row r="12" spans="4:16" x14ac:dyDescent="0.25">
      <c r="D12" s="310" t="s">
        <v>19</v>
      </c>
      <c r="E12" s="311"/>
      <c r="F12" s="311"/>
      <c r="G12" s="311"/>
      <c r="H12" s="311"/>
      <c r="I12" s="311"/>
      <c r="J12" s="312"/>
      <c r="L12" s="244">
        <f>I10*20%</f>
        <v>347048746.8585732</v>
      </c>
    </row>
    <row r="13" spans="4:16" ht="15" customHeight="1" x14ac:dyDescent="0.25">
      <c r="D13" s="299" t="s">
        <v>20</v>
      </c>
      <c r="E13" s="300"/>
      <c r="F13" s="300"/>
      <c r="G13" s="300"/>
      <c r="H13" s="300"/>
      <c r="I13" s="300"/>
      <c r="J13" s="301"/>
    </row>
    <row r="14" spans="4:16" ht="30" customHeight="1" x14ac:dyDescent="0.25">
      <c r="D14" s="299" t="s">
        <v>308</v>
      </c>
      <c r="E14" s="300"/>
      <c r="F14" s="300"/>
      <c r="G14" s="300"/>
      <c r="H14" s="300"/>
      <c r="I14" s="300"/>
      <c r="J14" s="301"/>
    </row>
    <row r="15" spans="4:16" ht="30.75" customHeight="1" thickBot="1" x14ac:dyDescent="0.3">
      <c r="D15" s="302" t="s">
        <v>21</v>
      </c>
      <c r="E15" s="303"/>
      <c r="F15" s="303"/>
      <c r="G15" s="303"/>
      <c r="H15" s="303"/>
      <c r="I15" s="303"/>
      <c r="J15" s="304"/>
    </row>
    <row r="21" spans="11:12" x14ac:dyDescent="0.25">
      <c r="K21">
        <v>2</v>
      </c>
      <c r="L21">
        <v>1.37</v>
      </c>
    </row>
    <row r="22" spans="11:12" x14ac:dyDescent="0.25">
      <c r="K22">
        <v>1</v>
      </c>
      <c r="L22">
        <v>2.02</v>
      </c>
    </row>
    <row r="23" spans="11:12" x14ac:dyDescent="0.25">
      <c r="K23">
        <v>3</v>
      </c>
      <c r="L23">
        <v>1.68</v>
      </c>
    </row>
    <row r="24" spans="11:12" x14ac:dyDescent="0.25">
      <c r="L24">
        <f>SUM(L21:L23)*1000</f>
        <v>5070</v>
      </c>
    </row>
    <row r="25" spans="11:12" x14ac:dyDescent="0.25">
      <c r="L25" s="36">
        <f>L24*5000</f>
        <v>25350000</v>
      </c>
    </row>
  </sheetData>
  <mergeCells count="10">
    <mergeCell ref="D14:J14"/>
    <mergeCell ref="D15:J15"/>
    <mergeCell ref="D10:F10"/>
    <mergeCell ref="D2:J2"/>
    <mergeCell ref="D12:J12"/>
    <mergeCell ref="D13:J13"/>
    <mergeCell ref="D11:I11"/>
    <mergeCell ref="D5:I5"/>
    <mergeCell ref="D7:I7"/>
    <mergeCell ref="D9:I9"/>
  </mergeCells>
  <pageMargins left="0.7" right="0.7" top="0.75" bottom="0.75" header="0.3" footer="0.3"/>
  <pageSetup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2"/>
  <sheetViews>
    <sheetView workbookViewId="0">
      <selection activeCell="B2" sqref="B2"/>
    </sheetView>
  </sheetViews>
  <sheetFormatPr defaultRowHeight="15" x14ac:dyDescent="0.25"/>
  <cols>
    <col min="1" max="1" width="4.85546875" style="83" customWidth="1"/>
    <col min="2" max="2" width="6.42578125" style="83" customWidth="1"/>
    <col min="3" max="3" width="19.140625" style="83" customWidth="1"/>
    <col min="4" max="4" width="17.42578125" style="83" bestFit="1" customWidth="1"/>
    <col min="5" max="5" width="12.85546875" style="83" customWidth="1"/>
    <col min="6" max="6" width="12.42578125" style="83" customWidth="1"/>
    <col min="7" max="7" width="12" style="83" customWidth="1"/>
    <col min="8" max="9" width="14" style="83" customWidth="1"/>
    <col min="10" max="10" width="11" style="83" customWidth="1"/>
    <col min="11" max="11" width="12.85546875" style="83" customWidth="1"/>
    <col min="12" max="12" width="18.5703125" style="84" bestFit="1" customWidth="1"/>
    <col min="13" max="13" width="18.5703125" style="84" customWidth="1"/>
    <col min="14" max="14" width="10.7109375" style="79" customWidth="1"/>
    <col min="15" max="15" width="18.5703125" style="84" customWidth="1"/>
    <col min="16" max="17" width="18.5703125" style="83" customWidth="1"/>
    <col min="18" max="18" width="11.42578125" style="83" customWidth="1"/>
    <col min="19" max="19" width="20.5703125" style="83" customWidth="1"/>
    <col min="20" max="16384" width="9.140625" style="83"/>
  </cols>
  <sheetData>
    <row r="1" spans="2:19" s="82" customFormat="1" x14ac:dyDescent="0.25">
      <c r="B1" s="315" t="s">
        <v>391</v>
      </c>
      <c r="C1" s="315"/>
      <c r="D1" s="315"/>
      <c r="E1" s="315"/>
      <c r="F1" s="315"/>
      <c r="G1" s="315"/>
      <c r="H1" s="315"/>
      <c r="I1" s="315"/>
      <c r="J1" s="315"/>
      <c r="K1" s="315"/>
      <c r="L1" s="315"/>
      <c r="M1" s="315"/>
      <c r="N1" s="315"/>
      <c r="O1" s="315"/>
      <c r="P1" s="315"/>
      <c r="Q1" s="315"/>
      <c r="R1" s="315"/>
      <c r="S1" s="315"/>
    </row>
    <row r="2" spans="2:19" s="82" customFormat="1" ht="57.75" x14ac:dyDescent="0.25">
      <c r="B2" s="2" t="s">
        <v>2</v>
      </c>
      <c r="C2" s="2" t="s">
        <v>3</v>
      </c>
      <c r="D2" s="2" t="s">
        <v>60</v>
      </c>
      <c r="E2" s="2" t="s">
        <v>4</v>
      </c>
      <c r="F2" s="2" t="s">
        <v>5</v>
      </c>
      <c r="G2" s="2" t="s">
        <v>183</v>
      </c>
      <c r="H2" s="2" t="s">
        <v>184</v>
      </c>
      <c r="I2" s="2" t="s">
        <v>371</v>
      </c>
      <c r="J2" s="2" t="s">
        <v>22</v>
      </c>
      <c r="K2" s="2" t="s">
        <v>7</v>
      </c>
      <c r="L2" s="49" t="s">
        <v>8</v>
      </c>
      <c r="M2" s="49" t="s">
        <v>41</v>
      </c>
      <c r="N2" s="3" t="s">
        <v>9</v>
      </c>
      <c r="O2" s="4" t="s">
        <v>186</v>
      </c>
      <c r="P2" s="3" t="s">
        <v>10</v>
      </c>
      <c r="Q2" s="3" t="s">
        <v>23</v>
      </c>
      <c r="R2" s="3" t="s">
        <v>42</v>
      </c>
      <c r="S2" s="3" t="s">
        <v>11</v>
      </c>
    </row>
    <row r="3" spans="2:19" s="82" customFormat="1" x14ac:dyDescent="0.25">
      <c r="B3" s="43">
        <v>1</v>
      </c>
      <c r="C3" s="98" t="s">
        <v>75</v>
      </c>
      <c r="D3" s="99" t="s">
        <v>175</v>
      </c>
      <c r="E3" s="99">
        <v>2006</v>
      </c>
      <c r="F3" s="46">
        <v>44438</v>
      </c>
      <c r="G3" s="100">
        <f>YEAR(F3)-E3</f>
        <v>15</v>
      </c>
      <c r="H3" s="43">
        <v>20</v>
      </c>
      <c r="I3" s="43"/>
      <c r="J3" s="101">
        <v>0.05</v>
      </c>
      <c r="K3" s="102">
        <f>(1-J3)/H3</f>
        <v>4.7500000000000001E-2</v>
      </c>
      <c r="L3" s="97">
        <v>1695946865.3499999</v>
      </c>
      <c r="M3" s="97">
        <v>315362250.44</v>
      </c>
      <c r="N3" s="92">
        <v>0</v>
      </c>
      <c r="O3" s="93">
        <f>L3*(1+N3)</f>
        <v>1695946865.3499999</v>
      </c>
      <c r="P3" s="103">
        <f>O3*K3*G3</f>
        <v>1208362141.5618749</v>
      </c>
      <c r="Q3" s="103">
        <f>MAX(O3-P3,0)</f>
        <v>487584723.78812504</v>
      </c>
      <c r="R3" s="104">
        <v>0.2</v>
      </c>
      <c r="S3" s="28">
        <f>IF(Q3&gt;=O3*J3,Q3*(1-R3),O3*J3)</f>
        <v>390067779.03050005</v>
      </c>
    </row>
    <row r="4" spans="2:19" ht="240" x14ac:dyDescent="0.25">
      <c r="B4" s="45">
        <v>2</v>
      </c>
      <c r="C4" s="50" t="s">
        <v>169</v>
      </c>
      <c r="D4" s="86" t="s">
        <v>175</v>
      </c>
      <c r="E4" s="91">
        <v>40436</v>
      </c>
      <c r="F4" s="89">
        <v>44438</v>
      </c>
      <c r="G4" s="48">
        <f t="shared" ref="G4:G21" si="0">(F4-E4)/(EDATE(F4,12)-F4)</f>
        <v>10.964383561643835</v>
      </c>
      <c r="H4" s="43">
        <v>20</v>
      </c>
      <c r="I4" s="232" t="s">
        <v>372</v>
      </c>
      <c r="J4" s="47">
        <v>0.05</v>
      </c>
      <c r="K4" s="55">
        <f t="shared" ref="K4:K21" si="1">(1-J4)/H4</f>
        <v>4.7500000000000001E-2</v>
      </c>
      <c r="L4" s="96">
        <v>223638828</v>
      </c>
      <c r="M4" s="96">
        <v>82705549.709999993</v>
      </c>
      <c r="N4" s="146">
        <v>0.18</v>
      </c>
      <c r="O4" s="93">
        <f t="shared" ref="O4:O21" si="2">L4*(1+N4)</f>
        <v>263893817.03999999</v>
      </c>
      <c r="P4" s="94">
        <f t="shared" ref="P4:P21" si="3">O4*K4*G4</f>
        <v>137438068.90470904</v>
      </c>
      <c r="Q4" s="94">
        <f t="shared" ref="Q4:Q21" si="4">MAX(O4-P4,0)</f>
        <v>126455748.13529095</v>
      </c>
      <c r="R4" s="104">
        <v>0.3</v>
      </c>
      <c r="S4" s="95">
        <f t="shared" ref="S4:S21" si="5">IF(Q4&gt;=O4*J4,Q4*(1-R4),O4*J4)</f>
        <v>88519023.694703653</v>
      </c>
    </row>
    <row r="5" spans="2:19" ht="240" x14ac:dyDescent="0.25">
      <c r="B5" s="45">
        <v>3</v>
      </c>
      <c r="C5" s="50" t="s">
        <v>169</v>
      </c>
      <c r="D5" s="86" t="s">
        <v>176</v>
      </c>
      <c r="E5" s="91">
        <v>40511</v>
      </c>
      <c r="F5" s="89">
        <v>44438</v>
      </c>
      <c r="G5" s="48">
        <f t="shared" si="0"/>
        <v>10.758904109589041</v>
      </c>
      <c r="H5" s="43">
        <v>20</v>
      </c>
      <c r="I5" s="232" t="s">
        <v>372</v>
      </c>
      <c r="J5" s="47">
        <v>0.05</v>
      </c>
      <c r="K5" s="55">
        <f t="shared" si="1"/>
        <v>4.7500000000000001E-2</v>
      </c>
      <c r="L5" s="96">
        <v>1805115</v>
      </c>
      <c r="M5" s="96">
        <v>689196.89</v>
      </c>
      <c r="N5" s="146">
        <v>0.18</v>
      </c>
      <c r="O5" s="93">
        <f t="shared" si="2"/>
        <v>2130035.6999999997</v>
      </c>
      <c r="P5" s="94">
        <f t="shared" si="3"/>
        <v>1088550.3676993148</v>
      </c>
      <c r="Q5" s="94">
        <f t="shared" si="4"/>
        <v>1041485.3323006849</v>
      </c>
      <c r="R5" s="104">
        <v>0.3</v>
      </c>
      <c r="S5" s="95">
        <f t="shared" si="5"/>
        <v>729039.73261047935</v>
      </c>
    </row>
    <row r="6" spans="2:19" ht="240" x14ac:dyDescent="0.25">
      <c r="B6" s="45">
        <v>4</v>
      </c>
      <c r="C6" s="50" t="s">
        <v>169</v>
      </c>
      <c r="D6" s="86" t="s">
        <v>175</v>
      </c>
      <c r="E6" s="91">
        <v>40663</v>
      </c>
      <c r="F6" s="89">
        <v>44438</v>
      </c>
      <c r="G6" s="48">
        <f t="shared" si="0"/>
        <v>10.342465753424657</v>
      </c>
      <c r="H6" s="43">
        <v>20</v>
      </c>
      <c r="I6" s="232" t="s">
        <v>372</v>
      </c>
      <c r="J6" s="47">
        <v>0.05</v>
      </c>
      <c r="K6" s="55">
        <f t="shared" si="1"/>
        <v>4.7500000000000001E-2</v>
      </c>
      <c r="L6" s="96">
        <v>750533606</v>
      </c>
      <c r="M6" s="96">
        <v>305046717.17000002</v>
      </c>
      <c r="N6" s="146">
        <v>0.18</v>
      </c>
      <c r="O6" s="93">
        <f t="shared" si="2"/>
        <v>885629655.07999992</v>
      </c>
      <c r="P6" s="94">
        <f t="shared" si="3"/>
        <v>435080732.949404</v>
      </c>
      <c r="Q6" s="94">
        <f t="shared" si="4"/>
        <v>450548922.13059592</v>
      </c>
      <c r="R6" s="104">
        <v>0.3</v>
      </c>
      <c r="S6" s="95">
        <f t="shared" si="5"/>
        <v>315384245.49141711</v>
      </c>
    </row>
    <row r="7" spans="2:19" ht="240" x14ac:dyDescent="0.25">
      <c r="B7" s="45">
        <v>5</v>
      </c>
      <c r="C7" s="50" t="s">
        <v>169</v>
      </c>
      <c r="D7" s="86" t="s">
        <v>175</v>
      </c>
      <c r="E7" s="91">
        <v>41348</v>
      </c>
      <c r="F7" s="89">
        <v>44438</v>
      </c>
      <c r="G7" s="48">
        <f t="shared" si="0"/>
        <v>8.4657534246575334</v>
      </c>
      <c r="H7" s="43">
        <v>20</v>
      </c>
      <c r="I7" s="232" t="s">
        <v>372</v>
      </c>
      <c r="J7" s="47">
        <v>0.05</v>
      </c>
      <c r="K7" s="55">
        <f t="shared" si="1"/>
        <v>4.7500000000000001E-2</v>
      </c>
      <c r="L7" s="96">
        <v>871637981</v>
      </c>
      <c r="M7" s="96">
        <v>464009566.04000002</v>
      </c>
      <c r="N7" s="146">
        <v>0.10038610038610045</v>
      </c>
      <c r="O7" s="93">
        <f t="shared" si="2"/>
        <v>959138318.86100388</v>
      </c>
      <c r="P7" s="94">
        <f t="shared" si="3"/>
        <v>385691854.11184615</v>
      </c>
      <c r="Q7" s="94">
        <f t="shared" si="4"/>
        <v>573446464.74915767</v>
      </c>
      <c r="R7" s="104">
        <v>0.3</v>
      </c>
      <c r="S7" s="95">
        <f t="shared" si="5"/>
        <v>401412525.32441032</v>
      </c>
    </row>
    <row r="8" spans="2:19" ht="30" x14ac:dyDescent="0.25">
      <c r="B8" s="45">
        <v>6</v>
      </c>
      <c r="C8" s="50" t="s">
        <v>170</v>
      </c>
      <c r="D8" s="86" t="s">
        <v>177</v>
      </c>
      <c r="E8" s="90">
        <v>42094</v>
      </c>
      <c r="F8" s="89">
        <v>44438</v>
      </c>
      <c r="G8" s="48">
        <f t="shared" si="0"/>
        <v>6.4219178082191783</v>
      </c>
      <c r="H8" s="43">
        <v>20</v>
      </c>
      <c r="I8" s="43"/>
      <c r="J8" s="47">
        <v>0.05</v>
      </c>
      <c r="K8" s="55">
        <f t="shared" si="1"/>
        <v>4.7500000000000001E-2</v>
      </c>
      <c r="L8" s="97">
        <v>25000</v>
      </c>
      <c r="M8" s="96">
        <v>17303.91</v>
      </c>
      <c r="N8" s="146">
        <v>5.2631578947368446E-2</v>
      </c>
      <c r="O8" s="93">
        <f t="shared" si="2"/>
        <v>26315.78947368421</v>
      </c>
      <c r="P8" s="94">
        <f t="shared" si="3"/>
        <v>8027.3972602739732</v>
      </c>
      <c r="Q8" s="94">
        <f t="shared" si="4"/>
        <v>18288.392213410236</v>
      </c>
      <c r="R8" s="104">
        <v>0.3</v>
      </c>
      <c r="S8" s="95">
        <f t="shared" si="5"/>
        <v>12801.874549387165</v>
      </c>
    </row>
    <row r="9" spans="2:19" s="82" customFormat="1" ht="30" x14ac:dyDescent="0.25">
      <c r="B9" s="43">
        <v>7</v>
      </c>
      <c r="C9" s="98" t="s">
        <v>171</v>
      </c>
      <c r="D9" s="99" t="s">
        <v>178</v>
      </c>
      <c r="E9" s="90">
        <v>42094</v>
      </c>
      <c r="F9" s="46">
        <v>44438</v>
      </c>
      <c r="G9" s="100">
        <f t="shared" si="0"/>
        <v>6.4219178082191783</v>
      </c>
      <c r="H9" s="43">
        <v>20</v>
      </c>
      <c r="I9" s="43"/>
      <c r="J9" s="101">
        <v>0.05</v>
      </c>
      <c r="K9" s="102">
        <f t="shared" si="1"/>
        <v>4.7500000000000001E-2</v>
      </c>
      <c r="L9" s="97">
        <v>75000</v>
      </c>
      <c r="M9" s="97">
        <v>52126.37</v>
      </c>
      <c r="N9" s="92">
        <v>5.2631578947368446E-2</v>
      </c>
      <c r="O9" s="93">
        <f t="shared" si="2"/>
        <v>78947.368421052626</v>
      </c>
      <c r="P9" s="103">
        <f t="shared" si="3"/>
        <v>24082.191780821919</v>
      </c>
      <c r="Q9" s="103">
        <f t="shared" si="4"/>
        <v>54865.176640230711</v>
      </c>
      <c r="R9" s="104">
        <v>0.15</v>
      </c>
      <c r="S9" s="28">
        <f t="shared" si="5"/>
        <v>46635.400144196101</v>
      </c>
    </row>
    <row r="10" spans="2:19" s="82" customFormat="1" ht="240" x14ac:dyDescent="0.25">
      <c r="B10" s="43">
        <v>8</v>
      </c>
      <c r="C10" s="98" t="s">
        <v>169</v>
      </c>
      <c r="D10" s="99" t="s">
        <v>175</v>
      </c>
      <c r="E10" s="90">
        <v>42094</v>
      </c>
      <c r="F10" s="46">
        <v>44438</v>
      </c>
      <c r="G10" s="100">
        <f t="shared" si="0"/>
        <v>6.4219178082191783</v>
      </c>
      <c r="H10" s="43">
        <v>20</v>
      </c>
      <c r="I10" s="232" t="s">
        <v>372</v>
      </c>
      <c r="J10" s="101">
        <v>0.05</v>
      </c>
      <c r="K10" s="102">
        <f t="shared" si="1"/>
        <v>4.7500000000000001E-2</v>
      </c>
      <c r="L10" s="97">
        <v>598397536</v>
      </c>
      <c r="M10" s="97">
        <v>416536562.63999999</v>
      </c>
      <c r="N10" s="92">
        <v>5.2631578947368446E-2</v>
      </c>
      <c r="O10" s="93">
        <f t="shared" si="2"/>
        <v>629892143.15789473</v>
      </c>
      <c r="P10" s="103">
        <f t="shared" si="3"/>
        <v>192142989.64164385</v>
      </c>
      <c r="Q10" s="103">
        <f t="shared" si="4"/>
        <v>437749153.51625085</v>
      </c>
      <c r="R10" s="104">
        <v>0.3</v>
      </c>
      <c r="S10" s="28">
        <f t="shared" si="5"/>
        <v>306424407.46137559</v>
      </c>
    </row>
    <row r="11" spans="2:19" s="82" customFormat="1" x14ac:dyDescent="0.25">
      <c r="B11" s="43">
        <v>9</v>
      </c>
      <c r="C11" s="98" t="s">
        <v>204</v>
      </c>
      <c r="D11" s="99" t="s">
        <v>175</v>
      </c>
      <c r="E11" s="90">
        <v>42157</v>
      </c>
      <c r="F11" s="46">
        <v>44438</v>
      </c>
      <c r="G11" s="100">
        <f t="shared" si="0"/>
        <v>6.2493150684931509</v>
      </c>
      <c r="H11" s="43">
        <v>8</v>
      </c>
      <c r="I11" s="43"/>
      <c r="J11" s="101">
        <v>0.05</v>
      </c>
      <c r="K11" s="102">
        <f t="shared" si="1"/>
        <v>0.11874999999999999</v>
      </c>
      <c r="L11" s="97">
        <v>169154</v>
      </c>
      <c r="M11" s="97">
        <v>120577.55</v>
      </c>
      <c r="N11" s="92">
        <v>0.19076305220883535</v>
      </c>
      <c r="O11" s="93">
        <f t="shared" si="2"/>
        <v>201422.33333333331</v>
      </c>
      <c r="P11" s="103">
        <f t="shared" si="3"/>
        <v>149476.75521118721</v>
      </c>
      <c r="Q11" s="103">
        <f t="shared" si="4"/>
        <v>51945.578122146107</v>
      </c>
      <c r="R11" s="104">
        <v>0.15</v>
      </c>
      <c r="S11" s="28">
        <f t="shared" si="5"/>
        <v>44153.741403824191</v>
      </c>
    </row>
    <row r="12" spans="2:19" s="82" customFormat="1" x14ac:dyDescent="0.25">
      <c r="B12" s="43">
        <v>10</v>
      </c>
      <c r="C12" s="98" t="s">
        <v>204</v>
      </c>
      <c r="D12" s="99" t="s">
        <v>175</v>
      </c>
      <c r="E12" s="90">
        <v>42157</v>
      </c>
      <c r="F12" s="46">
        <v>44438</v>
      </c>
      <c r="G12" s="100">
        <f t="shared" si="0"/>
        <v>6.2493150684931509</v>
      </c>
      <c r="H12" s="43">
        <v>8</v>
      </c>
      <c r="I12" s="43"/>
      <c r="J12" s="101">
        <v>0.05</v>
      </c>
      <c r="K12" s="102">
        <f t="shared" si="1"/>
        <v>0.11874999999999999</v>
      </c>
      <c r="L12" s="97">
        <v>84577</v>
      </c>
      <c r="M12" s="97">
        <v>60288.77</v>
      </c>
      <c r="N12" s="92">
        <v>0.19076305220883535</v>
      </c>
      <c r="O12" s="93">
        <f t="shared" si="2"/>
        <v>100711.16666666666</v>
      </c>
      <c r="P12" s="103">
        <f t="shared" si="3"/>
        <v>74738.377605593603</v>
      </c>
      <c r="Q12" s="103">
        <f t="shared" si="4"/>
        <v>25972.789061073054</v>
      </c>
      <c r="R12" s="104">
        <v>0.15</v>
      </c>
      <c r="S12" s="28">
        <f t="shared" si="5"/>
        <v>22076.870701912096</v>
      </c>
    </row>
    <row r="13" spans="2:19" s="82" customFormat="1" ht="30" x14ac:dyDescent="0.25">
      <c r="B13" s="43">
        <v>11</v>
      </c>
      <c r="C13" s="98" t="s">
        <v>170</v>
      </c>
      <c r="D13" s="99" t="s">
        <v>175</v>
      </c>
      <c r="E13" s="90">
        <v>42158</v>
      </c>
      <c r="F13" s="46">
        <v>44438</v>
      </c>
      <c r="G13" s="100">
        <f t="shared" si="0"/>
        <v>6.2465753424657535</v>
      </c>
      <c r="H13" s="43">
        <v>20</v>
      </c>
      <c r="I13" s="43"/>
      <c r="J13" s="101">
        <v>0.05</v>
      </c>
      <c r="K13" s="102">
        <f t="shared" si="1"/>
        <v>4.7500000000000001E-2</v>
      </c>
      <c r="L13" s="97">
        <v>180584</v>
      </c>
      <c r="M13" s="97">
        <v>128768.15</v>
      </c>
      <c r="N13" s="250">
        <v>4.3956043956043932E-2</v>
      </c>
      <c r="O13" s="93">
        <f t="shared" si="2"/>
        <v>188521.75824175825</v>
      </c>
      <c r="P13" s="103">
        <f t="shared" si="3"/>
        <v>55936.729911184702</v>
      </c>
      <c r="Q13" s="103">
        <f t="shared" si="4"/>
        <v>132585.02833057355</v>
      </c>
      <c r="R13" s="104">
        <v>0.15</v>
      </c>
      <c r="S13" s="28">
        <f t="shared" si="5"/>
        <v>112697.27408098751</v>
      </c>
    </row>
    <row r="14" spans="2:19" s="82" customFormat="1" ht="240" x14ac:dyDescent="0.25">
      <c r="B14" s="43">
        <v>12</v>
      </c>
      <c r="C14" s="98" t="s">
        <v>169</v>
      </c>
      <c r="D14" s="99" t="s">
        <v>175</v>
      </c>
      <c r="E14" s="90">
        <v>42186</v>
      </c>
      <c r="F14" s="46">
        <v>44438</v>
      </c>
      <c r="G14" s="100">
        <f t="shared" si="0"/>
        <v>6.1698630136986301</v>
      </c>
      <c r="H14" s="43">
        <v>20</v>
      </c>
      <c r="I14" s="232" t="s">
        <v>372</v>
      </c>
      <c r="J14" s="101">
        <v>0.05</v>
      </c>
      <c r="K14" s="102">
        <f t="shared" si="1"/>
        <v>4.7500000000000001E-2</v>
      </c>
      <c r="L14" s="97">
        <v>401782191</v>
      </c>
      <c r="M14" s="97">
        <v>289228651.56999999</v>
      </c>
      <c r="N14" s="92">
        <v>4.3956043956043932E-2</v>
      </c>
      <c r="O14" s="93">
        <f t="shared" si="2"/>
        <v>419442946.64835167</v>
      </c>
      <c r="P14" s="103">
        <f t="shared" si="3"/>
        <v>122925512.33691557</v>
      </c>
      <c r="Q14" s="103">
        <f t="shared" si="4"/>
        <v>296517434.31143612</v>
      </c>
      <c r="R14" s="104">
        <v>0.3</v>
      </c>
      <c r="S14" s="28">
        <f t="shared" si="5"/>
        <v>207562204.01800528</v>
      </c>
    </row>
    <row r="15" spans="2:19" s="82" customFormat="1" ht="30" x14ac:dyDescent="0.25">
      <c r="B15" s="43">
        <v>13</v>
      </c>
      <c r="C15" s="98" t="s">
        <v>172</v>
      </c>
      <c r="D15" s="99" t="s">
        <v>175</v>
      </c>
      <c r="E15" s="90">
        <v>42188</v>
      </c>
      <c r="F15" s="46">
        <v>44438</v>
      </c>
      <c r="G15" s="100">
        <f t="shared" si="0"/>
        <v>6.1643835616438354</v>
      </c>
      <c r="H15" s="43">
        <v>20</v>
      </c>
      <c r="I15" s="43"/>
      <c r="J15" s="101">
        <v>0.05</v>
      </c>
      <c r="K15" s="102">
        <f t="shared" si="1"/>
        <v>4.7500000000000001E-2</v>
      </c>
      <c r="L15" s="97">
        <v>1733951</v>
      </c>
      <c r="M15" s="97">
        <v>1249052.33</v>
      </c>
      <c r="N15" s="92">
        <v>4.3956043956043932E-2</v>
      </c>
      <c r="O15" s="93">
        <f t="shared" si="2"/>
        <v>1810168.6263736265</v>
      </c>
      <c r="P15" s="103">
        <f t="shared" si="3"/>
        <v>530032.25190049689</v>
      </c>
      <c r="Q15" s="103">
        <f t="shared" si="4"/>
        <v>1280136.3744731296</v>
      </c>
      <c r="R15" s="104">
        <v>0.15</v>
      </c>
      <c r="S15" s="28">
        <f t="shared" si="5"/>
        <v>1088115.9183021602</v>
      </c>
    </row>
    <row r="16" spans="2:19" s="82" customFormat="1" ht="30" x14ac:dyDescent="0.25">
      <c r="B16" s="43">
        <v>14</v>
      </c>
      <c r="C16" s="98" t="s">
        <v>170</v>
      </c>
      <c r="D16" s="99" t="s">
        <v>175</v>
      </c>
      <c r="E16" s="90">
        <v>42202</v>
      </c>
      <c r="F16" s="46">
        <v>44438</v>
      </c>
      <c r="G16" s="100">
        <f t="shared" si="0"/>
        <v>6.1260273972602741</v>
      </c>
      <c r="H16" s="43">
        <v>20</v>
      </c>
      <c r="I16" s="43"/>
      <c r="J16" s="101">
        <v>0.05</v>
      </c>
      <c r="K16" s="102">
        <f t="shared" si="1"/>
        <v>4.7500000000000001E-2</v>
      </c>
      <c r="L16" s="97">
        <v>2233045</v>
      </c>
      <c r="M16" s="97">
        <v>1616167.8</v>
      </c>
      <c r="N16" s="92">
        <v>4.3956043956043932E-2</v>
      </c>
      <c r="O16" s="93">
        <f t="shared" si="2"/>
        <v>2331200.8241758244</v>
      </c>
      <c r="P16" s="103">
        <f t="shared" si="3"/>
        <v>678347.50557729951</v>
      </c>
      <c r="Q16" s="103">
        <f t="shared" si="4"/>
        <v>1652853.3185985249</v>
      </c>
      <c r="R16" s="104">
        <v>0.15</v>
      </c>
      <c r="S16" s="28">
        <f t="shared" si="5"/>
        <v>1404925.3208087462</v>
      </c>
    </row>
    <row r="17" spans="2:19" s="82" customFormat="1" x14ac:dyDescent="0.25">
      <c r="B17" s="43">
        <v>15</v>
      </c>
      <c r="C17" s="148" t="s">
        <v>47</v>
      </c>
      <c r="D17" s="99" t="s">
        <v>175</v>
      </c>
      <c r="E17" s="90">
        <v>42205</v>
      </c>
      <c r="F17" s="46">
        <v>44438</v>
      </c>
      <c r="G17" s="100">
        <f t="shared" si="0"/>
        <v>6.117808219178082</v>
      </c>
      <c r="H17" s="43">
        <v>8</v>
      </c>
      <c r="I17" s="43"/>
      <c r="J17" s="101">
        <v>0.05</v>
      </c>
      <c r="K17" s="102">
        <f t="shared" si="1"/>
        <v>0.11874999999999999</v>
      </c>
      <c r="L17" s="97">
        <v>4704525</v>
      </c>
      <c r="M17" s="97">
        <v>3408332.58</v>
      </c>
      <c r="N17" s="92">
        <v>4.3956043956043932E-2</v>
      </c>
      <c r="O17" s="93">
        <f t="shared" si="2"/>
        <v>4911317.307692308</v>
      </c>
      <c r="P17" s="103">
        <f t="shared" si="3"/>
        <v>3568021.5652989987</v>
      </c>
      <c r="Q17" s="103">
        <f t="shared" si="4"/>
        <v>1343295.7423933093</v>
      </c>
      <c r="R17" s="104">
        <v>0.15</v>
      </c>
      <c r="S17" s="28">
        <f t="shared" si="5"/>
        <v>1141801.3810343128</v>
      </c>
    </row>
    <row r="18" spans="2:19" s="82" customFormat="1" x14ac:dyDescent="0.25">
      <c r="B18" s="43">
        <v>16</v>
      </c>
      <c r="C18" s="148" t="s">
        <v>173</v>
      </c>
      <c r="D18" s="99" t="s">
        <v>175</v>
      </c>
      <c r="E18" s="90">
        <v>42229</v>
      </c>
      <c r="F18" s="46">
        <v>44438</v>
      </c>
      <c r="G18" s="100">
        <f t="shared" si="0"/>
        <v>6.0520547945205481</v>
      </c>
      <c r="H18" s="43">
        <v>8</v>
      </c>
      <c r="I18" s="43"/>
      <c r="J18" s="101">
        <v>0.05</v>
      </c>
      <c r="K18" s="102">
        <f t="shared" si="1"/>
        <v>0.11874999999999999</v>
      </c>
      <c r="L18" s="97">
        <v>5501623</v>
      </c>
      <c r="M18" s="97">
        <v>4017907.23</v>
      </c>
      <c r="N18" s="92">
        <v>4.3956043956043932E-2</v>
      </c>
      <c r="O18" s="93">
        <f t="shared" si="2"/>
        <v>5743452.5824175831</v>
      </c>
      <c r="P18" s="103">
        <f t="shared" si="3"/>
        <v>4127713.1564494581</v>
      </c>
      <c r="Q18" s="103">
        <f t="shared" si="4"/>
        <v>1615739.425968125</v>
      </c>
      <c r="R18" s="104">
        <v>0.15</v>
      </c>
      <c r="S18" s="28">
        <f t="shared" si="5"/>
        <v>1373378.5120729061</v>
      </c>
    </row>
    <row r="19" spans="2:19" s="82" customFormat="1" x14ac:dyDescent="0.25">
      <c r="B19" s="43">
        <v>17</v>
      </c>
      <c r="C19" s="98" t="s">
        <v>204</v>
      </c>
      <c r="D19" s="99" t="s">
        <v>175</v>
      </c>
      <c r="E19" s="90">
        <v>42247</v>
      </c>
      <c r="F19" s="46">
        <v>44438</v>
      </c>
      <c r="G19" s="100">
        <f t="shared" si="0"/>
        <v>6.0027397260273974</v>
      </c>
      <c r="H19" s="43">
        <v>8</v>
      </c>
      <c r="I19" s="43"/>
      <c r="J19" s="101">
        <v>0.05</v>
      </c>
      <c r="K19" s="102">
        <f t="shared" si="1"/>
        <v>0.11874999999999999</v>
      </c>
      <c r="L19" s="97">
        <v>329839</v>
      </c>
      <c r="M19" s="97">
        <v>242329.7</v>
      </c>
      <c r="N19" s="92">
        <v>4.3956043956043932E-2</v>
      </c>
      <c r="O19" s="93">
        <f t="shared" si="2"/>
        <v>344337.41758241761</v>
      </c>
      <c r="P19" s="103">
        <f t="shared" si="3"/>
        <v>245452.43761195996</v>
      </c>
      <c r="Q19" s="103">
        <f t="shared" si="4"/>
        <v>98884.979970457644</v>
      </c>
      <c r="R19" s="104">
        <v>0.15</v>
      </c>
      <c r="S19" s="28">
        <f t="shared" si="5"/>
        <v>84052.23297488899</v>
      </c>
    </row>
    <row r="20" spans="2:19" ht="30" x14ac:dyDescent="0.25">
      <c r="B20" s="45">
        <v>18</v>
      </c>
      <c r="C20" s="66" t="s">
        <v>170</v>
      </c>
      <c r="D20" s="86" t="s">
        <v>175</v>
      </c>
      <c r="E20" s="90">
        <v>42338</v>
      </c>
      <c r="F20" s="89">
        <v>44438</v>
      </c>
      <c r="G20" s="48">
        <f t="shared" si="0"/>
        <v>5.7534246575342465</v>
      </c>
      <c r="H20" s="43">
        <v>20</v>
      </c>
      <c r="I20" s="43"/>
      <c r="J20" s="47">
        <v>0.05</v>
      </c>
      <c r="K20" s="55">
        <f t="shared" si="1"/>
        <v>4.7500000000000001E-2</v>
      </c>
      <c r="L20" s="97">
        <v>5384067</v>
      </c>
      <c r="M20" s="96">
        <v>4074951.11</v>
      </c>
      <c r="N20" s="92">
        <v>4.3956043956043932E-2</v>
      </c>
      <c r="O20" s="93">
        <f t="shared" si="2"/>
        <v>5620729.2857142864</v>
      </c>
      <c r="P20" s="94">
        <f t="shared" si="3"/>
        <v>1536076.0171232878</v>
      </c>
      <c r="Q20" s="94">
        <f t="shared" si="4"/>
        <v>4084653.2685909988</v>
      </c>
      <c r="R20" s="104">
        <v>0.15</v>
      </c>
      <c r="S20" s="95">
        <f t="shared" si="5"/>
        <v>3471955.2783023492</v>
      </c>
    </row>
    <row r="21" spans="2:19" x14ac:dyDescent="0.25">
      <c r="B21" s="45">
        <v>19</v>
      </c>
      <c r="C21" s="50" t="s">
        <v>174</v>
      </c>
      <c r="D21" s="86" t="s">
        <v>175</v>
      </c>
      <c r="E21" s="90">
        <v>42574</v>
      </c>
      <c r="F21" s="89">
        <v>44438</v>
      </c>
      <c r="G21" s="48">
        <f t="shared" si="0"/>
        <v>5.1068493150684935</v>
      </c>
      <c r="H21" s="43">
        <v>8</v>
      </c>
      <c r="I21" s="43"/>
      <c r="J21" s="47">
        <v>0.05</v>
      </c>
      <c r="K21" s="55">
        <f t="shared" si="1"/>
        <v>0.11874999999999999</v>
      </c>
      <c r="L21" s="97">
        <v>1540000</v>
      </c>
      <c r="M21" s="96">
        <v>1259500.21</v>
      </c>
      <c r="N21" s="146">
        <v>5.653382761816491E-2</v>
      </c>
      <c r="O21" s="93">
        <f t="shared" si="2"/>
        <v>1627062.0945319738</v>
      </c>
      <c r="P21" s="94">
        <f t="shared" si="3"/>
        <v>986712.86198534898</v>
      </c>
      <c r="Q21" s="94">
        <f t="shared" si="4"/>
        <v>640349.23254662484</v>
      </c>
      <c r="R21" s="104">
        <v>0.15</v>
      </c>
      <c r="S21" s="95">
        <f t="shared" si="5"/>
        <v>544296.84766463109</v>
      </c>
    </row>
    <row r="22" spans="2:19" x14ac:dyDescent="0.25">
      <c r="B22" s="316" t="s">
        <v>54</v>
      </c>
      <c r="C22" s="316"/>
      <c r="D22" s="316"/>
      <c r="E22" s="316"/>
      <c r="F22" s="316"/>
      <c r="G22" s="316"/>
      <c r="H22" s="316"/>
      <c r="I22" s="316"/>
      <c r="J22" s="316"/>
      <c r="K22" s="316"/>
      <c r="L22" s="85">
        <f>SUM(L3:L21)</f>
        <v>4565703487.3500004</v>
      </c>
      <c r="M22" s="85">
        <f t="shared" ref="M22" si="6">SUM(M3:M21)</f>
        <v>1889825800.1699998</v>
      </c>
      <c r="N22" s="140"/>
      <c r="O22" s="85">
        <f t="shared" ref="O22" si="7">SUM(O3:O21)</f>
        <v>4879057968.3918743</v>
      </c>
      <c r="P22" s="85">
        <f t="shared" ref="P22" si="8">SUM(P3:P21)</f>
        <v>2494714467.121809</v>
      </c>
      <c r="Q22" s="85">
        <f t="shared" ref="Q22" si="9">SUM(Q3:Q21)</f>
        <v>2384343501.2700663</v>
      </c>
      <c r="R22" s="85"/>
      <c r="S22" s="85">
        <f t="shared" ref="S22" si="10">SUM(S3:S21)</f>
        <v>1719446115.4050629</v>
      </c>
    </row>
  </sheetData>
  <autoFilter ref="B2:S22"/>
  <mergeCells count="2">
    <mergeCell ref="B1:S1"/>
    <mergeCell ref="B22:K22"/>
  </mergeCells>
  <pageMargins left="0.23622047244094491" right="0.23622047244094491" top="0.74803149606299213" bottom="0.32" header="0.31496062992125984" footer="0.31496062992125984"/>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7"/>
  <sheetViews>
    <sheetView workbookViewId="0">
      <selection activeCell="B2" sqref="B2"/>
    </sheetView>
  </sheetViews>
  <sheetFormatPr defaultRowHeight="15" x14ac:dyDescent="0.25"/>
  <cols>
    <col min="1" max="1" width="4.7109375" style="83" customWidth="1"/>
    <col min="2" max="2" width="9.140625" style="83"/>
    <col min="3" max="3" width="35.85546875" style="83" customWidth="1"/>
    <col min="4" max="4" width="17.85546875" style="83" customWidth="1"/>
    <col min="5" max="5" width="14.140625" style="83" customWidth="1"/>
    <col min="6" max="6" width="12.28515625" style="83" customWidth="1"/>
    <col min="7" max="7" width="10.7109375" style="83" customWidth="1"/>
    <col min="8" max="9" width="14.42578125" style="83" customWidth="1"/>
    <col min="10" max="10" width="12.85546875" style="83" customWidth="1"/>
    <col min="11" max="11" width="13.85546875" style="83" customWidth="1"/>
    <col min="12" max="12" width="18.5703125" style="84" bestFit="1" customWidth="1"/>
    <col min="13" max="13" width="18.42578125" style="84" customWidth="1"/>
    <col min="14" max="14" width="11" style="84" bestFit="1" customWidth="1"/>
    <col min="15" max="15" width="18.42578125" style="84" customWidth="1"/>
    <col min="16" max="17" width="18.5703125" style="83" bestFit="1" customWidth="1"/>
    <col min="18" max="18" width="14" style="83" customWidth="1"/>
    <col min="19" max="19" width="18.7109375" style="83" customWidth="1"/>
    <col min="20" max="16384" width="9.140625" style="83"/>
  </cols>
  <sheetData>
    <row r="1" spans="2:19" s="82" customFormat="1" x14ac:dyDescent="0.25">
      <c r="B1" s="315" t="s">
        <v>392</v>
      </c>
      <c r="C1" s="315"/>
      <c r="D1" s="315"/>
      <c r="E1" s="315"/>
      <c r="F1" s="315"/>
      <c r="G1" s="315"/>
      <c r="H1" s="315"/>
      <c r="I1" s="315"/>
      <c r="J1" s="315"/>
      <c r="K1" s="315"/>
      <c r="L1" s="315"/>
      <c r="M1" s="315"/>
      <c r="N1" s="315"/>
      <c r="O1" s="315"/>
      <c r="P1" s="315"/>
      <c r="Q1" s="315"/>
      <c r="R1" s="315"/>
      <c r="S1" s="315"/>
    </row>
    <row r="2" spans="2:19" s="82" customFormat="1" ht="57.75" x14ac:dyDescent="0.25">
      <c r="B2" s="2" t="s">
        <v>2</v>
      </c>
      <c r="C2" s="2" t="s">
        <v>3</v>
      </c>
      <c r="D2" s="2" t="s">
        <v>60</v>
      </c>
      <c r="E2" s="2" t="s">
        <v>4</v>
      </c>
      <c r="F2" s="2" t="s">
        <v>5</v>
      </c>
      <c r="G2" s="2" t="s">
        <v>183</v>
      </c>
      <c r="H2" s="2" t="s">
        <v>184</v>
      </c>
      <c r="I2" s="2" t="s">
        <v>371</v>
      </c>
      <c r="J2" s="2" t="s">
        <v>22</v>
      </c>
      <c r="K2" s="2" t="s">
        <v>7</v>
      </c>
      <c r="L2" s="49" t="s">
        <v>8</v>
      </c>
      <c r="M2" s="49" t="s">
        <v>41</v>
      </c>
      <c r="N2" s="3" t="s">
        <v>9</v>
      </c>
      <c r="O2" s="4" t="s">
        <v>186</v>
      </c>
      <c r="P2" s="3" t="s">
        <v>10</v>
      </c>
      <c r="Q2" s="3" t="s">
        <v>23</v>
      </c>
      <c r="R2" s="3" t="s">
        <v>42</v>
      </c>
      <c r="S2" s="3" t="s">
        <v>11</v>
      </c>
    </row>
    <row r="3" spans="2:19" ht="30" x14ac:dyDescent="0.25">
      <c r="B3" s="45">
        <v>1</v>
      </c>
      <c r="C3" s="50" t="s">
        <v>179</v>
      </c>
      <c r="D3" s="86" t="s">
        <v>175</v>
      </c>
      <c r="E3" s="91">
        <v>40269</v>
      </c>
      <c r="F3" s="89">
        <v>44438</v>
      </c>
      <c r="G3" s="48">
        <f>(F3-E3)/(EDATE(F3,12)-F3)</f>
        <v>11.421917808219177</v>
      </c>
      <c r="H3" s="45">
        <v>20</v>
      </c>
      <c r="I3" s="45"/>
      <c r="J3" s="47">
        <v>0.05</v>
      </c>
      <c r="K3" s="55">
        <f>(1-J3)/H3</f>
        <v>4.7500000000000001E-2</v>
      </c>
      <c r="L3" s="96">
        <v>1642047888</v>
      </c>
      <c r="M3" s="96">
        <v>521814586.29000002</v>
      </c>
      <c r="N3" s="146">
        <v>0.18</v>
      </c>
      <c r="O3" s="93">
        <f>L3*(1+N3)</f>
        <v>1937616507.8399999</v>
      </c>
      <c r="P3" s="94">
        <f>O3*K3*G3</f>
        <v>1051236583.5788646</v>
      </c>
      <c r="Q3" s="94">
        <f>MAX(O3-P3,0)</f>
        <v>886379924.26113534</v>
      </c>
      <c r="R3" s="34">
        <v>0.15</v>
      </c>
      <c r="S3" s="95">
        <f>IF(Q3&gt;=O3*J3,Q3*(1-R3),O3*J3)</f>
        <v>753422935.62196505</v>
      </c>
    </row>
    <row r="4" spans="2:19" ht="30" x14ac:dyDescent="0.25">
      <c r="B4" s="45">
        <v>2</v>
      </c>
      <c r="C4" s="50" t="s">
        <v>180</v>
      </c>
      <c r="D4" s="86" t="s">
        <v>175</v>
      </c>
      <c r="E4" s="91">
        <v>40299</v>
      </c>
      <c r="F4" s="89">
        <v>44438</v>
      </c>
      <c r="G4" s="48">
        <f t="shared" ref="G4:G6" si="0">(F4-E4)/(EDATE(F4,12)-F4)</f>
        <v>11.33972602739726</v>
      </c>
      <c r="H4" s="45">
        <v>20</v>
      </c>
      <c r="I4" s="233" t="s">
        <v>373</v>
      </c>
      <c r="J4" s="47">
        <v>0.05</v>
      </c>
      <c r="K4" s="45">
        <f t="shared" ref="K4:K6" si="1">(1-J4)/H4</f>
        <v>4.7500000000000001E-2</v>
      </c>
      <c r="L4" s="96">
        <v>782746043</v>
      </c>
      <c r="M4" s="96">
        <v>255352654.18000001</v>
      </c>
      <c r="N4" s="146">
        <v>0.18</v>
      </c>
      <c r="O4" s="93">
        <f t="shared" ref="O4:O6" si="2">L4*(1+N4)</f>
        <v>923640330.74000001</v>
      </c>
      <c r="P4" s="94">
        <f t="shared" ref="P4:P6" si="3">O4*K4*G4</f>
        <v>497506844.17619413</v>
      </c>
      <c r="Q4" s="94">
        <f t="shared" ref="Q4:Q6" si="4">MAX(O4-P4,0)</f>
        <v>426133486.56380588</v>
      </c>
      <c r="R4" s="34">
        <v>0.2</v>
      </c>
      <c r="S4" s="95">
        <f t="shared" ref="S4:S6" si="5">IF(Q4&gt;=O4*J4,Q4*(1-R4),O4*J4)</f>
        <v>340906789.25104475</v>
      </c>
    </row>
    <row r="5" spans="2:19" ht="30" x14ac:dyDescent="0.25">
      <c r="B5" s="45">
        <v>3</v>
      </c>
      <c r="C5" s="50" t="s">
        <v>180</v>
      </c>
      <c r="D5" s="86" t="s">
        <v>175</v>
      </c>
      <c r="E5" s="91">
        <v>40663</v>
      </c>
      <c r="F5" s="89">
        <v>44438</v>
      </c>
      <c r="G5" s="48">
        <f t="shared" si="0"/>
        <v>10.342465753424657</v>
      </c>
      <c r="H5" s="45">
        <v>20</v>
      </c>
      <c r="I5" s="233" t="s">
        <v>373</v>
      </c>
      <c r="J5" s="47">
        <v>0.05</v>
      </c>
      <c r="K5" s="45">
        <f t="shared" si="1"/>
        <v>4.7500000000000001E-2</v>
      </c>
      <c r="L5" s="96">
        <v>2580194520</v>
      </c>
      <c r="M5" s="96">
        <v>1048693705.46</v>
      </c>
      <c r="N5" s="146">
        <v>0.16</v>
      </c>
      <c r="O5" s="93">
        <f t="shared" si="2"/>
        <v>2993025643.1999998</v>
      </c>
      <c r="P5" s="94">
        <f t="shared" si="3"/>
        <v>1470375097.6610956</v>
      </c>
      <c r="Q5" s="94">
        <f t="shared" si="4"/>
        <v>1522650545.5389042</v>
      </c>
      <c r="R5" s="34">
        <v>0.2</v>
      </c>
      <c r="S5" s="95">
        <f t="shared" si="5"/>
        <v>1218120436.4311235</v>
      </c>
    </row>
    <row r="6" spans="2:19" ht="30" x14ac:dyDescent="0.25">
      <c r="B6" s="45">
        <v>4</v>
      </c>
      <c r="C6" s="50" t="s">
        <v>181</v>
      </c>
      <c r="D6" s="86" t="s">
        <v>175</v>
      </c>
      <c r="E6" s="91">
        <v>41348</v>
      </c>
      <c r="F6" s="89">
        <v>44438</v>
      </c>
      <c r="G6" s="48">
        <f t="shared" si="0"/>
        <v>8.4657534246575334</v>
      </c>
      <c r="H6" s="45">
        <v>20</v>
      </c>
      <c r="I6" s="233" t="s">
        <v>373</v>
      </c>
      <c r="J6" s="47">
        <v>0.05</v>
      </c>
      <c r="K6" s="45">
        <f t="shared" si="1"/>
        <v>4.7500000000000001E-2</v>
      </c>
      <c r="L6" s="96">
        <v>430661422</v>
      </c>
      <c r="M6" s="96">
        <v>202299255.16</v>
      </c>
      <c r="N6" s="146">
        <v>0.10038610038610045</v>
      </c>
      <c r="O6" s="93">
        <f t="shared" si="2"/>
        <v>473893842.74131274</v>
      </c>
      <c r="P6" s="94">
        <f t="shared" si="3"/>
        <v>190563750.05029088</v>
      </c>
      <c r="Q6" s="94">
        <f t="shared" si="4"/>
        <v>283330092.69102186</v>
      </c>
      <c r="R6" s="34">
        <v>0.2</v>
      </c>
      <c r="S6" s="95">
        <f t="shared" si="5"/>
        <v>226664074.15281749</v>
      </c>
    </row>
    <row r="7" spans="2:19" x14ac:dyDescent="0.25">
      <c r="B7" s="264" t="s">
        <v>54</v>
      </c>
      <c r="C7" s="290"/>
      <c r="D7" s="290"/>
      <c r="E7" s="290"/>
      <c r="F7" s="290"/>
      <c r="G7" s="290"/>
      <c r="H7" s="290"/>
      <c r="I7" s="290"/>
      <c r="J7" s="290"/>
      <c r="K7" s="265"/>
      <c r="L7" s="85">
        <f>SUM(L3:L6)</f>
        <v>5435649873</v>
      </c>
      <c r="M7" s="85">
        <f>SUM(M3:M6)</f>
        <v>2028160201.0900002</v>
      </c>
      <c r="N7" s="85"/>
      <c r="O7" s="85">
        <f>SUM(O3:O6)</f>
        <v>6328176324.5213127</v>
      </c>
      <c r="P7" s="88">
        <f t="shared" ref="P7:S7" si="6">SUM(P3:P6)</f>
        <v>3209682275.4664454</v>
      </c>
      <c r="Q7" s="88">
        <f t="shared" si="6"/>
        <v>3118494049.0548673</v>
      </c>
      <c r="R7" s="88"/>
      <c r="S7" s="88">
        <f t="shared" si="6"/>
        <v>2539114235.4569511</v>
      </c>
    </row>
  </sheetData>
  <mergeCells count="2">
    <mergeCell ref="B1:S1"/>
    <mergeCell ref="B7:K7"/>
  </mergeCells>
  <pageMargins left="0.25" right="0.25" top="0.75" bottom="0.75" header="0.3" footer="0.3"/>
  <pageSetup paperSize="9" scale="4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4"/>
  <sheetViews>
    <sheetView topLeftCell="B1" workbookViewId="0">
      <selection activeCell="B2" sqref="B2"/>
    </sheetView>
  </sheetViews>
  <sheetFormatPr defaultRowHeight="15" x14ac:dyDescent="0.25"/>
  <cols>
    <col min="1" max="1" width="4.5703125" style="83" customWidth="1"/>
    <col min="2" max="2" width="9.140625" style="83"/>
    <col min="3" max="3" width="25.85546875" style="83" customWidth="1"/>
    <col min="4" max="4" width="16.85546875" style="83" customWidth="1"/>
    <col min="5" max="5" width="13.42578125" style="83" customWidth="1"/>
    <col min="6" max="6" width="11.7109375" style="83" customWidth="1"/>
    <col min="7" max="7" width="10.85546875" style="83" customWidth="1"/>
    <col min="8" max="9" width="14.5703125" style="83" customWidth="1"/>
    <col min="10" max="10" width="14.7109375" style="83" customWidth="1"/>
    <col min="11" max="11" width="13" style="83" customWidth="1"/>
    <col min="12" max="12" width="18.5703125" style="83" bestFit="1" customWidth="1"/>
    <col min="13" max="13" width="20.140625" style="83" customWidth="1"/>
    <col min="14" max="14" width="11" style="83" bestFit="1" customWidth="1"/>
    <col min="15" max="15" width="20.140625" style="83" customWidth="1"/>
    <col min="16" max="16" width="18.5703125" style="83" bestFit="1" customWidth="1"/>
    <col min="17" max="17" width="20.5703125" style="83" customWidth="1"/>
    <col min="18" max="18" width="13.7109375" style="83" customWidth="1"/>
    <col min="19" max="19" width="19.42578125" style="83" customWidth="1"/>
    <col min="20" max="16384" width="9.140625" style="83"/>
  </cols>
  <sheetData>
    <row r="1" spans="2:19" x14ac:dyDescent="0.25">
      <c r="B1" s="315" t="s">
        <v>393</v>
      </c>
      <c r="C1" s="315"/>
      <c r="D1" s="315"/>
      <c r="E1" s="315"/>
      <c r="F1" s="315"/>
      <c r="G1" s="315"/>
      <c r="H1" s="315"/>
      <c r="I1" s="315"/>
      <c r="J1" s="315"/>
      <c r="K1" s="315"/>
      <c r="L1" s="315"/>
      <c r="M1" s="315"/>
      <c r="N1" s="315"/>
      <c r="O1" s="315"/>
      <c r="P1" s="315"/>
      <c r="Q1" s="315"/>
      <c r="R1" s="315"/>
      <c r="S1" s="315"/>
    </row>
    <row r="2" spans="2:19" ht="60" x14ac:dyDescent="0.25">
      <c r="B2" s="2" t="s">
        <v>2</v>
      </c>
      <c r="C2" s="2" t="s">
        <v>3</v>
      </c>
      <c r="D2" s="2" t="s">
        <v>60</v>
      </c>
      <c r="E2" s="2" t="s">
        <v>4</v>
      </c>
      <c r="F2" s="2" t="s">
        <v>5</v>
      </c>
      <c r="G2" s="2" t="s">
        <v>183</v>
      </c>
      <c r="H2" s="2" t="s">
        <v>184</v>
      </c>
      <c r="I2" s="2" t="s">
        <v>371</v>
      </c>
      <c r="J2" s="2" t="s">
        <v>22</v>
      </c>
      <c r="K2" s="2" t="s">
        <v>7</v>
      </c>
      <c r="L2" s="49" t="s">
        <v>8</v>
      </c>
      <c r="M2" s="49" t="s">
        <v>41</v>
      </c>
      <c r="N2" s="3" t="s">
        <v>9</v>
      </c>
      <c r="O2" s="4" t="s">
        <v>185</v>
      </c>
      <c r="P2" s="3" t="s">
        <v>10</v>
      </c>
      <c r="Q2" s="3" t="s">
        <v>23</v>
      </c>
      <c r="R2" s="3" t="s">
        <v>42</v>
      </c>
      <c r="S2" s="3" t="s">
        <v>11</v>
      </c>
    </row>
    <row r="3" spans="2:19" x14ac:dyDescent="0.25">
      <c r="B3" s="45">
        <v>1</v>
      </c>
      <c r="C3" s="50" t="s">
        <v>48</v>
      </c>
      <c r="D3" s="87" t="s">
        <v>175</v>
      </c>
      <c r="E3" s="90">
        <v>40269</v>
      </c>
      <c r="F3" s="89">
        <v>44438</v>
      </c>
      <c r="G3" s="48">
        <f>(F3-E3)/(EDATE(F3,12)-F3)</f>
        <v>11.421917808219177</v>
      </c>
      <c r="H3" s="45">
        <v>8</v>
      </c>
      <c r="I3" s="45"/>
      <c r="J3" s="47">
        <v>0.05</v>
      </c>
      <c r="K3" s="55">
        <f>(1-J3)/H3</f>
        <v>0.11874999999999999</v>
      </c>
      <c r="L3" s="67">
        <v>1044561</v>
      </c>
      <c r="M3" s="67">
        <v>230007.7</v>
      </c>
      <c r="N3" s="92">
        <v>0</v>
      </c>
      <c r="O3" s="93">
        <f>L3*(1+N3)</f>
        <v>1044561</v>
      </c>
      <c r="P3" s="94">
        <f>O3*K3*G3</f>
        <v>1416793.1741609587</v>
      </c>
      <c r="Q3" s="94">
        <f>MAX(O3-P3,0)</f>
        <v>0</v>
      </c>
      <c r="R3" s="34">
        <v>0.15</v>
      </c>
      <c r="S3" s="95">
        <f>IF(Q3&gt;=O3*J3,Q3*(1-R3),O3*J3)</f>
        <v>52228.05</v>
      </c>
    </row>
    <row r="4" spans="2:19" ht="30" x14ac:dyDescent="0.25">
      <c r="B4" s="45">
        <v>2</v>
      </c>
      <c r="C4" s="50" t="s">
        <v>182</v>
      </c>
      <c r="D4" s="87" t="s">
        <v>175</v>
      </c>
      <c r="E4" s="91">
        <v>40663</v>
      </c>
      <c r="F4" s="89">
        <v>44438</v>
      </c>
      <c r="G4" s="48">
        <f t="shared" ref="G4:G6" si="0">(F4-E4)/(EDATE(F4,12)-F4)</f>
        <v>10.342465753424657</v>
      </c>
      <c r="H4" s="45">
        <v>20</v>
      </c>
      <c r="I4" s="233" t="s">
        <v>374</v>
      </c>
      <c r="J4" s="47">
        <v>0.05</v>
      </c>
      <c r="K4" s="45">
        <f t="shared" ref="K4:K6" si="1">(1-J4)/H4</f>
        <v>4.7500000000000001E-2</v>
      </c>
      <c r="L4" s="93">
        <v>3028444830</v>
      </c>
      <c r="M4" s="93">
        <v>1074594725.8599999</v>
      </c>
      <c r="N4" s="92">
        <v>0.16</v>
      </c>
      <c r="O4" s="93">
        <f t="shared" ref="O4:O6" si="2">L4*(1+N4)</f>
        <v>3512996002.7999997</v>
      </c>
      <c r="P4" s="94">
        <f t="shared" ref="P4:P6" si="3">O4*K4*G4</f>
        <v>1725819440.4166436</v>
      </c>
      <c r="Q4" s="94">
        <f t="shared" ref="Q4:Q6" si="4">MAX(O4-P4,0)</f>
        <v>1787176562.3833561</v>
      </c>
      <c r="R4" s="34">
        <v>0.2</v>
      </c>
      <c r="S4" s="95">
        <f t="shared" ref="S4:S6" si="5">IF(Q4&gt;=O4*J4,Q4*(1-R4),O4*J4)</f>
        <v>1429741249.9066849</v>
      </c>
    </row>
    <row r="5" spans="2:19" ht="30" x14ac:dyDescent="0.25">
      <c r="B5" s="45">
        <v>3</v>
      </c>
      <c r="C5" s="50" t="s">
        <v>182</v>
      </c>
      <c r="D5" s="87" t="s">
        <v>175</v>
      </c>
      <c r="E5" s="91">
        <v>41348</v>
      </c>
      <c r="F5" s="89">
        <v>44438</v>
      </c>
      <c r="G5" s="48">
        <f t="shared" si="0"/>
        <v>8.4657534246575334</v>
      </c>
      <c r="H5" s="45">
        <v>20</v>
      </c>
      <c r="I5" s="233" t="s">
        <v>374</v>
      </c>
      <c r="J5" s="47">
        <v>0.05</v>
      </c>
      <c r="K5" s="45">
        <f t="shared" si="1"/>
        <v>4.7500000000000001E-2</v>
      </c>
      <c r="L5" s="93">
        <v>549693377</v>
      </c>
      <c r="M5" s="93">
        <v>292624910.19999999</v>
      </c>
      <c r="N5" s="146">
        <v>7.7504725897920637E-2</v>
      </c>
      <c r="O5" s="93">
        <f t="shared" si="2"/>
        <v>592297211.51228738</v>
      </c>
      <c r="P5" s="94">
        <f t="shared" si="3"/>
        <v>238176501.97182456</v>
      </c>
      <c r="Q5" s="94">
        <f t="shared" si="4"/>
        <v>354120709.54046285</v>
      </c>
      <c r="R5" s="34">
        <v>0.2</v>
      </c>
      <c r="S5" s="95">
        <f t="shared" si="5"/>
        <v>283296567.63237029</v>
      </c>
    </row>
    <row r="6" spans="2:19" ht="30" x14ac:dyDescent="0.25">
      <c r="B6" s="45">
        <v>4</v>
      </c>
      <c r="C6" s="50" t="s">
        <v>182</v>
      </c>
      <c r="D6" s="87" t="s">
        <v>175</v>
      </c>
      <c r="E6" s="91">
        <v>42094</v>
      </c>
      <c r="F6" s="89">
        <v>44438</v>
      </c>
      <c r="G6" s="48">
        <f t="shared" si="0"/>
        <v>6.4219178082191783</v>
      </c>
      <c r="H6" s="45">
        <v>20</v>
      </c>
      <c r="I6" s="233" t="s">
        <v>374</v>
      </c>
      <c r="J6" s="47">
        <v>0.05</v>
      </c>
      <c r="K6" s="45">
        <f t="shared" si="1"/>
        <v>4.7500000000000001E-2</v>
      </c>
      <c r="L6" s="93">
        <v>694400</v>
      </c>
      <c r="M6" s="93">
        <v>484741.5</v>
      </c>
      <c r="N6" s="249">
        <v>4.3956043956043932E-2</v>
      </c>
      <c r="O6" s="93">
        <f t="shared" si="2"/>
        <v>724923.07692307699</v>
      </c>
      <c r="P6" s="94">
        <f t="shared" si="3"/>
        <v>221131.32982086408</v>
      </c>
      <c r="Q6" s="94">
        <f t="shared" si="4"/>
        <v>503791.74710221292</v>
      </c>
      <c r="R6" s="34">
        <v>0.2</v>
      </c>
      <c r="S6" s="95">
        <f t="shared" si="5"/>
        <v>403033.39768177038</v>
      </c>
    </row>
    <row r="7" spans="2:19" x14ac:dyDescent="0.25">
      <c r="B7" s="264" t="s">
        <v>54</v>
      </c>
      <c r="C7" s="290"/>
      <c r="D7" s="290"/>
      <c r="E7" s="290"/>
      <c r="F7" s="290"/>
      <c r="G7" s="290"/>
      <c r="H7" s="290"/>
      <c r="I7" s="290"/>
      <c r="J7" s="290"/>
      <c r="K7" s="265"/>
      <c r="L7" s="88">
        <f>SUM(L3:L6)</f>
        <v>3579877168</v>
      </c>
      <c r="M7" s="88">
        <f>SUM(M3:M6)</f>
        <v>1367934385.26</v>
      </c>
      <c r="N7" s="88"/>
      <c r="O7" s="88">
        <f>SUM(O3:O6)</f>
        <v>4107062698.3892102</v>
      </c>
      <c r="P7" s="88">
        <f t="shared" ref="P7:S7" si="6">SUM(P3:P6)</f>
        <v>1965633866.8924501</v>
      </c>
      <c r="Q7" s="88">
        <f t="shared" si="6"/>
        <v>2141801063.6709213</v>
      </c>
      <c r="R7" s="88"/>
      <c r="S7" s="88">
        <f t="shared" si="6"/>
        <v>1713493078.9867368</v>
      </c>
    </row>
    <row r="11" spans="2:19" x14ac:dyDescent="0.25">
      <c r="S11" s="116"/>
    </row>
    <row r="12" spans="2:19" x14ac:dyDescent="0.25">
      <c r="S12" s="76"/>
    </row>
    <row r="13" spans="2:19" x14ac:dyDescent="0.25">
      <c r="S13" s="116"/>
    </row>
    <row r="14" spans="2:19" x14ac:dyDescent="0.25">
      <c r="S14" s="116"/>
    </row>
  </sheetData>
  <mergeCells count="2">
    <mergeCell ref="B1:S1"/>
    <mergeCell ref="B7:K7"/>
  </mergeCells>
  <pageMargins left="0.25" right="0.25" top="0.75" bottom="0.75" header="0.3" footer="0.3"/>
  <pageSetup paperSize="9" scale="4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8:T31"/>
  <sheetViews>
    <sheetView topLeftCell="A7" workbookViewId="0">
      <selection activeCell="N15" sqref="N15"/>
    </sheetView>
  </sheetViews>
  <sheetFormatPr defaultRowHeight="15" x14ac:dyDescent="0.25"/>
  <cols>
    <col min="14" max="14" width="10.5703125" customWidth="1"/>
  </cols>
  <sheetData>
    <row r="8" spans="12:14" ht="15.75" thickBot="1" x14ac:dyDescent="0.3"/>
    <row r="9" spans="12:14" ht="26.25" thickBot="1" x14ac:dyDescent="0.3">
      <c r="L9" s="142" t="s">
        <v>188</v>
      </c>
      <c r="M9" s="142" t="s">
        <v>189</v>
      </c>
    </row>
    <row r="10" spans="12:14" ht="15.75" thickBot="1" x14ac:dyDescent="0.3">
      <c r="L10" s="143" t="s">
        <v>190</v>
      </c>
      <c r="M10" s="144">
        <v>114</v>
      </c>
      <c r="N10" s="145">
        <f>($M$10-M10)/M10</f>
        <v>0</v>
      </c>
    </row>
    <row r="11" spans="12:14" ht="15.75" thickBot="1" x14ac:dyDescent="0.3">
      <c r="L11" s="143" t="s">
        <v>191</v>
      </c>
      <c r="M11" s="144">
        <v>113.1</v>
      </c>
      <c r="N11" s="145">
        <f t="shared" ref="N11:N18" si="0">($M$10-M11)/M11</f>
        <v>7.9575596816976631E-3</v>
      </c>
    </row>
    <row r="12" spans="12:14" ht="15.75" thickBot="1" x14ac:dyDescent="0.3">
      <c r="L12" s="143" t="s">
        <v>192</v>
      </c>
      <c r="M12" s="144">
        <v>111.3</v>
      </c>
      <c r="N12" s="145">
        <f t="shared" si="0"/>
        <v>2.4258760107816739E-2</v>
      </c>
    </row>
    <row r="13" spans="12:14" ht="15.75" thickBot="1" x14ac:dyDescent="0.3">
      <c r="L13" s="143" t="s">
        <v>193</v>
      </c>
      <c r="M13" s="144">
        <v>108.9</v>
      </c>
      <c r="N13" s="145">
        <f t="shared" si="0"/>
        <v>4.683195592286496E-2</v>
      </c>
    </row>
    <row r="14" spans="12:14" ht="15.75" thickBot="1" x14ac:dyDescent="0.3">
      <c r="L14" s="143" t="s">
        <v>194</v>
      </c>
      <c r="M14" s="144">
        <v>107.9</v>
      </c>
      <c r="N14" s="145">
        <f t="shared" si="0"/>
        <v>5.653382761816491E-2</v>
      </c>
    </row>
    <row r="15" spans="12:14" ht="15.75" thickBot="1" x14ac:dyDescent="0.3">
      <c r="L15" s="143" t="s">
        <v>195</v>
      </c>
      <c r="M15" s="144">
        <v>109.2</v>
      </c>
      <c r="N15" s="145">
        <f t="shared" si="0"/>
        <v>4.3956043956043932E-2</v>
      </c>
    </row>
    <row r="16" spans="12:14" ht="15.75" thickBot="1" x14ac:dyDescent="0.3">
      <c r="L16" s="143" t="s">
        <v>196</v>
      </c>
      <c r="M16" s="144">
        <v>108.3</v>
      </c>
      <c r="N16" s="145">
        <f t="shared" si="0"/>
        <v>5.2631578947368446E-2</v>
      </c>
    </row>
    <row r="17" spans="12:20" ht="15.75" thickBot="1" x14ac:dyDescent="0.3">
      <c r="L17" s="143" t="s">
        <v>197</v>
      </c>
      <c r="M17" s="144">
        <v>105.8</v>
      </c>
      <c r="N17" s="145">
        <f t="shared" si="0"/>
        <v>7.7504725897920637E-2</v>
      </c>
    </row>
    <row r="18" spans="12:20" ht="15.75" thickBot="1" x14ac:dyDescent="0.3">
      <c r="L18" s="143" t="s">
        <v>198</v>
      </c>
      <c r="M18" s="144">
        <v>103.6</v>
      </c>
      <c r="N18" s="145">
        <f t="shared" si="0"/>
        <v>0.10038610038610045</v>
      </c>
    </row>
    <row r="21" spans="12:20" ht="26.25" thickBot="1" x14ac:dyDescent="0.3">
      <c r="L21" s="147" t="s">
        <v>199</v>
      </c>
      <c r="R21" t="s">
        <v>200</v>
      </c>
    </row>
    <row r="22" spans="12:20" ht="26.25" thickBot="1" x14ac:dyDescent="0.3">
      <c r="L22" s="142" t="s">
        <v>188</v>
      </c>
      <c r="M22" s="142" t="s">
        <v>189</v>
      </c>
      <c r="R22" s="142" t="s">
        <v>188</v>
      </c>
      <c r="S22" s="142" t="s">
        <v>189</v>
      </c>
    </row>
    <row r="23" spans="12:20" ht="15.75" thickBot="1" x14ac:dyDescent="0.3">
      <c r="L23" s="143" t="s">
        <v>190</v>
      </c>
      <c r="M23" s="144">
        <v>131.80000000000001</v>
      </c>
      <c r="N23" s="145">
        <f>($M$23-M23)/M23</f>
        <v>0</v>
      </c>
      <c r="R23" s="143" t="s">
        <v>190</v>
      </c>
      <c r="S23" s="144">
        <v>118.6</v>
      </c>
      <c r="T23" s="145">
        <f>($S$23-S23)/S23</f>
        <v>0</v>
      </c>
    </row>
    <row r="24" spans="12:20" ht="15.75" thickBot="1" x14ac:dyDescent="0.3">
      <c r="L24" s="143" t="s">
        <v>191</v>
      </c>
      <c r="M24" s="144">
        <v>131.80000000000001</v>
      </c>
      <c r="N24" s="145">
        <f t="shared" ref="N24:N31" si="1">($M$23-M24)/M24</f>
        <v>0</v>
      </c>
      <c r="R24" s="143" t="s">
        <v>191</v>
      </c>
      <c r="S24" s="144">
        <v>120</v>
      </c>
      <c r="T24" s="145">
        <f t="shared" ref="T24:T31" si="2">($S$23-S24)/S24</f>
        <v>-1.1666666666666714E-2</v>
      </c>
    </row>
    <row r="25" spans="12:20" ht="15.75" thickBot="1" x14ac:dyDescent="0.3">
      <c r="L25" s="143" t="s">
        <v>192</v>
      </c>
      <c r="M25" s="144">
        <v>134.6</v>
      </c>
      <c r="N25" s="145">
        <f t="shared" si="1"/>
        <v>-2.0802377414561538E-2</v>
      </c>
      <c r="R25" s="143" t="s">
        <v>192</v>
      </c>
      <c r="S25" s="144">
        <v>118.1</v>
      </c>
      <c r="T25" s="145">
        <f t="shared" si="2"/>
        <v>4.2337002540220152E-3</v>
      </c>
    </row>
    <row r="26" spans="12:20" ht="15.75" thickBot="1" x14ac:dyDescent="0.3">
      <c r="L26" s="143" t="s">
        <v>193</v>
      </c>
      <c r="M26" s="144">
        <v>131.6</v>
      </c>
      <c r="N26" s="145">
        <f t="shared" si="1"/>
        <v>1.5197568389059047E-3</v>
      </c>
      <c r="R26" s="143" t="s">
        <v>193</v>
      </c>
      <c r="S26" s="144">
        <v>108.7</v>
      </c>
      <c r="T26" s="145">
        <f t="shared" si="2"/>
        <v>9.1076356945722095E-2</v>
      </c>
    </row>
    <row r="27" spans="12:20" ht="15.75" thickBot="1" x14ac:dyDescent="0.3">
      <c r="L27" s="143" t="s">
        <v>194</v>
      </c>
      <c r="M27" s="144">
        <v>125.9</v>
      </c>
      <c r="N27" s="145">
        <f t="shared" si="1"/>
        <v>4.6862589356632289E-2</v>
      </c>
      <c r="R27" s="143" t="s">
        <v>194</v>
      </c>
      <c r="S27" s="144">
        <v>100.2</v>
      </c>
      <c r="T27" s="145">
        <f t="shared" si="2"/>
        <v>0.18363273453093804</v>
      </c>
    </row>
    <row r="28" spans="12:20" ht="15.75" thickBot="1" x14ac:dyDescent="0.3">
      <c r="L28" s="143" t="s">
        <v>195</v>
      </c>
      <c r="M28" s="144">
        <v>123.1</v>
      </c>
      <c r="N28" s="145">
        <f t="shared" si="1"/>
        <v>7.0674248578391691E-2</v>
      </c>
      <c r="R28" s="143" t="s">
        <v>195</v>
      </c>
      <c r="S28" s="144">
        <v>99.6</v>
      </c>
      <c r="T28" s="145">
        <f t="shared" si="2"/>
        <v>0.19076305220883535</v>
      </c>
    </row>
    <row r="29" spans="12:20" ht="15.75" thickBot="1" x14ac:dyDescent="0.3">
      <c r="L29" s="143" t="s">
        <v>196</v>
      </c>
      <c r="M29" s="144">
        <v>116.3</v>
      </c>
      <c r="N29" s="145">
        <f t="shared" si="1"/>
        <v>0.13327601031814287</v>
      </c>
      <c r="R29" s="143" t="s">
        <v>196</v>
      </c>
      <c r="S29" s="144">
        <v>100.3</v>
      </c>
      <c r="T29" s="145">
        <f t="shared" si="2"/>
        <v>0.18245264207377865</v>
      </c>
    </row>
    <row r="30" spans="12:20" ht="15.75" thickBot="1" x14ac:dyDescent="0.3">
      <c r="L30" s="143" t="s">
        <v>197</v>
      </c>
      <c r="M30" s="144">
        <v>110.7</v>
      </c>
      <c r="N30" s="145">
        <f t="shared" si="1"/>
        <v>0.19060523938572727</v>
      </c>
      <c r="R30" s="143" t="s">
        <v>197</v>
      </c>
      <c r="S30" s="144">
        <v>99.9</v>
      </c>
      <c r="T30" s="145">
        <f t="shared" si="2"/>
        <v>0.18718718718718708</v>
      </c>
    </row>
    <row r="31" spans="12:20" ht="15.75" thickBot="1" x14ac:dyDescent="0.3">
      <c r="L31" s="143" t="s">
        <v>198</v>
      </c>
      <c r="M31" s="144">
        <v>105.6</v>
      </c>
      <c r="N31" s="145">
        <f t="shared" si="1"/>
        <v>0.24810606060606077</v>
      </c>
      <c r="R31" s="143" t="s">
        <v>198</v>
      </c>
      <c r="S31" s="144">
        <v>101</v>
      </c>
      <c r="T31" s="145">
        <f t="shared" si="2"/>
        <v>0.17425742574257419</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Land</vt:lpstr>
      <vt:lpstr>Factory Building- Unit 1</vt:lpstr>
      <vt:lpstr>Factory Building-Unit 2</vt:lpstr>
      <vt:lpstr>Factory Building-Unit 3</vt:lpstr>
      <vt:lpstr>Building-Summary</vt:lpstr>
      <vt:lpstr>P&amp;M-Unit 1</vt:lpstr>
      <vt:lpstr>P&amp;M-Unit 2</vt:lpstr>
      <vt:lpstr>P&amp;M-Unit 3</vt:lpstr>
      <vt:lpstr>WPI Index</vt:lpstr>
      <vt:lpstr>office Equipment.</vt:lpstr>
      <vt:lpstr>furniture &amp; Fixture</vt:lpstr>
      <vt:lpstr>Vehicles</vt:lpstr>
      <vt:lpstr>Computers</vt:lpstr>
      <vt:lpstr>Software</vt:lpstr>
      <vt:lpstr>P&amp;M-Summary</vt:lpstr>
      <vt:lpstr>Summary</vt:lpstr>
      <vt:lpstr>'Factory Building- Unit 1'!Print_Titles</vt:lpstr>
      <vt:lpstr>'Factory Building-Unit 2'!Print_Titles</vt:lpstr>
      <vt:lpstr>'P&amp;M-Unit 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Mookherjee</dc:creator>
  <cp:lastModifiedBy>Mohd.Umair</cp:lastModifiedBy>
  <cp:lastPrinted>2021-10-04T05:55:51Z</cp:lastPrinted>
  <dcterms:created xsi:type="dcterms:W3CDTF">2017-09-11T09:18:18Z</dcterms:created>
  <dcterms:modified xsi:type="dcterms:W3CDTF">2021-10-04T05:56:15Z</dcterms:modified>
</cp:coreProperties>
</file>