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2E94483A-87DA-4E22-8603-AEA995C161B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Sheet2" sheetId="2" r:id="rId1"/>
    <sheet name="Updated 07.07.21" sheetId="4" r:id="rId2"/>
  </sheets>
  <definedNames>
    <definedName name="_xlnm.Print_Area" localSheetId="0">Sheet2!$A$1:$L$59</definedName>
    <definedName name="_xlnm.Print_Area" localSheetId="1">'Updated 07.07.21'!$A$1:$N$106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4" l="1"/>
  <c r="K91" i="4"/>
  <c r="L91" i="4" s="1"/>
  <c r="N91" i="4" s="1"/>
  <c r="K90" i="4" l="1"/>
  <c r="L90" i="4" s="1"/>
  <c r="N90" i="4" s="1"/>
  <c r="J88" i="4"/>
  <c r="K88" i="4" s="1"/>
  <c r="K87" i="4"/>
  <c r="L87" i="4" s="1"/>
  <c r="N87" i="4" s="1"/>
  <c r="N88" i="4" l="1"/>
  <c r="L89" i="4"/>
  <c r="N89" i="4" s="1"/>
  <c r="K81" i="4"/>
  <c r="K80" i="4"/>
  <c r="K79" i="4"/>
  <c r="K78" i="4"/>
  <c r="K77" i="4"/>
  <c r="K76" i="4"/>
  <c r="L81" i="4" l="1"/>
  <c r="N81" i="4" s="1"/>
  <c r="L79" i="4"/>
  <c r="N79" i="4" s="1"/>
  <c r="M16" i="4"/>
  <c r="M94" i="4" s="1"/>
  <c r="J94" i="4"/>
  <c r="I94" i="4"/>
  <c r="H94" i="4"/>
  <c r="G94" i="4"/>
  <c r="M104" i="4"/>
  <c r="K15" i="4"/>
  <c r="K70" i="4"/>
  <c r="L70" i="4" s="1"/>
  <c r="N70" i="4" s="1"/>
  <c r="K103" i="4"/>
  <c r="L103" i="4" s="1"/>
  <c r="N103" i="4" s="1"/>
  <c r="K102" i="4"/>
  <c r="L102" i="4" s="1"/>
  <c r="N102" i="4" s="1"/>
  <c r="K101" i="4"/>
  <c r="L101" i="4" s="1"/>
  <c r="N101" i="4" s="1"/>
  <c r="K100" i="4"/>
  <c r="K99" i="4"/>
  <c r="F35" i="4"/>
  <c r="K35" i="4" s="1"/>
  <c r="K57" i="4"/>
  <c r="K56" i="4"/>
  <c r="K86" i="4"/>
  <c r="K85" i="4"/>
  <c r="K84" i="4"/>
  <c r="K83" i="4"/>
  <c r="K82" i="4"/>
  <c r="K75" i="4"/>
  <c r="K74" i="4"/>
  <c r="K73" i="4"/>
  <c r="K72" i="4"/>
  <c r="K71" i="4"/>
  <c r="K69" i="4"/>
  <c r="L69" i="4" s="1"/>
  <c r="N69" i="4" s="1"/>
  <c r="K68" i="4"/>
  <c r="F67" i="4"/>
  <c r="K67" i="4" s="1"/>
  <c r="F66" i="4"/>
  <c r="K66" i="4" s="1"/>
  <c r="K65" i="4"/>
  <c r="K64" i="4"/>
  <c r="K63" i="4"/>
  <c r="K62" i="4"/>
  <c r="K61" i="4"/>
  <c r="K60" i="4"/>
  <c r="F59" i="4"/>
  <c r="K59" i="4" s="1"/>
  <c r="K58" i="4"/>
  <c r="L58" i="4" s="1"/>
  <c r="N58" i="4" s="1"/>
  <c r="K55" i="4"/>
  <c r="K54" i="4"/>
  <c r="K53" i="4"/>
  <c r="K52" i="4"/>
  <c r="L52" i="4" s="1"/>
  <c r="N52" i="4" s="1"/>
  <c r="K51" i="4"/>
  <c r="F50" i="4"/>
  <c r="K50" i="4" s="1"/>
  <c r="K49" i="4"/>
  <c r="K48" i="4"/>
  <c r="K47" i="4"/>
  <c r="K46" i="4"/>
  <c r="K45" i="4"/>
  <c r="K44" i="4"/>
  <c r="K43" i="4"/>
  <c r="K42" i="4"/>
  <c r="K41" i="4"/>
  <c r="K40" i="4"/>
  <c r="K39" i="4"/>
  <c r="K38" i="4"/>
  <c r="L38" i="4" s="1"/>
  <c r="N38" i="4" s="1"/>
  <c r="K37" i="4"/>
  <c r="L37" i="4" s="1"/>
  <c r="N37" i="4" s="1"/>
  <c r="K36" i="4"/>
  <c r="L36" i="4" s="1"/>
  <c r="N36" i="4" s="1"/>
  <c r="F34" i="4"/>
  <c r="K34" i="4" s="1"/>
  <c r="F33" i="4"/>
  <c r="K33" i="4" s="1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4" i="4"/>
  <c r="L14" i="4" s="1"/>
  <c r="N14" i="4" s="1"/>
  <c r="K13" i="4"/>
  <c r="K12" i="4"/>
  <c r="K11" i="4"/>
  <c r="K10" i="4"/>
  <c r="K8" i="4"/>
  <c r="K9" i="4"/>
  <c r="L9" i="4" s="1"/>
  <c r="N9" i="4" s="1"/>
  <c r="K7" i="4"/>
  <c r="K6" i="4"/>
  <c r="K5" i="4"/>
  <c r="K4" i="4"/>
  <c r="F137" i="2"/>
  <c r="K137" i="2" s="1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F122" i="2"/>
  <c r="K122" i="2" s="1"/>
  <c r="F121" i="2"/>
  <c r="K121" i="2" s="1"/>
  <c r="K120" i="2"/>
  <c r="K119" i="2"/>
  <c r="K118" i="2"/>
  <c r="K117" i="2"/>
  <c r="K116" i="2"/>
  <c r="K115" i="2"/>
  <c r="F114" i="2"/>
  <c r="K114" i="2" s="1"/>
  <c r="K113" i="2"/>
  <c r="K112" i="2"/>
  <c r="K111" i="2"/>
  <c r="K110" i="2"/>
  <c r="K109" i="2"/>
  <c r="K108" i="2"/>
  <c r="K106" i="2"/>
  <c r="K105" i="2"/>
  <c r="K104" i="2"/>
  <c r="K103" i="2"/>
  <c r="K102" i="2"/>
  <c r="K101" i="2"/>
  <c r="K100" i="2"/>
  <c r="K99" i="2"/>
  <c r="K98" i="2"/>
  <c r="K97" i="2"/>
  <c r="K96" i="2"/>
  <c r="F107" i="2"/>
  <c r="K107" i="2" s="1"/>
  <c r="K95" i="2"/>
  <c r="K94" i="2"/>
  <c r="K93" i="2"/>
  <c r="K91" i="2"/>
  <c r="K90" i="2"/>
  <c r="K89" i="2"/>
  <c r="K88" i="2"/>
  <c r="K87" i="2"/>
  <c r="K86" i="2"/>
  <c r="F92" i="2"/>
  <c r="K92" i="2" s="1"/>
  <c r="F91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L11" i="4" l="1"/>
  <c r="N11" i="4" s="1"/>
  <c r="L16" i="4"/>
  <c r="N16" i="4" s="1"/>
  <c r="L73" i="4"/>
  <c r="L8" i="4"/>
  <c r="N8" i="4" s="1"/>
  <c r="L13" i="4"/>
  <c r="N13" i="4" s="1"/>
  <c r="L35" i="4"/>
  <c r="N35" i="4" s="1"/>
  <c r="L57" i="4"/>
  <c r="N57" i="4" s="1"/>
  <c r="L68" i="4"/>
  <c r="N68" i="4" s="1"/>
  <c r="L86" i="4"/>
  <c r="N86" i="4" s="1"/>
  <c r="L100" i="4"/>
  <c r="N100" i="4" s="1"/>
  <c r="N104" i="4" s="1"/>
  <c r="N73" i="4"/>
  <c r="L25" i="4"/>
  <c r="N25" i="4" s="1"/>
  <c r="L27" i="4"/>
  <c r="N27" i="4" s="1"/>
  <c r="L51" i="4"/>
  <c r="N51" i="4" s="1"/>
  <c r="L75" i="4"/>
  <c r="N75" i="4" s="1"/>
  <c r="F94" i="4"/>
  <c r="M106" i="4"/>
  <c r="K94" i="4"/>
  <c r="K104" i="4"/>
  <c r="G55" i="2"/>
  <c r="H55" i="2" s="1"/>
  <c r="H54" i="2"/>
  <c r="H53" i="2"/>
  <c r="G52" i="2"/>
  <c r="H52" i="2" s="1"/>
  <c r="G51" i="2"/>
  <c r="H51" i="2" s="1"/>
  <c r="H50" i="2"/>
  <c r="H49" i="2"/>
  <c r="H48" i="2"/>
  <c r="G48" i="2"/>
  <c r="G47" i="2"/>
  <c r="H47" i="2" s="1"/>
  <c r="G46" i="2"/>
  <c r="F46" i="2"/>
  <c r="H46" i="2" s="1"/>
  <c r="G45" i="2"/>
  <c r="H45" i="2" s="1"/>
  <c r="H44" i="2"/>
  <c r="G44" i="2"/>
  <c r="G43" i="2"/>
  <c r="H43" i="2" s="1"/>
  <c r="H42" i="2"/>
  <c r="G42" i="2"/>
  <c r="G41" i="2"/>
  <c r="H41" i="2" s="1"/>
  <c r="G40" i="2"/>
  <c r="H40" i="2" s="1"/>
  <c r="G39" i="2"/>
  <c r="H39" i="2" s="1"/>
  <c r="G38" i="2"/>
  <c r="H38" i="2" s="1"/>
  <c r="G37" i="2"/>
  <c r="H37" i="2" s="1"/>
  <c r="H36" i="2"/>
  <c r="G35" i="2"/>
  <c r="H35" i="2" s="1"/>
  <c r="H34" i="2"/>
  <c r="G34" i="2"/>
  <c r="H33" i="2"/>
  <c r="G32" i="2"/>
  <c r="H32" i="2" s="1"/>
  <c r="H31" i="2"/>
  <c r="G31" i="2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H23" i="2"/>
  <c r="G23" i="2"/>
  <c r="H22" i="2"/>
  <c r="H21" i="2"/>
  <c r="H20" i="2"/>
  <c r="H19" i="2"/>
  <c r="H18" i="2"/>
  <c r="H17" i="2"/>
  <c r="H16" i="2"/>
  <c r="H15" i="2"/>
  <c r="H14" i="2"/>
  <c r="G13" i="2"/>
  <c r="H13" i="2" s="1"/>
  <c r="G12" i="2"/>
  <c r="H12" i="2" s="1"/>
  <c r="G11" i="2"/>
  <c r="H11" i="2" s="1"/>
  <c r="F10" i="2"/>
  <c r="H10" i="2" s="1"/>
  <c r="G9" i="2"/>
  <c r="H9" i="2" s="1"/>
  <c r="H8" i="2"/>
  <c r="F7" i="2"/>
  <c r="H7" i="2" s="1"/>
  <c r="F6" i="2"/>
  <c r="H6" i="2" s="1"/>
  <c r="H5" i="2"/>
  <c r="H4" i="2"/>
  <c r="H3" i="2"/>
  <c r="N94" i="4" l="1"/>
  <c r="N106" i="4" s="1"/>
  <c r="L94" i="4"/>
  <c r="K106" i="4"/>
  <c r="H57" i="2"/>
</calcChain>
</file>

<file path=xl/sharedStrings.xml><?xml version="1.0" encoding="utf-8"?>
<sst xmlns="http://schemas.openxmlformats.org/spreadsheetml/2006/main" count="864" uniqueCount="192">
  <si>
    <t>12.11.20</t>
  </si>
  <si>
    <t>Makewell Engineering</t>
  </si>
  <si>
    <t>26.11.20</t>
  </si>
  <si>
    <t>1.12.20</t>
  </si>
  <si>
    <t>17.12.20</t>
  </si>
  <si>
    <t>13.1.21</t>
  </si>
  <si>
    <t>Roshan Industries</t>
  </si>
  <si>
    <t>RIUS-143/20-21</t>
  </si>
  <si>
    <t>Packing Machine</t>
  </si>
  <si>
    <t>Net</t>
  </si>
  <si>
    <t>19.6.20</t>
  </si>
  <si>
    <t>Poorva Engineering &amp; Tools Pvt. Ltd</t>
  </si>
  <si>
    <t>RS-SP-0265-20-21</t>
  </si>
  <si>
    <t>Air Compressor</t>
  </si>
  <si>
    <t>28.9.20</t>
  </si>
  <si>
    <t>KGK Jet India (P) Ltd</t>
  </si>
  <si>
    <t>KGK/2810/20-21</t>
  </si>
  <si>
    <t>Printer</t>
  </si>
  <si>
    <t>8.9.20</t>
  </si>
  <si>
    <t>28.6.20</t>
  </si>
  <si>
    <t>Khosla Electronic (P) Ltd</t>
  </si>
  <si>
    <t>AC</t>
  </si>
  <si>
    <t>4.7.20</t>
  </si>
  <si>
    <t>MS Technologies</t>
  </si>
  <si>
    <t>Oven</t>
  </si>
  <si>
    <t>22.7.20</t>
  </si>
  <si>
    <t>4.8.20</t>
  </si>
  <si>
    <t>18.8.20</t>
  </si>
  <si>
    <t>4.9.20</t>
  </si>
  <si>
    <t>16.9.20</t>
  </si>
  <si>
    <t>5.10.20</t>
  </si>
  <si>
    <t>14.10.20</t>
  </si>
  <si>
    <t>4.12.20</t>
  </si>
  <si>
    <t>Bengal Pipes and Fittings Mart</t>
  </si>
  <si>
    <t>BPFM/20-21/1146</t>
  </si>
  <si>
    <t>28.8.20</t>
  </si>
  <si>
    <t>Deep Freeze</t>
  </si>
  <si>
    <t>PPL/19-20/1419</t>
  </si>
  <si>
    <t>Pin Point Logistics</t>
  </si>
  <si>
    <t xml:space="preserve">Pipes </t>
  </si>
  <si>
    <t>15.8.20</t>
  </si>
  <si>
    <t>Imaraty Construction</t>
  </si>
  <si>
    <t>19.12.20</t>
  </si>
  <si>
    <t>Building Materials</t>
  </si>
  <si>
    <t>15.2.21</t>
  </si>
  <si>
    <t>Agni Kanchan</t>
  </si>
  <si>
    <t>24/20-21</t>
  </si>
  <si>
    <t>25/20-21</t>
  </si>
  <si>
    <t>26/20-21</t>
  </si>
  <si>
    <t>27/20-21</t>
  </si>
  <si>
    <t>28/20-21</t>
  </si>
  <si>
    <t>31.7.20</t>
  </si>
  <si>
    <t>Amaze Power</t>
  </si>
  <si>
    <t>500 KVA Generator</t>
  </si>
  <si>
    <t>10.3.21</t>
  </si>
  <si>
    <t>Dasmesh Refrigeration</t>
  </si>
  <si>
    <t>Fire Extinguisher</t>
  </si>
  <si>
    <t>Milk Chiller</t>
  </si>
  <si>
    <t>13.8.20</t>
  </si>
  <si>
    <t>Pannel</t>
  </si>
  <si>
    <t>Power System</t>
  </si>
  <si>
    <t>Hazra Industries</t>
  </si>
  <si>
    <t>12.8.20</t>
  </si>
  <si>
    <t>15.9.20</t>
  </si>
  <si>
    <t>1.10.20</t>
  </si>
  <si>
    <t>9.10.20</t>
  </si>
  <si>
    <t>10.10.20</t>
  </si>
  <si>
    <t>13.10.20</t>
  </si>
  <si>
    <t>20.10.20</t>
  </si>
  <si>
    <t>Wesman Thermal Engineering Processes (P) Ltd</t>
  </si>
  <si>
    <t>29.8.20</t>
  </si>
  <si>
    <t>13.11.20</t>
  </si>
  <si>
    <t>9.1.21</t>
  </si>
  <si>
    <t>9.11.20</t>
  </si>
  <si>
    <t>Madanpal &amp; Sons</t>
  </si>
  <si>
    <t>1.1.21</t>
  </si>
  <si>
    <t>27.7.20</t>
  </si>
  <si>
    <t>Power Electronics</t>
  </si>
  <si>
    <t>27/PE-037</t>
  </si>
  <si>
    <t>Electricals</t>
  </si>
  <si>
    <t>Plant &amp; Machinery</t>
  </si>
  <si>
    <t>Burners</t>
  </si>
  <si>
    <t>Die</t>
  </si>
  <si>
    <t>DATE</t>
  </si>
  <si>
    <t>PARTY</t>
  </si>
  <si>
    <t>BILL NO</t>
  </si>
  <si>
    <t>BASIC AMOUNT</t>
  </si>
  <si>
    <t>GST</t>
  </si>
  <si>
    <t>TOTAL</t>
  </si>
  <si>
    <t>ITEM</t>
  </si>
  <si>
    <t>9.6.20</t>
  </si>
  <si>
    <t>PH Drive</t>
  </si>
  <si>
    <t>Electrical installation</t>
  </si>
  <si>
    <t>13.6.20</t>
  </si>
  <si>
    <t>Drive</t>
  </si>
  <si>
    <t>Generator 500 kva</t>
  </si>
  <si>
    <t>27/PE-0371/20-21</t>
  </si>
  <si>
    <t>3.8.20</t>
  </si>
  <si>
    <t>Bhar Hardware</t>
  </si>
  <si>
    <t>Land &amp; Building</t>
  </si>
  <si>
    <t>Other Mchinery</t>
  </si>
  <si>
    <t>Bengal Pipe &amp; Fittings</t>
  </si>
  <si>
    <t>Pipe Fittings</t>
  </si>
  <si>
    <t>baking oven</t>
  </si>
  <si>
    <t>Shibam</t>
  </si>
  <si>
    <t>Baking oven</t>
  </si>
  <si>
    <t>16.1.21</t>
  </si>
  <si>
    <t>Baking Oven -II</t>
  </si>
  <si>
    <t>RIUSI-99/20-21</t>
  </si>
  <si>
    <t>13.1.20</t>
  </si>
  <si>
    <t>RIUSI-143/20-21</t>
  </si>
  <si>
    <t>KGK Jet India  (P) Ltd</t>
  </si>
  <si>
    <t>Poorva Engineering &amp; Tools (P) Ltd.</t>
  </si>
  <si>
    <t>P &amp; M</t>
  </si>
  <si>
    <t>Dashmesh Refrigeration</t>
  </si>
  <si>
    <t>28.6.200</t>
  </si>
  <si>
    <t>Khosla Electronics Pvt. Ltd</t>
  </si>
  <si>
    <t>Pin Point Logistic</t>
  </si>
  <si>
    <t>1.7.20</t>
  </si>
  <si>
    <t>Himmat Elecctricals &amp; Electronics</t>
  </si>
  <si>
    <t>HEE/A0497/2021</t>
  </si>
  <si>
    <t>Electrical item</t>
  </si>
  <si>
    <t>9.7.20</t>
  </si>
  <si>
    <t>HEE/A0476/2021</t>
  </si>
  <si>
    <t>11.7.20</t>
  </si>
  <si>
    <t>HEE/A0506/2021</t>
  </si>
  <si>
    <t>HEE/A0572/2021</t>
  </si>
  <si>
    <t>HEE/A0812/2021</t>
  </si>
  <si>
    <t>HEE/A1128/2021</t>
  </si>
  <si>
    <t>HEE/A1122/2021</t>
  </si>
  <si>
    <t>5.11.20</t>
  </si>
  <si>
    <t>HEE/A2010/2021</t>
  </si>
  <si>
    <t>11.11.20</t>
  </si>
  <si>
    <t>HEE/A2113/2021</t>
  </si>
  <si>
    <t>25.11.20</t>
  </si>
  <si>
    <t>HEE/A2131/2021</t>
  </si>
  <si>
    <t>1.8.20</t>
  </si>
  <si>
    <t>Argha Enterprise</t>
  </si>
  <si>
    <t>Cement</t>
  </si>
  <si>
    <t>5.8.20</t>
  </si>
  <si>
    <t>Maa Dayamoyee Marble Centre</t>
  </si>
  <si>
    <t>Kota Stone</t>
  </si>
  <si>
    <t>11.8.20</t>
  </si>
  <si>
    <t>Fire Fighting Equip.</t>
  </si>
  <si>
    <t>TV</t>
  </si>
  <si>
    <t>16.6.20</t>
  </si>
  <si>
    <t>23.6.20</t>
  </si>
  <si>
    <t>Packing Machine parts</t>
  </si>
  <si>
    <t>IGST</t>
  </si>
  <si>
    <t>CGST</t>
  </si>
  <si>
    <t>OTH.</t>
  </si>
  <si>
    <t>BASIC</t>
  </si>
  <si>
    <t>REMARKS</t>
  </si>
  <si>
    <t>:HCE/SP/QTN/32/2020 -21</t>
  </si>
  <si>
    <t>HCE/SP/R-QTN/12/2020-21</t>
  </si>
  <si>
    <t>Heiza Chem Engineers (P) Ltd.</t>
  </si>
  <si>
    <t>QUOTATION NO</t>
  </si>
  <si>
    <t>SGST</t>
  </si>
  <si>
    <t>Nanak Coding System</t>
  </si>
  <si>
    <t>Moisture Analyser</t>
  </si>
  <si>
    <t>Packing Table</t>
  </si>
  <si>
    <t>4th Cream Machine</t>
  </si>
  <si>
    <t xml:space="preserve">Sl </t>
  </si>
  <si>
    <t>TOTAL ESTIMATED COST</t>
  </si>
  <si>
    <t>P&amp; M</t>
  </si>
  <si>
    <t>Factory Building</t>
  </si>
  <si>
    <t>Fire Fighting</t>
  </si>
  <si>
    <t>Lakhi Da</t>
  </si>
  <si>
    <t>Extension of Factory Shed</t>
  </si>
  <si>
    <t>DETAILS OF QUOTATIONS</t>
  </si>
  <si>
    <t>10.7.20</t>
  </si>
  <si>
    <t>Sanjeev Ghosh (Lakhi da)</t>
  </si>
  <si>
    <t>Factory Building Labour charge</t>
  </si>
  <si>
    <t>Glass wool</t>
  </si>
  <si>
    <t>Payments Made</t>
  </si>
  <si>
    <t>Advance Made</t>
  </si>
  <si>
    <t>Outstanding</t>
  </si>
  <si>
    <t>Ashok Kumar &amp; Brothers</t>
  </si>
  <si>
    <t>MS Sheet &amp; Angles</t>
  </si>
  <si>
    <t>25.8.20</t>
  </si>
  <si>
    <t>Amrut &amp; Co</t>
  </si>
  <si>
    <t>Kota stone</t>
  </si>
  <si>
    <t>3.7.21</t>
  </si>
  <si>
    <t>Control Print Limited</t>
  </si>
  <si>
    <t>30.6.21</t>
  </si>
  <si>
    <t>Rajdeep Enterprises</t>
  </si>
  <si>
    <t>5.7.21</t>
  </si>
  <si>
    <t>lab equipment</t>
  </si>
  <si>
    <t>DETAILS OF ITEMS RECEIVED (Till 7.7.21)</t>
  </si>
  <si>
    <t>10.7.21</t>
  </si>
  <si>
    <t>Sanjib Ghosh</t>
  </si>
  <si>
    <t>Labour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</si>
</sst>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43" fontId="0" fillId="0" borderId="3" xfId="1" applyFont="1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0" fillId="2" borderId="0" xfId="0" applyFill="1"/>
    <xf numFmtId="43" fontId="0" fillId="2" borderId="0" xfId="1" applyFont="1" applyFill="1"/>
    <xf numFmtId="0" fontId="0" fillId="3" borderId="2" xfId="0" applyFill="1" applyBorder="1"/>
    <xf numFmtId="43" fontId="0" fillId="3" borderId="2" xfId="1" applyFont="1" applyFill="1" applyBorder="1"/>
    <xf numFmtId="43" fontId="0" fillId="0" borderId="0" xfId="1" applyNumberFormat="1" applyFont="1"/>
    <xf numFmtId="0" fontId="0" fillId="0" borderId="2" xfId="0" applyFill="1" applyBorder="1"/>
    <xf numFmtId="43" fontId="0" fillId="0" borderId="0" xfId="1" applyFont="1" applyFill="1" applyBorder="1"/>
    <xf numFmtId="43" fontId="0" fillId="0" borderId="2" xfId="1" applyFont="1" applyFill="1" applyBorder="1"/>
    <xf numFmtId="43" fontId="0" fillId="0" borderId="2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43" fontId="2" fillId="0" borderId="1" xfId="0" applyNumberFormat="1" applyFont="1" applyBorder="1"/>
    <xf numFmtId="43" fontId="2" fillId="0" borderId="4" xfId="0" applyNumberFormat="1" applyFont="1" applyBorder="1"/>
    <xf numFmtId="0" fontId="2" fillId="0" borderId="9" xfId="0" applyFont="1" applyBorder="1" applyAlignment="1">
      <alignment horizontal="center"/>
    </xf>
    <xf numFmtId="43" fontId="0" fillId="0" borderId="10" xfId="1" applyFont="1" applyBorder="1"/>
    <xf numFmtId="0" fontId="0" fillId="0" borderId="10" xfId="0" applyBorder="1"/>
    <xf numFmtId="0" fontId="0" fillId="0" borderId="11" xfId="0" applyBorder="1"/>
    <xf numFmtId="43" fontId="2" fillId="0" borderId="4" xfId="1" applyFont="1" applyBorder="1"/>
    <xf numFmtId="43" fontId="0" fillId="0" borderId="3" xfId="1" applyNumberFormat="1" applyFont="1" applyBorder="1"/>
    <xf numFmtId="43" fontId="0" fillId="0" borderId="1" xfId="1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10" xfId="1" applyFont="1" applyFill="1" applyBorder="1"/>
    <xf numFmtId="0" fontId="4" fillId="0" borderId="0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/>
    <xf numFmtId="43" fontId="4" fillId="0" borderId="12" xfId="0" applyNumberFormat="1" applyFont="1" applyFill="1" applyBorder="1" applyAlignment="1" applyProtection="1"/>
    <xf numFmtId="43" fontId="4" fillId="0" borderId="13" xfId="0" applyNumberFormat="1" applyFont="1" applyFill="1" applyBorder="1" applyAlignment="1" applyProtection="1"/>
    <xf numFmtId="43" fontId="4" fillId="0" borderId="14" xfId="0" applyNumberFormat="1" applyFont="1" applyFill="1" applyBorder="1" applyAlignment="1" applyProtection="1"/>
    <xf numFmtId="0" fontId="4" fillId="0" borderId="15" xfId="0" applyNumberFormat="1" applyFont="1" applyFill="1" applyBorder="1" applyAlignment="1" applyProtection="1"/>
    <xf numFmtId="43" fontId="4" fillId="0" borderId="0" xfId="0" applyNumberFormat="1" applyFont="1" applyFill="1" applyBorder="1" applyAlignment="1" applyProtection="1"/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2" xfId="0" applyFill="1" applyBorder="1"/>
    <xf numFmtId="0" fontId="0" fillId="0" borderId="12" xfId="0" applyBorder="1"/>
    <xf numFmtId="43" fontId="0" fillId="0" borderId="12" xfId="1" applyFont="1" applyBorder="1"/>
    <xf numFmtId="43" fontId="0" fillId="0" borderId="12" xfId="1" applyFont="1" applyFill="1" applyBorder="1"/>
    <xf numFmtId="43" fontId="0" fillId="0" borderId="12" xfId="1" applyNumberFormat="1" applyFont="1" applyBorder="1"/>
    <xf numFmtId="43" fontId="0" fillId="0" borderId="13" xfId="1" applyFont="1" applyBorder="1"/>
    <xf numFmtId="0" fontId="0" fillId="0" borderId="13" xfId="0" applyBorder="1"/>
    <xf numFmtId="43" fontId="0" fillId="0" borderId="14" xfId="1" applyNumberFormat="1" applyFont="1" applyBorder="1"/>
    <xf numFmtId="43" fontId="0" fillId="0" borderId="16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37"/>
  <sheetViews>
    <sheetView view="pageBreakPreview" topLeftCell="A107" zoomScale="70" zoomScaleNormal="100" zoomScaleSheetLayoutView="70" workbookViewId="0">
      <selection activeCell="B61" sqref="B61:M138"/>
    </sheetView>
  </sheetViews>
  <sheetFormatPr defaultRowHeight="15" x14ac:dyDescent="0.25"/>
  <cols>
    <col min="3" max="3" width="42" customWidth="1"/>
    <col min="4" max="4" width="12.85546875" customWidth="1"/>
    <col min="5" max="5" width="17.85546875" bestFit="1" customWidth="1"/>
    <col min="6" max="6" width="16" style="1" bestFit="1" customWidth="1"/>
    <col min="7" max="7" width="14.28515625" style="1" bestFit="1" customWidth="1"/>
    <col min="8" max="8" width="16.28515625" style="1" bestFit="1" customWidth="1"/>
    <col min="9" max="9" width="13.85546875" bestFit="1" customWidth="1"/>
    <col min="10" max="11" width="15" bestFit="1" customWidth="1"/>
  </cols>
  <sheetData>
    <row r="2" spans="2:8" x14ac:dyDescent="0.25">
      <c r="B2" s="7" t="s">
        <v>83</v>
      </c>
      <c r="C2" s="7" t="s">
        <v>84</v>
      </c>
      <c r="D2" s="7" t="s">
        <v>85</v>
      </c>
      <c r="E2" s="8" t="s">
        <v>89</v>
      </c>
      <c r="F2" s="8" t="s">
        <v>86</v>
      </c>
      <c r="G2" s="8" t="s">
        <v>87</v>
      </c>
      <c r="H2" s="8" t="s">
        <v>88</v>
      </c>
    </row>
    <row r="3" spans="2:8" x14ac:dyDescent="0.25">
      <c r="B3" s="2" t="s">
        <v>0</v>
      </c>
      <c r="C3" s="2" t="s">
        <v>1</v>
      </c>
      <c r="D3" s="2">
        <v>465</v>
      </c>
      <c r="E3" s="2" t="s">
        <v>8</v>
      </c>
      <c r="F3" s="3">
        <v>1045002</v>
      </c>
      <c r="G3" s="3">
        <v>188100</v>
      </c>
      <c r="H3" s="3">
        <f t="shared" ref="H3:H34" si="0">F3+G3</f>
        <v>1233102</v>
      </c>
    </row>
    <row r="4" spans="2:8" x14ac:dyDescent="0.25">
      <c r="B4" s="2" t="s">
        <v>0</v>
      </c>
      <c r="C4" s="2" t="s">
        <v>1</v>
      </c>
      <c r="D4" s="2">
        <v>464</v>
      </c>
      <c r="E4" s="2" t="s">
        <v>8</v>
      </c>
      <c r="F4" s="3">
        <v>1045002</v>
      </c>
      <c r="G4" s="3">
        <v>188100</v>
      </c>
      <c r="H4" s="3">
        <f t="shared" si="0"/>
        <v>1233102</v>
      </c>
    </row>
    <row r="5" spans="2:8" x14ac:dyDescent="0.25">
      <c r="B5" s="2" t="s">
        <v>2</v>
      </c>
      <c r="C5" s="2" t="s">
        <v>1</v>
      </c>
      <c r="D5" s="2">
        <v>473</v>
      </c>
      <c r="E5" s="2" t="s">
        <v>8</v>
      </c>
      <c r="F5" s="3">
        <v>2477036</v>
      </c>
      <c r="G5" s="3">
        <v>445866</v>
      </c>
      <c r="H5" s="3">
        <f t="shared" si="0"/>
        <v>2922902</v>
      </c>
    </row>
    <row r="6" spans="2:8" x14ac:dyDescent="0.25">
      <c r="B6" s="2" t="s">
        <v>3</v>
      </c>
      <c r="C6" s="2" t="s">
        <v>1</v>
      </c>
      <c r="D6" s="2">
        <v>483</v>
      </c>
      <c r="E6" s="2" t="s">
        <v>8</v>
      </c>
      <c r="F6" s="3">
        <f>519117+13185</f>
        <v>532302</v>
      </c>
      <c r="G6" s="3">
        <v>95814</v>
      </c>
      <c r="H6" s="3">
        <f t="shared" si="0"/>
        <v>628116</v>
      </c>
    </row>
    <row r="7" spans="2:8" x14ac:dyDescent="0.25">
      <c r="B7" s="2" t="s">
        <v>4</v>
      </c>
      <c r="C7" s="2" t="s">
        <v>1</v>
      </c>
      <c r="D7" s="2">
        <v>484</v>
      </c>
      <c r="E7" s="2" t="s">
        <v>8</v>
      </c>
      <c r="F7" s="3">
        <f>1226957+31164</f>
        <v>1258121</v>
      </c>
      <c r="G7" s="3">
        <v>226461</v>
      </c>
      <c r="H7" s="3">
        <f t="shared" si="0"/>
        <v>1484582</v>
      </c>
    </row>
    <row r="8" spans="2:8" x14ac:dyDescent="0.25">
      <c r="B8" s="2" t="s">
        <v>5</v>
      </c>
      <c r="C8" s="2" t="s">
        <v>6</v>
      </c>
      <c r="D8" s="2" t="s">
        <v>7</v>
      </c>
      <c r="E8" s="2" t="s">
        <v>9</v>
      </c>
      <c r="F8" s="3">
        <v>211349.66</v>
      </c>
      <c r="G8" s="3">
        <v>38042.94</v>
      </c>
      <c r="H8" s="3">
        <f t="shared" si="0"/>
        <v>249392.6</v>
      </c>
    </row>
    <row r="9" spans="2:8" x14ac:dyDescent="0.25">
      <c r="B9" s="2" t="s">
        <v>10</v>
      </c>
      <c r="C9" s="2" t="s">
        <v>11</v>
      </c>
      <c r="D9" s="2" t="s">
        <v>12</v>
      </c>
      <c r="E9" s="2" t="s">
        <v>13</v>
      </c>
      <c r="F9" s="3">
        <v>594000</v>
      </c>
      <c r="G9" s="3">
        <f>53460+53460</f>
        <v>106920</v>
      </c>
      <c r="H9" s="3">
        <f t="shared" si="0"/>
        <v>700920</v>
      </c>
    </row>
    <row r="10" spans="2:8" x14ac:dyDescent="0.25">
      <c r="B10" s="2" t="s">
        <v>14</v>
      </c>
      <c r="C10" s="2" t="s">
        <v>15</v>
      </c>
      <c r="D10" s="2" t="s">
        <v>16</v>
      </c>
      <c r="E10" s="2" t="s">
        <v>17</v>
      </c>
      <c r="F10" s="3">
        <f>150000+4000</f>
        <v>154000</v>
      </c>
      <c r="G10" s="3">
        <v>27720</v>
      </c>
      <c r="H10" s="3">
        <f t="shared" si="0"/>
        <v>181720</v>
      </c>
    </row>
    <row r="11" spans="2:8" x14ac:dyDescent="0.25">
      <c r="B11" s="2" t="s">
        <v>19</v>
      </c>
      <c r="C11" s="2" t="s">
        <v>20</v>
      </c>
      <c r="D11" s="2">
        <v>29</v>
      </c>
      <c r="E11" s="2" t="s">
        <v>21</v>
      </c>
      <c r="F11" s="3">
        <v>24238.62</v>
      </c>
      <c r="G11" s="3">
        <f>3380.69+3380.69</f>
        <v>6761.38</v>
      </c>
      <c r="H11" s="3">
        <f t="shared" si="0"/>
        <v>31000</v>
      </c>
    </row>
    <row r="12" spans="2:8" x14ac:dyDescent="0.25">
      <c r="B12" s="2" t="s">
        <v>19</v>
      </c>
      <c r="C12" s="2" t="s">
        <v>20</v>
      </c>
      <c r="D12" s="2">
        <v>30</v>
      </c>
      <c r="E12" s="2" t="s">
        <v>21</v>
      </c>
      <c r="F12" s="3">
        <v>26113.62</v>
      </c>
      <c r="G12" s="3">
        <f>3643.19+3643.19</f>
        <v>7286.38</v>
      </c>
      <c r="H12" s="3">
        <f t="shared" si="0"/>
        <v>33400</v>
      </c>
    </row>
    <row r="13" spans="2:8" x14ac:dyDescent="0.25">
      <c r="B13" s="2" t="s">
        <v>18</v>
      </c>
      <c r="C13" s="2" t="s">
        <v>20</v>
      </c>
      <c r="D13" s="2">
        <v>100</v>
      </c>
      <c r="E13" s="2" t="s">
        <v>21</v>
      </c>
      <c r="F13" s="3">
        <v>24218.74</v>
      </c>
      <c r="G13" s="3">
        <f>3390.63+3390.63</f>
        <v>6781.26</v>
      </c>
      <c r="H13" s="3">
        <f t="shared" si="0"/>
        <v>31000</v>
      </c>
    </row>
    <row r="14" spans="2:8" x14ac:dyDescent="0.25">
      <c r="B14" s="2" t="s">
        <v>22</v>
      </c>
      <c r="C14" s="2" t="s">
        <v>23</v>
      </c>
      <c r="D14" s="2">
        <v>1</v>
      </c>
      <c r="E14" s="2" t="s">
        <v>24</v>
      </c>
      <c r="F14" s="3">
        <v>1500000</v>
      </c>
      <c r="G14" s="3">
        <v>270000</v>
      </c>
      <c r="H14" s="3">
        <f t="shared" si="0"/>
        <v>1770000</v>
      </c>
    </row>
    <row r="15" spans="2:8" x14ac:dyDescent="0.25">
      <c r="B15" s="2" t="s">
        <v>25</v>
      </c>
      <c r="C15" s="2" t="s">
        <v>23</v>
      </c>
      <c r="D15" s="2">
        <v>2</v>
      </c>
      <c r="E15" s="2" t="s">
        <v>24</v>
      </c>
      <c r="F15" s="3">
        <v>1000000</v>
      </c>
      <c r="G15" s="3">
        <v>180000</v>
      </c>
      <c r="H15" s="3">
        <f t="shared" si="0"/>
        <v>1180000</v>
      </c>
    </row>
    <row r="16" spans="2:8" x14ac:dyDescent="0.25">
      <c r="B16" s="2" t="s">
        <v>26</v>
      </c>
      <c r="C16" s="2" t="s">
        <v>23</v>
      </c>
      <c r="D16" s="2">
        <v>3</v>
      </c>
      <c r="E16" s="2" t="s">
        <v>24</v>
      </c>
      <c r="F16" s="3">
        <v>600000</v>
      </c>
      <c r="G16" s="3">
        <v>108000</v>
      </c>
      <c r="H16" s="3">
        <f t="shared" si="0"/>
        <v>708000</v>
      </c>
    </row>
    <row r="17" spans="2:8" x14ac:dyDescent="0.25">
      <c r="B17" s="2" t="s">
        <v>27</v>
      </c>
      <c r="C17" s="2" t="s">
        <v>23</v>
      </c>
      <c r="D17" s="2">
        <v>4</v>
      </c>
      <c r="E17" s="2" t="s">
        <v>24</v>
      </c>
      <c r="F17" s="3">
        <v>600000</v>
      </c>
      <c r="G17" s="3">
        <v>108000</v>
      </c>
      <c r="H17" s="3">
        <f t="shared" si="0"/>
        <v>708000</v>
      </c>
    </row>
    <row r="18" spans="2:8" x14ac:dyDescent="0.25">
      <c r="B18" s="2" t="s">
        <v>28</v>
      </c>
      <c r="C18" s="2" t="s">
        <v>23</v>
      </c>
      <c r="D18" s="2">
        <v>5</v>
      </c>
      <c r="E18" s="2" t="s">
        <v>24</v>
      </c>
      <c r="F18" s="3">
        <v>800000</v>
      </c>
      <c r="G18" s="3">
        <v>144000</v>
      </c>
      <c r="H18" s="3">
        <f t="shared" si="0"/>
        <v>944000</v>
      </c>
    </row>
    <row r="19" spans="2:8" x14ac:dyDescent="0.25">
      <c r="B19" s="2" t="s">
        <v>18</v>
      </c>
      <c r="C19" s="2" t="s">
        <v>23</v>
      </c>
      <c r="D19" s="2">
        <v>6</v>
      </c>
      <c r="E19" s="2" t="s">
        <v>24</v>
      </c>
      <c r="F19" s="3">
        <v>600000</v>
      </c>
      <c r="G19" s="3">
        <v>108000</v>
      </c>
      <c r="H19" s="3">
        <f t="shared" si="0"/>
        <v>708000</v>
      </c>
    </row>
    <row r="20" spans="2:8" x14ac:dyDescent="0.25">
      <c r="B20" s="2" t="s">
        <v>29</v>
      </c>
      <c r="C20" s="2" t="s">
        <v>23</v>
      </c>
      <c r="D20" s="2">
        <v>7</v>
      </c>
      <c r="E20" s="2" t="s">
        <v>24</v>
      </c>
      <c r="F20" s="3">
        <v>400000</v>
      </c>
      <c r="G20" s="3">
        <v>72000</v>
      </c>
      <c r="H20" s="3">
        <f t="shared" si="0"/>
        <v>472000</v>
      </c>
    </row>
    <row r="21" spans="2:8" x14ac:dyDescent="0.25">
      <c r="B21" s="2" t="s">
        <v>30</v>
      </c>
      <c r="C21" s="2" t="s">
        <v>23</v>
      </c>
      <c r="D21" s="2">
        <v>8</v>
      </c>
      <c r="E21" s="2" t="s">
        <v>24</v>
      </c>
      <c r="F21" s="3">
        <v>380000</v>
      </c>
      <c r="G21" s="3">
        <v>68400</v>
      </c>
      <c r="H21" s="3">
        <f t="shared" si="0"/>
        <v>448400</v>
      </c>
    </row>
    <row r="22" spans="2:8" x14ac:dyDescent="0.25">
      <c r="B22" s="2" t="s">
        <v>31</v>
      </c>
      <c r="C22" s="2" t="s">
        <v>23</v>
      </c>
      <c r="D22" s="2">
        <v>9</v>
      </c>
      <c r="E22" s="2" t="s">
        <v>24</v>
      </c>
      <c r="F22" s="3">
        <v>20000</v>
      </c>
      <c r="G22" s="3">
        <v>3600</v>
      </c>
      <c r="H22" s="3">
        <f t="shared" si="0"/>
        <v>23600</v>
      </c>
    </row>
    <row r="23" spans="2:8" x14ac:dyDescent="0.25">
      <c r="B23" s="2" t="s">
        <v>32</v>
      </c>
      <c r="C23" s="2" t="s">
        <v>33</v>
      </c>
      <c r="D23" s="2" t="s">
        <v>34</v>
      </c>
      <c r="E23" s="2" t="s">
        <v>39</v>
      </c>
      <c r="F23" s="3">
        <v>21765</v>
      </c>
      <c r="G23" s="3">
        <f>1958.85*2</f>
        <v>3917.7</v>
      </c>
      <c r="H23" s="3">
        <f t="shared" si="0"/>
        <v>25682.7</v>
      </c>
    </row>
    <row r="24" spans="2:8" x14ac:dyDescent="0.25">
      <c r="B24" s="2" t="s">
        <v>35</v>
      </c>
      <c r="C24" s="2" t="s">
        <v>38</v>
      </c>
      <c r="D24" s="2" t="s">
        <v>37</v>
      </c>
      <c r="E24" s="2" t="s">
        <v>36</v>
      </c>
      <c r="F24" s="3">
        <v>35170</v>
      </c>
      <c r="G24" s="3">
        <f>3165.3+3165.3</f>
        <v>6330.6</v>
      </c>
      <c r="H24" s="3">
        <f t="shared" si="0"/>
        <v>41500.6</v>
      </c>
    </row>
    <row r="25" spans="2:8" x14ac:dyDescent="0.25">
      <c r="B25" s="2" t="s">
        <v>40</v>
      </c>
      <c r="C25" s="2" t="s">
        <v>41</v>
      </c>
      <c r="D25" s="2">
        <v>14</v>
      </c>
      <c r="E25" s="2" t="s">
        <v>43</v>
      </c>
      <c r="F25" s="3">
        <v>338005.5</v>
      </c>
      <c r="G25" s="3">
        <f>8450.14+8450.14</f>
        <v>16900.28</v>
      </c>
      <c r="H25" s="3">
        <f t="shared" si="0"/>
        <v>354905.78</v>
      </c>
    </row>
    <row r="26" spans="2:8" x14ac:dyDescent="0.25">
      <c r="B26" s="2" t="s">
        <v>42</v>
      </c>
      <c r="C26" s="2" t="s">
        <v>41</v>
      </c>
      <c r="D26" s="2">
        <v>48</v>
      </c>
      <c r="E26" s="2" t="s">
        <v>43</v>
      </c>
      <c r="F26" s="3">
        <v>428570.6</v>
      </c>
      <c r="G26" s="3">
        <f>10714.27+10714.27</f>
        <v>21428.54</v>
      </c>
      <c r="H26" s="3">
        <f t="shared" si="0"/>
        <v>449999.13999999996</v>
      </c>
    </row>
    <row r="27" spans="2:8" x14ac:dyDescent="0.25">
      <c r="B27" s="2" t="s">
        <v>44</v>
      </c>
      <c r="C27" s="2" t="s">
        <v>45</v>
      </c>
      <c r="D27" s="2" t="s">
        <v>46</v>
      </c>
      <c r="E27" s="2" t="s">
        <v>56</v>
      </c>
      <c r="F27" s="3">
        <v>74018</v>
      </c>
      <c r="G27" s="3">
        <f>6661.62+6661.62</f>
        <v>13323.24</v>
      </c>
      <c r="H27" s="3">
        <f t="shared" si="0"/>
        <v>87341.24</v>
      </c>
    </row>
    <row r="28" spans="2:8" x14ac:dyDescent="0.25">
      <c r="B28" s="2" t="s">
        <v>44</v>
      </c>
      <c r="C28" s="2" t="s">
        <v>45</v>
      </c>
      <c r="D28" s="2" t="s">
        <v>47</v>
      </c>
      <c r="E28" s="2" t="s">
        <v>56</v>
      </c>
      <c r="F28" s="3">
        <v>34676</v>
      </c>
      <c r="G28" s="3">
        <f>3120.84+3120.84</f>
        <v>6241.68</v>
      </c>
      <c r="H28" s="3">
        <f t="shared" si="0"/>
        <v>40917.68</v>
      </c>
    </row>
    <row r="29" spans="2:8" x14ac:dyDescent="0.25">
      <c r="B29" s="2" t="s">
        <v>44</v>
      </c>
      <c r="C29" s="2" t="s">
        <v>45</v>
      </c>
      <c r="D29" s="2" t="s">
        <v>48</v>
      </c>
      <c r="E29" s="2" t="s">
        <v>56</v>
      </c>
      <c r="F29" s="3">
        <v>210609</v>
      </c>
      <c r="G29" s="3">
        <f>18954.81+18954.81</f>
        <v>37909.620000000003</v>
      </c>
      <c r="H29" s="3">
        <f t="shared" si="0"/>
        <v>248518.62</v>
      </c>
    </row>
    <row r="30" spans="2:8" x14ac:dyDescent="0.25">
      <c r="B30" s="2" t="s">
        <v>44</v>
      </c>
      <c r="C30" s="2" t="s">
        <v>45</v>
      </c>
      <c r="D30" s="2" t="s">
        <v>49</v>
      </c>
      <c r="E30" s="2" t="s">
        <v>56</v>
      </c>
      <c r="F30" s="3">
        <v>79999</v>
      </c>
      <c r="G30" s="3">
        <f>7199.91+7199.91</f>
        <v>14399.82</v>
      </c>
      <c r="H30" s="3">
        <f t="shared" si="0"/>
        <v>94398.82</v>
      </c>
    </row>
    <row r="31" spans="2:8" x14ac:dyDescent="0.25">
      <c r="B31" s="2" t="s">
        <v>44</v>
      </c>
      <c r="C31" s="2" t="s">
        <v>45</v>
      </c>
      <c r="D31" s="2" t="s">
        <v>50</v>
      </c>
      <c r="E31" s="2" t="s">
        <v>56</v>
      </c>
      <c r="F31" s="3">
        <v>127118</v>
      </c>
      <c r="G31" s="3">
        <f>11440.62+11440.62</f>
        <v>22881.24</v>
      </c>
      <c r="H31" s="3">
        <f t="shared" si="0"/>
        <v>149999.24</v>
      </c>
    </row>
    <row r="32" spans="2:8" x14ac:dyDescent="0.25">
      <c r="B32" s="2" t="s">
        <v>51</v>
      </c>
      <c r="C32" s="2" t="s">
        <v>52</v>
      </c>
      <c r="D32" s="2">
        <v>44</v>
      </c>
      <c r="E32" s="2" t="s">
        <v>53</v>
      </c>
      <c r="F32" s="3">
        <v>2225000</v>
      </c>
      <c r="G32" s="3">
        <f>200250+200250</f>
        <v>400500</v>
      </c>
      <c r="H32" s="3">
        <f t="shared" si="0"/>
        <v>2625500</v>
      </c>
    </row>
    <row r="33" spans="2:8" x14ac:dyDescent="0.25">
      <c r="B33" s="2" t="s">
        <v>54</v>
      </c>
      <c r="C33" s="2" t="s">
        <v>55</v>
      </c>
      <c r="D33" s="2">
        <v>55</v>
      </c>
      <c r="E33" s="2" t="s">
        <v>57</v>
      </c>
      <c r="F33" s="3">
        <v>175000</v>
      </c>
      <c r="G33" s="3">
        <v>10500</v>
      </c>
      <c r="H33" s="3">
        <f t="shared" si="0"/>
        <v>185500</v>
      </c>
    </row>
    <row r="34" spans="2:8" x14ac:dyDescent="0.25">
      <c r="B34" s="2" t="s">
        <v>58</v>
      </c>
      <c r="C34" s="2" t="s">
        <v>60</v>
      </c>
      <c r="D34" s="2">
        <v>72</v>
      </c>
      <c r="E34" s="2" t="s">
        <v>59</v>
      </c>
      <c r="F34" s="3">
        <v>548903</v>
      </c>
      <c r="G34" s="3">
        <f>49401.27+49401.27</f>
        <v>98802.54</v>
      </c>
      <c r="H34" s="3">
        <f t="shared" si="0"/>
        <v>647705.54</v>
      </c>
    </row>
    <row r="35" spans="2:8" x14ac:dyDescent="0.25">
      <c r="B35" s="2" t="s">
        <v>62</v>
      </c>
      <c r="C35" s="2" t="s">
        <v>61</v>
      </c>
      <c r="D35" s="2">
        <v>49</v>
      </c>
      <c r="E35" s="2" t="s">
        <v>80</v>
      </c>
      <c r="F35" s="3">
        <v>700000</v>
      </c>
      <c r="G35" s="3">
        <f>63000+63000</f>
        <v>126000</v>
      </c>
      <c r="H35" s="3">
        <f t="shared" ref="H35:H55" si="1">F35+G35</f>
        <v>826000</v>
      </c>
    </row>
    <row r="36" spans="2:8" x14ac:dyDescent="0.25">
      <c r="B36" s="2" t="s">
        <v>62</v>
      </c>
      <c r="C36" s="2" t="s">
        <v>61</v>
      </c>
      <c r="D36" s="2">
        <v>48</v>
      </c>
      <c r="E36" s="2" t="s">
        <v>80</v>
      </c>
      <c r="F36" s="3">
        <v>1000000</v>
      </c>
      <c r="G36" s="3">
        <v>180000</v>
      </c>
      <c r="H36" s="3">
        <f t="shared" si="1"/>
        <v>1180000</v>
      </c>
    </row>
    <row r="37" spans="2:8" x14ac:dyDescent="0.25">
      <c r="B37" s="2" t="s">
        <v>62</v>
      </c>
      <c r="C37" s="2" t="s">
        <v>61</v>
      </c>
      <c r="D37" s="2">
        <v>50</v>
      </c>
      <c r="E37" s="2" t="s">
        <v>80</v>
      </c>
      <c r="F37" s="3">
        <v>700000</v>
      </c>
      <c r="G37" s="3">
        <f>63000+63000</f>
        <v>126000</v>
      </c>
      <c r="H37" s="3">
        <f t="shared" si="1"/>
        <v>826000</v>
      </c>
    </row>
    <row r="38" spans="2:8" x14ac:dyDescent="0.25">
      <c r="B38" s="2" t="s">
        <v>18</v>
      </c>
      <c r="C38" s="2" t="s">
        <v>61</v>
      </c>
      <c r="D38" s="2">
        <v>54</v>
      </c>
      <c r="E38" s="2" t="s">
        <v>80</v>
      </c>
      <c r="F38" s="3">
        <v>975000</v>
      </c>
      <c r="G38" s="3">
        <f>87500+87500</f>
        <v>175000</v>
      </c>
      <c r="H38" s="3">
        <f t="shared" si="1"/>
        <v>1150000</v>
      </c>
    </row>
    <row r="39" spans="2:8" x14ac:dyDescent="0.25">
      <c r="B39" s="2" t="s">
        <v>18</v>
      </c>
      <c r="C39" s="2" t="s">
        <v>61</v>
      </c>
      <c r="D39" s="2">
        <v>55</v>
      </c>
      <c r="E39" s="2" t="s">
        <v>80</v>
      </c>
      <c r="F39" s="3">
        <v>525000</v>
      </c>
      <c r="G39" s="3">
        <f>47250+47250</f>
        <v>94500</v>
      </c>
      <c r="H39" s="3">
        <f t="shared" si="1"/>
        <v>619500</v>
      </c>
    </row>
    <row r="40" spans="2:8" x14ac:dyDescent="0.25">
      <c r="B40" s="2" t="s">
        <v>63</v>
      </c>
      <c r="C40" s="2" t="s">
        <v>61</v>
      </c>
      <c r="D40" s="2">
        <v>62</v>
      </c>
      <c r="E40" s="2" t="s">
        <v>80</v>
      </c>
      <c r="F40" s="3">
        <v>600000</v>
      </c>
      <c r="G40" s="3">
        <f>54000+54000</f>
        <v>108000</v>
      </c>
      <c r="H40" s="3">
        <f t="shared" si="1"/>
        <v>708000</v>
      </c>
    </row>
    <row r="41" spans="2:8" x14ac:dyDescent="0.25">
      <c r="B41" s="2" t="s">
        <v>63</v>
      </c>
      <c r="C41" s="2" t="s">
        <v>61</v>
      </c>
      <c r="D41" s="2">
        <v>63</v>
      </c>
      <c r="E41" s="2" t="s">
        <v>80</v>
      </c>
      <c r="F41" s="3">
        <v>525000</v>
      </c>
      <c r="G41" s="3">
        <f>47250+47250</f>
        <v>94500</v>
      </c>
      <c r="H41" s="3">
        <f t="shared" si="1"/>
        <v>619500</v>
      </c>
    </row>
    <row r="42" spans="2:8" x14ac:dyDescent="0.25">
      <c r="B42" s="2" t="s">
        <v>64</v>
      </c>
      <c r="C42" s="2" t="s">
        <v>61</v>
      </c>
      <c r="D42" s="2">
        <v>70</v>
      </c>
      <c r="E42" s="2" t="s">
        <v>80</v>
      </c>
      <c r="F42" s="3">
        <v>175000</v>
      </c>
      <c r="G42" s="3">
        <f>15750+15750</f>
        <v>31500</v>
      </c>
      <c r="H42" s="3">
        <f t="shared" si="1"/>
        <v>206500</v>
      </c>
    </row>
    <row r="43" spans="2:8" x14ac:dyDescent="0.25">
      <c r="B43" s="2" t="s">
        <v>64</v>
      </c>
      <c r="C43" s="2" t="s">
        <v>61</v>
      </c>
      <c r="D43" s="2">
        <v>69</v>
      </c>
      <c r="E43" s="2" t="s">
        <v>80</v>
      </c>
      <c r="F43" s="3">
        <v>1875000</v>
      </c>
      <c r="G43" s="3">
        <f>168750+168750</f>
        <v>337500</v>
      </c>
      <c r="H43" s="3">
        <f t="shared" si="1"/>
        <v>2212500</v>
      </c>
    </row>
    <row r="44" spans="2:8" x14ac:dyDescent="0.25">
      <c r="B44" s="2" t="s">
        <v>65</v>
      </c>
      <c r="C44" s="2" t="s">
        <v>61</v>
      </c>
      <c r="D44" s="2">
        <v>80</v>
      </c>
      <c r="E44" s="2" t="s">
        <v>80</v>
      </c>
      <c r="F44" s="3">
        <v>131000</v>
      </c>
      <c r="G44" s="3">
        <f>11790+11790</f>
        <v>23580</v>
      </c>
      <c r="H44" s="3">
        <f t="shared" si="1"/>
        <v>154580</v>
      </c>
    </row>
    <row r="45" spans="2:8" x14ac:dyDescent="0.25">
      <c r="B45" s="2" t="s">
        <v>65</v>
      </c>
      <c r="C45" s="2" t="s">
        <v>61</v>
      </c>
      <c r="D45" s="2">
        <v>79</v>
      </c>
      <c r="E45" s="2" t="s">
        <v>80</v>
      </c>
      <c r="F45" s="3">
        <v>150000</v>
      </c>
      <c r="G45" s="3">
        <f>13500+13500</f>
        <v>27000</v>
      </c>
      <c r="H45" s="3">
        <f t="shared" si="1"/>
        <v>177000</v>
      </c>
    </row>
    <row r="46" spans="2:8" x14ac:dyDescent="0.25">
      <c r="B46" s="2" t="s">
        <v>66</v>
      </c>
      <c r="C46" s="2" t="s">
        <v>61</v>
      </c>
      <c r="D46" s="2">
        <v>83</v>
      </c>
      <c r="E46" s="2" t="s">
        <v>80</v>
      </c>
      <c r="F46" s="3">
        <f>160000</f>
        <v>160000</v>
      </c>
      <c r="G46" s="3">
        <f>14400+14400</f>
        <v>28800</v>
      </c>
      <c r="H46" s="3">
        <f t="shared" si="1"/>
        <v>188800</v>
      </c>
    </row>
    <row r="47" spans="2:8" x14ac:dyDescent="0.25">
      <c r="B47" s="2" t="s">
        <v>67</v>
      </c>
      <c r="C47" s="2" t="s">
        <v>61</v>
      </c>
      <c r="D47" s="2">
        <v>85</v>
      </c>
      <c r="E47" s="2" t="s">
        <v>80</v>
      </c>
      <c r="F47" s="3">
        <v>620000</v>
      </c>
      <c r="G47" s="3">
        <f>55800+55800</f>
        <v>111600</v>
      </c>
      <c r="H47" s="3">
        <f t="shared" si="1"/>
        <v>731600</v>
      </c>
    </row>
    <row r="48" spans="2:8" x14ac:dyDescent="0.25">
      <c r="B48" s="2" t="s">
        <v>68</v>
      </c>
      <c r="C48" s="2" t="s">
        <v>69</v>
      </c>
      <c r="D48" s="2">
        <v>999</v>
      </c>
      <c r="E48" s="2" t="s">
        <v>81</v>
      </c>
      <c r="F48" s="3">
        <v>1477720.4</v>
      </c>
      <c r="G48" s="3">
        <f>132994.84+132994.84</f>
        <v>265989.68</v>
      </c>
      <c r="H48" s="3">
        <f t="shared" si="1"/>
        <v>1743710.0799999998</v>
      </c>
    </row>
    <row r="49" spans="2:12" x14ac:dyDescent="0.25">
      <c r="B49" s="2" t="s">
        <v>62</v>
      </c>
      <c r="C49" s="2" t="s">
        <v>1</v>
      </c>
      <c r="D49" s="2">
        <v>413</v>
      </c>
      <c r="E49" s="2" t="s">
        <v>81</v>
      </c>
      <c r="F49" s="3">
        <v>1480576</v>
      </c>
      <c r="G49" s="3">
        <v>266504</v>
      </c>
      <c r="H49" s="3">
        <f t="shared" si="1"/>
        <v>1747080</v>
      </c>
    </row>
    <row r="50" spans="2:12" x14ac:dyDescent="0.25">
      <c r="B50" s="2" t="s">
        <v>70</v>
      </c>
      <c r="C50" s="2" t="s">
        <v>1</v>
      </c>
      <c r="D50" s="2">
        <v>426</v>
      </c>
      <c r="E50" s="2" t="s">
        <v>81</v>
      </c>
      <c r="F50" s="3">
        <v>1482317</v>
      </c>
      <c r="G50" s="3">
        <v>266817</v>
      </c>
      <c r="H50" s="3">
        <f t="shared" si="1"/>
        <v>1749134</v>
      </c>
    </row>
    <row r="51" spans="2:12" x14ac:dyDescent="0.25">
      <c r="B51" s="2" t="s">
        <v>71</v>
      </c>
      <c r="C51" s="2" t="s">
        <v>60</v>
      </c>
      <c r="D51" s="2">
        <v>151</v>
      </c>
      <c r="E51" s="2" t="s">
        <v>79</v>
      </c>
      <c r="F51" s="3">
        <v>20378</v>
      </c>
      <c r="G51" s="3">
        <f>1834.02+1834.02</f>
        <v>3668.04</v>
      </c>
      <c r="H51" s="3">
        <f t="shared" si="1"/>
        <v>24046.04</v>
      </c>
    </row>
    <row r="52" spans="2:12" x14ac:dyDescent="0.25">
      <c r="B52" s="2" t="s">
        <v>72</v>
      </c>
      <c r="C52" s="11" t="s">
        <v>60</v>
      </c>
      <c r="D52" s="11">
        <v>103</v>
      </c>
      <c r="E52" s="11" t="s">
        <v>79</v>
      </c>
      <c r="F52" s="12">
        <v>63000</v>
      </c>
      <c r="G52" s="12">
        <f>5670+5670</f>
        <v>11340</v>
      </c>
      <c r="H52" s="12">
        <f t="shared" si="1"/>
        <v>74340</v>
      </c>
    </row>
    <row r="53" spans="2:12" x14ac:dyDescent="0.25">
      <c r="B53" s="2" t="s">
        <v>73</v>
      </c>
      <c r="C53" s="2" t="s">
        <v>74</v>
      </c>
      <c r="D53" s="2">
        <v>234</v>
      </c>
      <c r="E53" s="2" t="s">
        <v>82</v>
      </c>
      <c r="F53" s="3">
        <v>141500</v>
      </c>
      <c r="G53" s="3">
        <v>25470</v>
      </c>
      <c r="H53" s="3">
        <f t="shared" si="1"/>
        <v>166970</v>
      </c>
    </row>
    <row r="54" spans="2:12" x14ac:dyDescent="0.25">
      <c r="B54" s="2" t="s">
        <v>75</v>
      </c>
      <c r="C54" s="2" t="s">
        <v>74</v>
      </c>
      <c r="D54" s="2">
        <v>235</v>
      </c>
      <c r="E54" s="2" t="s">
        <v>82</v>
      </c>
      <c r="F54" s="3">
        <v>141500</v>
      </c>
      <c r="G54" s="3">
        <v>25470</v>
      </c>
      <c r="H54" s="3">
        <f t="shared" si="1"/>
        <v>166970</v>
      </c>
    </row>
    <row r="55" spans="2:12" x14ac:dyDescent="0.25">
      <c r="B55" s="2" t="s">
        <v>76</v>
      </c>
      <c r="C55" s="2" t="s">
        <v>77</v>
      </c>
      <c r="D55" s="2" t="s">
        <v>78</v>
      </c>
      <c r="E55" s="2" t="s">
        <v>79</v>
      </c>
      <c r="F55" s="3">
        <v>590000</v>
      </c>
      <c r="G55" s="3">
        <f>53100+53100</f>
        <v>106200</v>
      </c>
      <c r="H55" s="3">
        <f t="shared" si="1"/>
        <v>696200</v>
      </c>
    </row>
    <row r="56" spans="2:12" x14ac:dyDescent="0.25">
      <c r="B56" s="2"/>
      <c r="C56" s="2"/>
      <c r="D56" s="2"/>
      <c r="E56" s="2"/>
      <c r="F56" s="3"/>
      <c r="G56" s="3"/>
      <c r="H56" s="3"/>
    </row>
    <row r="57" spans="2:12" x14ac:dyDescent="0.25">
      <c r="B57" s="4"/>
      <c r="C57" s="4"/>
      <c r="D57" s="4"/>
      <c r="E57" s="4"/>
      <c r="F57" s="5"/>
      <c r="G57" s="5"/>
      <c r="H57" s="6">
        <f>SUM(H3:H56)</f>
        <v>36611636.079999991</v>
      </c>
    </row>
    <row r="61" spans="2:12" x14ac:dyDescent="0.25">
      <c r="B61" t="s">
        <v>90</v>
      </c>
      <c r="C61" t="s">
        <v>60</v>
      </c>
      <c r="D61">
        <v>12</v>
      </c>
      <c r="E61" t="s">
        <v>91</v>
      </c>
      <c r="F61" s="1">
        <v>110408</v>
      </c>
      <c r="H61" s="1">
        <v>9936.7199999999993</v>
      </c>
      <c r="I61" s="1">
        <v>9936.7199999999993</v>
      </c>
      <c r="J61" s="1">
        <v>-0.44</v>
      </c>
      <c r="K61" s="1">
        <f>F61+G61+H61+I61+J61</f>
        <v>130281</v>
      </c>
      <c r="L61" s="1" t="s">
        <v>92</v>
      </c>
    </row>
    <row r="62" spans="2:12" x14ac:dyDescent="0.25">
      <c r="B62" t="s">
        <v>93</v>
      </c>
      <c r="C62" t="s">
        <v>60</v>
      </c>
      <c r="D62">
        <v>15</v>
      </c>
      <c r="E62" t="s">
        <v>91</v>
      </c>
      <c r="F62" s="1">
        <v>56940</v>
      </c>
      <c r="H62" s="1">
        <v>5124.6000000000004</v>
      </c>
      <c r="I62" s="1">
        <v>5124.6000000000004</v>
      </c>
      <c r="J62" s="1">
        <v>0</v>
      </c>
      <c r="K62" s="1">
        <f t="shared" ref="K62:K137" si="2">F62+G62+H62+I62+J62</f>
        <v>67189.2</v>
      </c>
      <c r="L62" s="1" t="s">
        <v>92</v>
      </c>
    </row>
    <row r="63" spans="2:12" x14ac:dyDescent="0.25">
      <c r="B63" t="s">
        <v>71</v>
      </c>
      <c r="C63" t="s">
        <v>60</v>
      </c>
      <c r="D63" s="9"/>
      <c r="E63" t="s">
        <v>94</v>
      </c>
      <c r="F63" s="1">
        <v>20378</v>
      </c>
      <c r="H63" s="1">
        <v>1834.02</v>
      </c>
      <c r="I63" s="1">
        <v>1834.02</v>
      </c>
      <c r="J63" s="1">
        <v>-0.04</v>
      </c>
      <c r="K63" s="1">
        <f t="shared" si="2"/>
        <v>24046</v>
      </c>
      <c r="L63" s="1" t="s">
        <v>92</v>
      </c>
    </row>
    <row r="64" spans="2:12" x14ac:dyDescent="0.25">
      <c r="B64" t="s">
        <v>73</v>
      </c>
      <c r="C64" t="s">
        <v>60</v>
      </c>
      <c r="D64">
        <v>103</v>
      </c>
      <c r="F64" s="1">
        <v>63000</v>
      </c>
      <c r="H64" s="10"/>
      <c r="I64" s="10"/>
      <c r="J64" s="1"/>
      <c r="K64" s="1">
        <f t="shared" si="2"/>
        <v>63000</v>
      </c>
      <c r="L64" s="1" t="s">
        <v>92</v>
      </c>
    </row>
    <row r="65" spans="2:12" x14ac:dyDescent="0.25">
      <c r="B65" t="s">
        <v>51</v>
      </c>
      <c r="C65" t="s">
        <v>52</v>
      </c>
      <c r="D65">
        <v>90</v>
      </c>
      <c r="E65" t="s">
        <v>95</v>
      </c>
      <c r="F65" s="1">
        <v>2225000</v>
      </c>
      <c r="H65" s="1">
        <v>200250</v>
      </c>
      <c r="I65" s="1">
        <v>200250</v>
      </c>
      <c r="K65" s="1">
        <f t="shared" si="2"/>
        <v>2625500</v>
      </c>
      <c r="L65" s="1" t="s">
        <v>92</v>
      </c>
    </row>
    <row r="66" spans="2:12" x14ac:dyDescent="0.25">
      <c r="B66" t="s">
        <v>58</v>
      </c>
      <c r="C66" t="s">
        <v>60</v>
      </c>
      <c r="D66">
        <v>10043</v>
      </c>
      <c r="E66" t="s">
        <v>59</v>
      </c>
      <c r="F66" s="1">
        <v>548903</v>
      </c>
      <c r="H66" s="1">
        <v>49401.27</v>
      </c>
      <c r="I66" s="1">
        <v>49401.27</v>
      </c>
      <c r="J66" s="1">
        <v>0.46</v>
      </c>
      <c r="K66" s="1">
        <f t="shared" si="2"/>
        <v>647706</v>
      </c>
      <c r="L66" s="1" t="s">
        <v>92</v>
      </c>
    </row>
    <row r="67" spans="2:12" x14ac:dyDescent="0.25">
      <c r="B67" t="s">
        <v>76</v>
      </c>
      <c r="C67" t="s">
        <v>60</v>
      </c>
      <c r="D67" t="s">
        <v>96</v>
      </c>
      <c r="F67" s="1">
        <v>590000</v>
      </c>
      <c r="H67" s="1">
        <v>53100</v>
      </c>
      <c r="I67" s="1">
        <v>53100</v>
      </c>
      <c r="K67" s="1">
        <f t="shared" si="2"/>
        <v>696200</v>
      </c>
      <c r="L67" s="1" t="s">
        <v>92</v>
      </c>
    </row>
    <row r="68" spans="2:12" x14ac:dyDescent="0.25">
      <c r="B68" t="s">
        <v>97</v>
      </c>
      <c r="C68" t="s">
        <v>98</v>
      </c>
      <c r="D68">
        <v>661</v>
      </c>
      <c r="F68" s="1">
        <v>55650</v>
      </c>
      <c r="H68" s="1">
        <v>5008.5</v>
      </c>
      <c r="I68" s="1">
        <v>5008.5</v>
      </c>
      <c r="K68" s="1">
        <f t="shared" si="2"/>
        <v>65667</v>
      </c>
      <c r="L68" s="1" t="s">
        <v>99</v>
      </c>
    </row>
    <row r="69" spans="2:12" x14ac:dyDescent="0.25">
      <c r="B69" t="s">
        <v>26</v>
      </c>
      <c r="C69" t="s">
        <v>98</v>
      </c>
      <c r="D69">
        <v>666</v>
      </c>
      <c r="F69" s="1">
        <v>50350</v>
      </c>
      <c r="H69" s="1">
        <v>4531.5</v>
      </c>
      <c r="I69" s="1">
        <v>4531.5</v>
      </c>
      <c r="K69" s="1">
        <f t="shared" si="2"/>
        <v>59413</v>
      </c>
      <c r="L69" s="1" t="s">
        <v>99</v>
      </c>
    </row>
    <row r="70" spans="2:12" x14ac:dyDescent="0.25">
      <c r="B70" t="s">
        <v>73</v>
      </c>
      <c r="C70" t="s">
        <v>74</v>
      </c>
      <c r="D70">
        <v>234</v>
      </c>
      <c r="E70" t="s">
        <v>82</v>
      </c>
      <c r="F70" s="1">
        <v>141500</v>
      </c>
      <c r="G70" s="1">
        <v>25470</v>
      </c>
      <c r="K70" s="1">
        <f t="shared" si="2"/>
        <v>166970</v>
      </c>
      <c r="L70" s="1" t="s">
        <v>100</v>
      </c>
    </row>
    <row r="71" spans="2:12" x14ac:dyDescent="0.25">
      <c r="B71" t="s">
        <v>75</v>
      </c>
      <c r="C71" t="s">
        <v>74</v>
      </c>
      <c r="D71">
        <v>235</v>
      </c>
      <c r="E71" t="s">
        <v>82</v>
      </c>
      <c r="F71" s="1">
        <v>141500</v>
      </c>
      <c r="G71" s="1">
        <v>25470</v>
      </c>
      <c r="K71" s="1">
        <f t="shared" si="2"/>
        <v>166970</v>
      </c>
      <c r="L71" s="1" t="s">
        <v>100</v>
      </c>
    </row>
    <row r="72" spans="2:12" x14ac:dyDescent="0.25">
      <c r="B72" t="s">
        <v>32</v>
      </c>
      <c r="C72" t="s">
        <v>101</v>
      </c>
      <c r="D72">
        <v>1146</v>
      </c>
      <c r="E72" t="s">
        <v>102</v>
      </c>
      <c r="F72" s="1">
        <v>21765</v>
      </c>
      <c r="H72" s="1">
        <v>1958.85</v>
      </c>
      <c r="I72" s="1">
        <v>1985.85</v>
      </c>
      <c r="J72" s="1">
        <v>0.3</v>
      </c>
      <c r="K72" s="1">
        <f t="shared" si="2"/>
        <v>25709.999999999996</v>
      </c>
      <c r="L72" s="1" t="s">
        <v>103</v>
      </c>
    </row>
    <row r="73" spans="2:12" x14ac:dyDescent="0.25">
      <c r="B73" t="s">
        <v>4</v>
      </c>
      <c r="C73" t="s">
        <v>104</v>
      </c>
      <c r="D73">
        <v>514</v>
      </c>
      <c r="E73" t="s">
        <v>105</v>
      </c>
      <c r="F73" s="1">
        <v>10600</v>
      </c>
      <c r="H73" s="1">
        <v>954</v>
      </c>
      <c r="I73" s="1">
        <v>954</v>
      </c>
      <c r="K73" s="1">
        <f t="shared" si="2"/>
        <v>12508</v>
      </c>
      <c r="L73" s="1" t="s">
        <v>103</v>
      </c>
    </row>
    <row r="74" spans="2:12" x14ac:dyDescent="0.25">
      <c r="B74" t="s">
        <v>106</v>
      </c>
      <c r="C74" t="s">
        <v>104</v>
      </c>
      <c r="D74">
        <v>621</v>
      </c>
      <c r="E74" t="s">
        <v>105</v>
      </c>
      <c r="F74" s="1">
        <v>9750</v>
      </c>
      <c r="H74" s="1">
        <v>877.5</v>
      </c>
      <c r="I74" s="1">
        <v>877.5</v>
      </c>
      <c r="K74" s="1">
        <f t="shared" si="2"/>
        <v>11505</v>
      </c>
      <c r="L74" s="1" t="s">
        <v>103</v>
      </c>
    </row>
    <row r="75" spans="2:12" x14ac:dyDescent="0.25">
      <c r="B75" s="2" t="s">
        <v>22</v>
      </c>
      <c r="C75" s="2" t="s">
        <v>23</v>
      </c>
      <c r="D75" s="2">
        <v>1</v>
      </c>
      <c r="E75" s="2" t="s">
        <v>24</v>
      </c>
      <c r="F75" s="3">
        <v>1500000</v>
      </c>
      <c r="G75" s="3">
        <v>270000</v>
      </c>
      <c r="K75" s="1">
        <f t="shared" si="2"/>
        <v>1770000</v>
      </c>
      <c r="L75" s="1" t="s">
        <v>107</v>
      </c>
    </row>
    <row r="76" spans="2:12" x14ac:dyDescent="0.25">
      <c r="B76" s="2" t="s">
        <v>25</v>
      </c>
      <c r="C76" s="2" t="s">
        <v>23</v>
      </c>
      <c r="D76" s="2">
        <v>2</v>
      </c>
      <c r="E76" s="2" t="s">
        <v>24</v>
      </c>
      <c r="F76" s="3">
        <v>1000000</v>
      </c>
      <c r="G76" s="3">
        <v>180000</v>
      </c>
      <c r="K76" s="1">
        <f t="shared" si="2"/>
        <v>1180000</v>
      </c>
      <c r="L76" s="1" t="s">
        <v>107</v>
      </c>
    </row>
    <row r="77" spans="2:12" x14ac:dyDescent="0.25">
      <c r="B77" s="2" t="s">
        <v>26</v>
      </c>
      <c r="C77" s="2" t="s">
        <v>23</v>
      </c>
      <c r="D77" s="2">
        <v>3</v>
      </c>
      <c r="E77" s="2" t="s">
        <v>24</v>
      </c>
      <c r="F77" s="3">
        <v>600000</v>
      </c>
      <c r="G77" s="3">
        <v>108000</v>
      </c>
      <c r="K77" s="1">
        <f t="shared" si="2"/>
        <v>708000</v>
      </c>
      <c r="L77" s="1" t="s">
        <v>107</v>
      </c>
    </row>
    <row r="78" spans="2:12" x14ac:dyDescent="0.25">
      <c r="B78" s="2" t="s">
        <v>27</v>
      </c>
      <c r="C78" s="2" t="s">
        <v>23</v>
      </c>
      <c r="D78" s="2">
        <v>4</v>
      </c>
      <c r="E78" s="2" t="s">
        <v>24</v>
      </c>
      <c r="F78" s="3">
        <v>600000</v>
      </c>
      <c r="G78" s="3">
        <v>108000</v>
      </c>
      <c r="K78" s="1">
        <f t="shared" si="2"/>
        <v>708000</v>
      </c>
      <c r="L78" s="1" t="s">
        <v>107</v>
      </c>
    </row>
    <row r="79" spans="2:12" x14ac:dyDescent="0.25">
      <c r="B79" s="2" t="s">
        <v>28</v>
      </c>
      <c r="C79" s="2" t="s">
        <v>23</v>
      </c>
      <c r="D79" s="2">
        <v>5</v>
      </c>
      <c r="E79" s="2" t="s">
        <v>24</v>
      </c>
      <c r="F79" s="3">
        <v>800000</v>
      </c>
      <c r="G79" s="3">
        <v>144000</v>
      </c>
      <c r="K79" s="1">
        <f t="shared" si="2"/>
        <v>944000</v>
      </c>
      <c r="L79" s="1" t="s">
        <v>107</v>
      </c>
    </row>
    <row r="80" spans="2:12" x14ac:dyDescent="0.25">
      <c r="B80" s="2" t="s">
        <v>18</v>
      </c>
      <c r="C80" s="2" t="s">
        <v>23</v>
      </c>
      <c r="D80" s="2">
        <v>6</v>
      </c>
      <c r="E80" s="2" t="s">
        <v>24</v>
      </c>
      <c r="F80" s="3">
        <v>600000</v>
      </c>
      <c r="G80" s="3">
        <v>108000</v>
      </c>
      <c r="K80" s="1">
        <f t="shared" si="2"/>
        <v>708000</v>
      </c>
      <c r="L80" s="1" t="s">
        <v>107</v>
      </c>
    </row>
    <row r="81" spans="2:12" x14ac:dyDescent="0.25">
      <c r="B81" s="2" t="s">
        <v>29</v>
      </c>
      <c r="C81" s="2" t="s">
        <v>23</v>
      </c>
      <c r="D81" s="2">
        <v>7</v>
      </c>
      <c r="E81" s="2" t="s">
        <v>24</v>
      </c>
      <c r="F81" s="3">
        <v>400000</v>
      </c>
      <c r="G81" s="3">
        <v>72000</v>
      </c>
      <c r="K81" s="1">
        <f t="shared" si="2"/>
        <v>472000</v>
      </c>
      <c r="L81" s="1" t="s">
        <v>107</v>
      </c>
    </row>
    <row r="82" spans="2:12" x14ac:dyDescent="0.25">
      <c r="B82" s="2" t="s">
        <v>30</v>
      </c>
      <c r="C82" s="2" t="s">
        <v>23</v>
      </c>
      <c r="D82" s="2">
        <v>8</v>
      </c>
      <c r="E82" s="2" t="s">
        <v>24</v>
      </c>
      <c r="F82" s="3">
        <v>380000</v>
      </c>
      <c r="G82" s="3">
        <v>68400</v>
      </c>
      <c r="K82" s="1">
        <f t="shared" si="2"/>
        <v>448400</v>
      </c>
      <c r="L82" s="1" t="s">
        <v>107</v>
      </c>
    </row>
    <row r="83" spans="2:12" x14ac:dyDescent="0.25">
      <c r="B83" s="2" t="s">
        <v>31</v>
      </c>
      <c r="C83" s="2" t="s">
        <v>23</v>
      </c>
      <c r="D83" s="2">
        <v>9</v>
      </c>
      <c r="E83" s="2" t="s">
        <v>24</v>
      </c>
      <c r="F83" s="3">
        <v>20000</v>
      </c>
      <c r="G83" s="3">
        <v>3600</v>
      </c>
      <c r="K83" s="1">
        <f t="shared" si="2"/>
        <v>23600</v>
      </c>
      <c r="L83" s="1" t="s">
        <v>107</v>
      </c>
    </row>
    <row r="84" spans="2:12" x14ac:dyDescent="0.25">
      <c r="B84" s="14" t="s">
        <v>68</v>
      </c>
      <c r="C84" s="14" t="s">
        <v>6</v>
      </c>
      <c r="D84" t="s">
        <v>108</v>
      </c>
      <c r="E84" s="14" t="s">
        <v>9</v>
      </c>
      <c r="F84" s="1">
        <v>162516.01999999999</v>
      </c>
      <c r="G84" s="1">
        <v>29252.880000000001</v>
      </c>
      <c r="J84">
        <v>0.1</v>
      </c>
      <c r="K84" s="1">
        <f t="shared" si="2"/>
        <v>191769</v>
      </c>
      <c r="L84" s="1" t="s">
        <v>9</v>
      </c>
    </row>
    <row r="85" spans="2:12" x14ac:dyDescent="0.25">
      <c r="B85" s="14" t="s">
        <v>109</v>
      </c>
      <c r="C85" s="14" t="s">
        <v>6</v>
      </c>
      <c r="D85" t="s">
        <v>110</v>
      </c>
      <c r="E85" s="14" t="s">
        <v>9</v>
      </c>
      <c r="F85" s="1">
        <v>211349.66</v>
      </c>
      <c r="G85" s="1">
        <v>38042.94</v>
      </c>
      <c r="K85" s="1">
        <f t="shared" si="2"/>
        <v>249392.6</v>
      </c>
      <c r="L85" s="1" t="s">
        <v>9</v>
      </c>
    </row>
    <row r="86" spans="2:12" x14ac:dyDescent="0.25">
      <c r="B86" s="14" t="s">
        <v>70</v>
      </c>
      <c r="C86" s="2" t="s">
        <v>1</v>
      </c>
      <c r="D86">
        <v>426</v>
      </c>
      <c r="E86" s="2" t="s">
        <v>8</v>
      </c>
      <c r="F86" s="1">
        <v>1482317</v>
      </c>
      <c r="G86" s="1">
        <v>266817</v>
      </c>
      <c r="K86" s="1">
        <f t="shared" si="2"/>
        <v>1749134</v>
      </c>
      <c r="L86" s="1" t="s">
        <v>8</v>
      </c>
    </row>
    <row r="87" spans="2:12" x14ac:dyDescent="0.25">
      <c r="B87" s="14" t="s">
        <v>62</v>
      </c>
      <c r="C87" s="2" t="s">
        <v>1</v>
      </c>
      <c r="D87">
        <v>413</v>
      </c>
      <c r="E87" s="2" t="s">
        <v>8</v>
      </c>
      <c r="F87" s="1">
        <v>1480576</v>
      </c>
      <c r="G87" s="1">
        <v>266504</v>
      </c>
      <c r="K87" s="1">
        <f t="shared" si="2"/>
        <v>1747080</v>
      </c>
      <c r="L87" s="1" t="s">
        <v>8</v>
      </c>
    </row>
    <row r="88" spans="2:12" x14ac:dyDescent="0.25">
      <c r="B88" s="2" t="s">
        <v>0</v>
      </c>
      <c r="C88" s="2" t="s">
        <v>1</v>
      </c>
      <c r="D88" s="2">
        <v>465</v>
      </c>
      <c r="E88" s="2" t="s">
        <v>8</v>
      </c>
      <c r="F88" s="3">
        <v>1045002</v>
      </c>
      <c r="G88" s="3">
        <v>188100</v>
      </c>
      <c r="K88" s="1">
        <f t="shared" si="2"/>
        <v>1233102</v>
      </c>
      <c r="L88" s="1" t="s">
        <v>8</v>
      </c>
    </row>
    <row r="89" spans="2:12" x14ac:dyDescent="0.25">
      <c r="B89" s="2" t="s">
        <v>0</v>
      </c>
      <c r="C89" s="2" t="s">
        <v>1</v>
      </c>
      <c r="D89" s="2">
        <v>464</v>
      </c>
      <c r="E89" s="2" t="s">
        <v>8</v>
      </c>
      <c r="F89" s="3">
        <v>1045002</v>
      </c>
      <c r="G89" s="3">
        <v>188100</v>
      </c>
      <c r="K89" s="1">
        <f t="shared" si="2"/>
        <v>1233102</v>
      </c>
      <c r="L89" s="1" t="s">
        <v>8</v>
      </c>
    </row>
    <row r="90" spans="2:12" x14ac:dyDescent="0.25">
      <c r="B90" s="2" t="s">
        <v>2</v>
      </c>
      <c r="C90" s="2" t="s">
        <v>1</v>
      </c>
      <c r="D90" s="2">
        <v>473</v>
      </c>
      <c r="E90" s="2" t="s">
        <v>8</v>
      </c>
      <c r="F90" s="3">
        <v>2477036</v>
      </c>
      <c r="G90" s="3">
        <v>445866</v>
      </c>
      <c r="K90" s="1">
        <f t="shared" si="2"/>
        <v>2922902</v>
      </c>
      <c r="L90" s="1" t="s">
        <v>8</v>
      </c>
    </row>
    <row r="91" spans="2:12" x14ac:dyDescent="0.25">
      <c r="B91" s="2" t="s">
        <v>3</v>
      </c>
      <c r="C91" s="2" t="s">
        <v>1</v>
      </c>
      <c r="D91" s="2">
        <v>483</v>
      </c>
      <c r="E91" s="2" t="s">
        <v>8</v>
      </c>
      <c r="F91" s="3">
        <f>519117+13185</f>
        <v>532302</v>
      </c>
      <c r="G91" s="3">
        <v>95814</v>
      </c>
      <c r="K91" s="1">
        <f t="shared" si="2"/>
        <v>628116</v>
      </c>
      <c r="L91" s="1" t="s">
        <v>8</v>
      </c>
    </row>
    <row r="92" spans="2:12" x14ac:dyDescent="0.25">
      <c r="B92" s="2" t="s">
        <v>4</v>
      </c>
      <c r="C92" s="2" t="s">
        <v>1</v>
      </c>
      <c r="D92" s="2">
        <v>484</v>
      </c>
      <c r="E92" s="2" t="s">
        <v>8</v>
      </c>
      <c r="F92" s="3">
        <f>1226957+31164</f>
        <v>1258121</v>
      </c>
      <c r="G92" s="3">
        <v>226461</v>
      </c>
      <c r="K92" s="1">
        <f t="shared" si="2"/>
        <v>1484582</v>
      </c>
      <c r="L92" s="1" t="s">
        <v>8</v>
      </c>
    </row>
    <row r="93" spans="2:12" x14ac:dyDescent="0.25">
      <c r="B93" s="14" t="s">
        <v>14</v>
      </c>
      <c r="C93" s="14" t="s">
        <v>111</v>
      </c>
      <c r="D93" s="14">
        <v>2810</v>
      </c>
      <c r="E93" s="14" t="s">
        <v>17</v>
      </c>
      <c r="F93" s="1">
        <v>154000</v>
      </c>
      <c r="G93" s="1">
        <v>27720</v>
      </c>
      <c r="K93" s="1">
        <f t="shared" si="2"/>
        <v>181720</v>
      </c>
      <c r="L93" s="1" t="s">
        <v>17</v>
      </c>
    </row>
    <row r="94" spans="2:12" x14ac:dyDescent="0.25">
      <c r="B94" s="14" t="s">
        <v>10</v>
      </c>
      <c r="C94" s="14" t="s">
        <v>112</v>
      </c>
      <c r="D94" s="14">
        <v>265</v>
      </c>
      <c r="E94" s="14" t="s">
        <v>13</v>
      </c>
      <c r="F94" s="1">
        <v>594000</v>
      </c>
      <c r="G94" s="1">
        <v>0</v>
      </c>
      <c r="H94" s="1">
        <v>53460</v>
      </c>
      <c r="I94" s="15">
        <v>53460</v>
      </c>
      <c r="K94" s="1">
        <f t="shared" si="2"/>
        <v>700920</v>
      </c>
      <c r="L94" s="1" t="s">
        <v>113</v>
      </c>
    </row>
    <row r="95" spans="2:12" x14ac:dyDescent="0.25">
      <c r="B95" s="14" t="s">
        <v>54</v>
      </c>
      <c r="C95" s="14" t="s">
        <v>114</v>
      </c>
      <c r="D95" s="14">
        <v>55</v>
      </c>
      <c r="E95" s="14" t="s">
        <v>57</v>
      </c>
      <c r="F95" s="1">
        <v>175000</v>
      </c>
      <c r="G95" s="1">
        <v>0</v>
      </c>
      <c r="H95" s="1">
        <v>10500</v>
      </c>
      <c r="I95" s="15">
        <v>10500</v>
      </c>
      <c r="K95" s="1">
        <f t="shared" si="2"/>
        <v>196000</v>
      </c>
      <c r="L95" s="1" t="s">
        <v>113</v>
      </c>
    </row>
    <row r="96" spans="2:12" x14ac:dyDescent="0.25">
      <c r="B96" s="2" t="s">
        <v>62</v>
      </c>
      <c r="C96" s="2" t="s">
        <v>61</v>
      </c>
      <c r="D96" s="2">
        <v>49</v>
      </c>
      <c r="E96" s="2" t="s">
        <v>80</v>
      </c>
      <c r="F96" s="3">
        <v>700000</v>
      </c>
      <c r="H96" s="1">
        <v>63000</v>
      </c>
      <c r="I96" s="15">
        <v>63000</v>
      </c>
      <c r="K96" s="1">
        <f t="shared" si="2"/>
        <v>826000</v>
      </c>
      <c r="L96" s="1" t="s">
        <v>113</v>
      </c>
    </row>
    <row r="97" spans="2:12" x14ac:dyDescent="0.25">
      <c r="B97" s="2" t="s">
        <v>62</v>
      </c>
      <c r="C97" s="2" t="s">
        <v>61</v>
      </c>
      <c r="D97" s="2">
        <v>48</v>
      </c>
      <c r="E97" s="2" t="s">
        <v>80</v>
      </c>
      <c r="F97" s="3">
        <v>1000000</v>
      </c>
      <c r="H97" s="1">
        <v>90000</v>
      </c>
      <c r="I97" s="15">
        <v>90000</v>
      </c>
      <c r="K97" s="1">
        <f t="shared" si="2"/>
        <v>1180000</v>
      </c>
      <c r="L97" s="1" t="s">
        <v>113</v>
      </c>
    </row>
    <row r="98" spans="2:12" x14ac:dyDescent="0.25">
      <c r="B98" s="2" t="s">
        <v>62</v>
      </c>
      <c r="C98" s="2" t="s">
        <v>61</v>
      </c>
      <c r="D98" s="2">
        <v>50</v>
      </c>
      <c r="E98" s="2" t="s">
        <v>80</v>
      </c>
      <c r="F98" s="3">
        <v>700000</v>
      </c>
      <c r="H98" s="1">
        <v>63000</v>
      </c>
      <c r="I98" s="15">
        <v>63000</v>
      </c>
      <c r="K98" s="1">
        <f t="shared" si="2"/>
        <v>826000</v>
      </c>
      <c r="L98" s="1" t="s">
        <v>113</v>
      </c>
    </row>
    <row r="99" spans="2:12" x14ac:dyDescent="0.25">
      <c r="B99" s="2" t="s">
        <v>18</v>
      </c>
      <c r="C99" s="2" t="s">
        <v>61</v>
      </c>
      <c r="D99" s="2">
        <v>54</v>
      </c>
      <c r="E99" s="2" t="s">
        <v>80</v>
      </c>
      <c r="F99" s="3">
        <v>975000</v>
      </c>
      <c r="H99" s="1">
        <v>87500</v>
      </c>
      <c r="I99" s="15">
        <v>87500</v>
      </c>
      <c r="K99" s="1">
        <f t="shared" si="2"/>
        <v>1150000</v>
      </c>
      <c r="L99" s="1" t="s">
        <v>113</v>
      </c>
    </row>
    <row r="100" spans="2:12" x14ac:dyDescent="0.25">
      <c r="B100" s="2" t="s">
        <v>18</v>
      </c>
      <c r="C100" s="2" t="s">
        <v>61</v>
      </c>
      <c r="D100" s="2">
        <v>55</v>
      </c>
      <c r="E100" s="2" t="s">
        <v>80</v>
      </c>
      <c r="F100" s="3">
        <v>525000</v>
      </c>
      <c r="H100" s="1">
        <v>47250</v>
      </c>
      <c r="I100" s="15">
        <v>47250</v>
      </c>
      <c r="K100" s="1">
        <f t="shared" si="2"/>
        <v>619500</v>
      </c>
      <c r="L100" s="1" t="s">
        <v>113</v>
      </c>
    </row>
    <row r="101" spans="2:12" x14ac:dyDescent="0.25">
      <c r="B101" s="2" t="s">
        <v>63</v>
      </c>
      <c r="C101" s="2" t="s">
        <v>61</v>
      </c>
      <c r="D101" s="2">
        <v>62</v>
      </c>
      <c r="E101" s="2" t="s">
        <v>80</v>
      </c>
      <c r="F101" s="3">
        <v>600000</v>
      </c>
      <c r="H101" s="1">
        <v>54000</v>
      </c>
      <c r="I101" s="15">
        <v>54000</v>
      </c>
      <c r="K101" s="1">
        <f t="shared" si="2"/>
        <v>708000</v>
      </c>
      <c r="L101" s="1" t="s">
        <v>113</v>
      </c>
    </row>
    <row r="102" spans="2:12" x14ac:dyDescent="0.25">
      <c r="B102" s="2" t="s">
        <v>63</v>
      </c>
      <c r="C102" s="2" t="s">
        <v>61</v>
      </c>
      <c r="D102" s="2">
        <v>63</v>
      </c>
      <c r="E102" s="2" t="s">
        <v>80</v>
      </c>
      <c r="F102" s="3">
        <v>525000</v>
      </c>
      <c r="H102" s="1">
        <v>47250</v>
      </c>
      <c r="I102" s="15">
        <v>47250</v>
      </c>
      <c r="K102" s="1">
        <f t="shared" si="2"/>
        <v>619500</v>
      </c>
      <c r="L102" s="1" t="s">
        <v>113</v>
      </c>
    </row>
    <row r="103" spans="2:12" x14ac:dyDescent="0.25">
      <c r="B103" s="2" t="s">
        <v>64</v>
      </c>
      <c r="C103" s="2" t="s">
        <v>61</v>
      </c>
      <c r="D103" s="2">
        <v>70</v>
      </c>
      <c r="E103" s="2" t="s">
        <v>80</v>
      </c>
      <c r="F103" s="3">
        <v>175000</v>
      </c>
      <c r="H103" s="1">
        <v>15750</v>
      </c>
      <c r="I103" s="15">
        <v>15750</v>
      </c>
      <c r="K103" s="1">
        <f t="shared" si="2"/>
        <v>206500</v>
      </c>
      <c r="L103" s="1" t="s">
        <v>113</v>
      </c>
    </row>
    <row r="104" spans="2:12" x14ac:dyDescent="0.25">
      <c r="B104" s="2" t="s">
        <v>64</v>
      </c>
      <c r="C104" s="2" t="s">
        <v>61</v>
      </c>
      <c r="D104" s="2">
        <v>69</v>
      </c>
      <c r="E104" s="2" t="s">
        <v>80</v>
      </c>
      <c r="F104" s="3">
        <v>1875000</v>
      </c>
      <c r="H104" s="1">
        <v>168750</v>
      </c>
      <c r="I104" s="15">
        <v>168750</v>
      </c>
      <c r="K104" s="1">
        <f t="shared" si="2"/>
        <v>2212500</v>
      </c>
      <c r="L104" s="1" t="s">
        <v>113</v>
      </c>
    </row>
    <row r="105" spans="2:12" x14ac:dyDescent="0.25">
      <c r="B105" s="2" t="s">
        <v>65</v>
      </c>
      <c r="C105" s="2" t="s">
        <v>61</v>
      </c>
      <c r="D105" s="2">
        <v>80</v>
      </c>
      <c r="E105" s="2" t="s">
        <v>80</v>
      </c>
      <c r="F105" s="3">
        <v>131000</v>
      </c>
      <c r="H105" s="1">
        <v>11790</v>
      </c>
      <c r="I105" s="15">
        <v>11790</v>
      </c>
      <c r="K105" s="1">
        <f t="shared" si="2"/>
        <v>154580</v>
      </c>
      <c r="L105" s="1" t="s">
        <v>113</v>
      </c>
    </row>
    <row r="106" spans="2:12" x14ac:dyDescent="0.25">
      <c r="B106" s="2" t="s">
        <v>65</v>
      </c>
      <c r="C106" s="2" t="s">
        <v>61</v>
      </c>
      <c r="D106" s="2">
        <v>79</v>
      </c>
      <c r="E106" s="2" t="s">
        <v>80</v>
      </c>
      <c r="F106" s="3">
        <v>150000</v>
      </c>
      <c r="H106" s="1">
        <v>13500</v>
      </c>
      <c r="I106" s="15">
        <v>13500</v>
      </c>
      <c r="K106" s="1">
        <f t="shared" si="2"/>
        <v>177000</v>
      </c>
      <c r="L106" s="1" t="s">
        <v>113</v>
      </c>
    </row>
    <row r="107" spans="2:12" x14ac:dyDescent="0.25">
      <c r="B107" s="2" t="s">
        <v>66</v>
      </c>
      <c r="C107" s="2" t="s">
        <v>61</v>
      </c>
      <c r="D107" s="2">
        <v>83</v>
      </c>
      <c r="E107" s="2" t="s">
        <v>80</v>
      </c>
      <c r="F107" s="3">
        <f>160000</f>
        <v>160000</v>
      </c>
      <c r="H107" s="1">
        <v>14400</v>
      </c>
      <c r="I107" s="15">
        <v>14400</v>
      </c>
      <c r="K107" s="1">
        <f t="shared" si="2"/>
        <v>188800</v>
      </c>
      <c r="L107" s="1" t="s">
        <v>113</v>
      </c>
    </row>
    <row r="108" spans="2:12" x14ac:dyDescent="0.25">
      <c r="B108" s="2" t="s">
        <v>67</v>
      </c>
      <c r="C108" s="2" t="s">
        <v>61</v>
      </c>
      <c r="D108" s="2">
        <v>85</v>
      </c>
      <c r="E108" s="2" t="s">
        <v>80</v>
      </c>
      <c r="F108" s="3">
        <v>620000</v>
      </c>
      <c r="H108" s="1">
        <v>55800</v>
      </c>
      <c r="I108" s="15">
        <v>55800</v>
      </c>
      <c r="K108" s="1">
        <f t="shared" si="2"/>
        <v>731600</v>
      </c>
      <c r="L108" s="1" t="s">
        <v>113</v>
      </c>
    </row>
    <row r="109" spans="2:12" x14ac:dyDescent="0.25">
      <c r="B109" s="14" t="s">
        <v>68</v>
      </c>
      <c r="C109" s="2" t="s">
        <v>69</v>
      </c>
      <c r="D109" s="2">
        <v>999</v>
      </c>
      <c r="E109" s="14" t="s">
        <v>81</v>
      </c>
      <c r="F109" s="1">
        <v>1477720.4</v>
      </c>
      <c r="H109" s="1">
        <v>132994.84</v>
      </c>
      <c r="I109" s="15">
        <v>132994.84</v>
      </c>
      <c r="J109" s="15">
        <v>-0.08</v>
      </c>
      <c r="K109" s="1">
        <f t="shared" si="2"/>
        <v>1743710</v>
      </c>
      <c r="L109" s="1" t="s">
        <v>113</v>
      </c>
    </row>
    <row r="110" spans="2:12" x14ac:dyDescent="0.25">
      <c r="B110" s="14" t="s">
        <v>115</v>
      </c>
      <c r="C110" s="14" t="s">
        <v>116</v>
      </c>
      <c r="D110" s="14">
        <v>32</v>
      </c>
      <c r="E110" s="14" t="s">
        <v>21</v>
      </c>
      <c r="F110" s="1">
        <v>24238.62</v>
      </c>
      <c r="H110" s="1">
        <v>3380.69</v>
      </c>
      <c r="I110" s="15">
        <v>3380.69</v>
      </c>
      <c r="K110" s="1">
        <f t="shared" si="2"/>
        <v>30999.999999999996</v>
      </c>
    </row>
    <row r="111" spans="2:12" x14ac:dyDescent="0.25">
      <c r="B111" s="14" t="s">
        <v>115</v>
      </c>
      <c r="C111" s="14" t="s">
        <v>116</v>
      </c>
      <c r="D111" s="14">
        <v>33</v>
      </c>
      <c r="E111" s="14" t="s">
        <v>21</v>
      </c>
      <c r="F111" s="1">
        <v>26113.62</v>
      </c>
      <c r="H111" s="1">
        <v>3643.19</v>
      </c>
      <c r="I111" s="1">
        <v>3643.19</v>
      </c>
      <c r="K111" s="1">
        <f t="shared" si="2"/>
        <v>33400</v>
      </c>
    </row>
    <row r="112" spans="2:12" x14ac:dyDescent="0.25">
      <c r="B112" s="14" t="s">
        <v>18</v>
      </c>
      <c r="C112" s="14" t="s">
        <v>116</v>
      </c>
      <c r="D112" s="14">
        <v>113</v>
      </c>
      <c r="E112" s="14" t="s">
        <v>21</v>
      </c>
      <c r="F112" s="1">
        <v>24218.74</v>
      </c>
      <c r="H112" s="1">
        <v>3390.63</v>
      </c>
      <c r="I112" s="1">
        <v>3390.63</v>
      </c>
      <c r="K112" s="1">
        <f t="shared" si="2"/>
        <v>31000.000000000004</v>
      </c>
    </row>
    <row r="113" spans="2:11" x14ac:dyDescent="0.25">
      <c r="B113" s="14" t="s">
        <v>35</v>
      </c>
      <c r="C113" s="14" t="s">
        <v>117</v>
      </c>
      <c r="D113" s="14">
        <v>1419</v>
      </c>
      <c r="E113" s="14" t="s">
        <v>36</v>
      </c>
      <c r="F113" s="1">
        <v>35170</v>
      </c>
      <c r="H113" s="1">
        <v>3165.3</v>
      </c>
      <c r="I113" s="1">
        <v>3165.3</v>
      </c>
      <c r="J113" s="15">
        <v>-0.6</v>
      </c>
      <c r="K113" s="13">
        <f t="shared" si="2"/>
        <v>41500.000000000007</v>
      </c>
    </row>
    <row r="114" spans="2:11" x14ac:dyDescent="0.25">
      <c r="B114" s="14" t="s">
        <v>118</v>
      </c>
      <c r="C114" s="14" t="s">
        <v>119</v>
      </c>
      <c r="D114" t="s">
        <v>120</v>
      </c>
      <c r="E114" s="14" t="s">
        <v>121</v>
      </c>
      <c r="F114" s="1">
        <f>232271+2200</f>
        <v>234471</v>
      </c>
      <c r="H114" s="1">
        <v>21102.39</v>
      </c>
      <c r="I114" s="1">
        <v>21102.39</v>
      </c>
      <c r="J114">
        <v>0.22</v>
      </c>
      <c r="K114" s="13">
        <f t="shared" si="2"/>
        <v>276676</v>
      </c>
    </row>
    <row r="115" spans="2:11" x14ac:dyDescent="0.25">
      <c r="B115" s="14" t="s">
        <v>122</v>
      </c>
      <c r="C115" s="14" t="s">
        <v>119</v>
      </c>
      <c r="D115" t="s">
        <v>123</v>
      </c>
      <c r="E115" s="14" t="s">
        <v>121</v>
      </c>
      <c r="F115" s="1">
        <v>2175.4</v>
      </c>
      <c r="H115" s="1">
        <v>195.79</v>
      </c>
      <c r="I115" s="1">
        <v>195.79</v>
      </c>
      <c r="J115" s="15">
        <v>0.02</v>
      </c>
      <c r="K115" s="13">
        <f t="shared" si="2"/>
        <v>2567</v>
      </c>
    </row>
    <row r="116" spans="2:11" x14ac:dyDescent="0.25">
      <c r="B116" s="14" t="s">
        <v>124</v>
      </c>
      <c r="C116" s="14" t="s">
        <v>119</v>
      </c>
      <c r="D116" t="s">
        <v>125</v>
      </c>
      <c r="E116" s="14" t="s">
        <v>121</v>
      </c>
      <c r="F116" s="1">
        <v>6170.03</v>
      </c>
      <c r="H116" s="1">
        <v>555.29999999999995</v>
      </c>
      <c r="I116" s="1">
        <v>555.29999999999995</v>
      </c>
      <c r="J116" s="15">
        <v>0.37</v>
      </c>
      <c r="K116" s="13">
        <f t="shared" si="2"/>
        <v>7281</v>
      </c>
    </row>
    <row r="117" spans="2:11" x14ac:dyDescent="0.25">
      <c r="B117" s="14" t="s">
        <v>124</v>
      </c>
      <c r="C117" s="14" t="s">
        <v>119</v>
      </c>
      <c r="D117" t="s">
        <v>126</v>
      </c>
      <c r="E117" s="14" t="s">
        <v>121</v>
      </c>
      <c r="F117" s="1">
        <v>994.61</v>
      </c>
      <c r="H117" s="1">
        <v>89.51</v>
      </c>
      <c r="I117" s="1">
        <v>89.51</v>
      </c>
      <c r="J117" s="15">
        <v>0.37</v>
      </c>
      <c r="K117" s="13">
        <f t="shared" si="2"/>
        <v>1174</v>
      </c>
    </row>
    <row r="118" spans="2:11" x14ac:dyDescent="0.25">
      <c r="B118" s="14" t="s">
        <v>58</v>
      </c>
      <c r="C118" s="14" t="s">
        <v>119</v>
      </c>
      <c r="D118" t="s">
        <v>127</v>
      </c>
      <c r="E118" s="14" t="s">
        <v>121</v>
      </c>
      <c r="F118" s="1">
        <v>42426.720000000001</v>
      </c>
      <c r="H118" s="1">
        <v>3818.4</v>
      </c>
      <c r="I118" s="1">
        <v>3818.4</v>
      </c>
      <c r="J118" s="15">
        <v>0.48</v>
      </c>
      <c r="K118" s="13">
        <f t="shared" si="2"/>
        <v>50064.000000000007</v>
      </c>
    </row>
    <row r="119" spans="2:11" x14ac:dyDescent="0.25">
      <c r="B119" s="14" t="s">
        <v>18</v>
      </c>
      <c r="C119" s="14" t="s">
        <v>119</v>
      </c>
      <c r="D119" t="s">
        <v>128</v>
      </c>
      <c r="E119" s="14" t="s">
        <v>121</v>
      </c>
      <c r="F119" s="1">
        <v>2960</v>
      </c>
      <c r="H119" s="1">
        <v>266.39999999999998</v>
      </c>
      <c r="I119" s="1">
        <v>266.39999999999998</v>
      </c>
      <c r="J119" s="15">
        <v>0.2</v>
      </c>
      <c r="K119" s="13">
        <f t="shared" si="2"/>
        <v>3493</v>
      </c>
    </row>
    <row r="120" spans="2:11" x14ac:dyDescent="0.25">
      <c r="B120" s="14" t="s">
        <v>18</v>
      </c>
      <c r="C120" s="14" t="s">
        <v>119</v>
      </c>
      <c r="D120" t="s">
        <v>129</v>
      </c>
      <c r="E120" s="14" t="s">
        <v>121</v>
      </c>
      <c r="F120" s="1">
        <v>1480</v>
      </c>
      <c r="H120" s="1">
        <v>133.19999999999999</v>
      </c>
      <c r="I120" s="1">
        <v>133.19999999999999</v>
      </c>
      <c r="J120" s="15">
        <v>-0.4</v>
      </c>
      <c r="K120" s="13">
        <f t="shared" si="2"/>
        <v>1746</v>
      </c>
    </row>
    <row r="121" spans="2:11" x14ac:dyDescent="0.25">
      <c r="B121" s="14" t="s">
        <v>130</v>
      </c>
      <c r="C121" s="14" t="s">
        <v>119</v>
      </c>
      <c r="D121" t="s">
        <v>131</v>
      </c>
      <c r="E121" s="14" t="s">
        <v>121</v>
      </c>
      <c r="F121" s="1">
        <f>215680.02+2500</f>
        <v>218180.02</v>
      </c>
      <c r="H121" s="1">
        <v>19636.2</v>
      </c>
      <c r="I121" s="1">
        <v>19636.2</v>
      </c>
      <c r="J121" s="15">
        <v>0.57999999999999996</v>
      </c>
      <c r="K121" s="13">
        <f t="shared" si="2"/>
        <v>257453</v>
      </c>
    </row>
    <row r="122" spans="2:11" x14ac:dyDescent="0.25">
      <c r="B122" s="14" t="s">
        <v>132</v>
      </c>
      <c r="C122" s="14" t="s">
        <v>119</v>
      </c>
      <c r="D122" t="s">
        <v>133</v>
      </c>
      <c r="E122" s="14" t="s">
        <v>121</v>
      </c>
      <c r="F122" s="1">
        <f>75971.8+300</f>
        <v>76271.8</v>
      </c>
      <c r="H122" s="1">
        <v>6864.46</v>
      </c>
      <c r="I122" s="1">
        <v>6864.46</v>
      </c>
      <c r="J122" s="15">
        <v>0.28000000000000003</v>
      </c>
      <c r="K122" s="13">
        <f t="shared" si="2"/>
        <v>90001.000000000015</v>
      </c>
    </row>
    <row r="123" spans="2:11" x14ac:dyDescent="0.25">
      <c r="B123" s="14" t="s">
        <v>134</v>
      </c>
      <c r="C123" s="14" t="s">
        <v>119</v>
      </c>
      <c r="D123" t="s">
        <v>135</v>
      </c>
      <c r="E123" s="14" t="s">
        <v>121</v>
      </c>
      <c r="F123" s="1">
        <v>9021.02</v>
      </c>
      <c r="H123" s="1">
        <v>811.89</v>
      </c>
      <c r="I123" s="1">
        <v>811.89</v>
      </c>
      <c r="J123" s="15">
        <v>0.2</v>
      </c>
      <c r="K123" s="13">
        <f t="shared" si="2"/>
        <v>10645</v>
      </c>
    </row>
    <row r="124" spans="2:11" x14ac:dyDescent="0.25">
      <c r="B124" s="14" t="s">
        <v>136</v>
      </c>
      <c r="C124" s="14" t="s">
        <v>137</v>
      </c>
      <c r="D124">
        <v>68</v>
      </c>
      <c r="E124" s="14" t="s">
        <v>138</v>
      </c>
      <c r="F124" s="1">
        <v>56250</v>
      </c>
      <c r="H124" s="1">
        <v>7875</v>
      </c>
      <c r="I124" s="1">
        <v>7875</v>
      </c>
      <c r="K124" s="13">
        <f t="shared" si="2"/>
        <v>72000</v>
      </c>
    </row>
    <row r="125" spans="2:11" x14ac:dyDescent="0.25">
      <c r="B125" s="14" t="s">
        <v>139</v>
      </c>
      <c r="C125" s="14" t="s">
        <v>140</v>
      </c>
      <c r="D125">
        <v>923</v>
      </c>
      <c r="E125" s="14" t="s">
        <v>141</v>
      </c>
      <c r="F125" s="1">
        <v>34288</v>
      </c>
      <c r="H125" s="1">
        <v>857.2</v>
      </c>
      <c r="I125" s="1">
        <v>857.2</v>
      </c>
      <c r="J125" s="15">
        <v>-0.4</v>
      </c>
      <c r="K125" s="13">
        <f t="shared" si="2"/>
        <v>36001.999999999993</v>
      </c>
    </row>
    <row r="126" spans="2:11" x14ac:dyDescent="0.25">
      <c r="B126" s="14" t="s">
        <v>139</v>
      </c>
      <c r="C126" s="14" t="s">
        <v>140</v>
      </c>
      <c r="D126">
        <v>917</v>
      </c>
      <c r="E126" s="14" t="s">
        <v>141</v>
      </c>
      <c r="F126" s="1">
        <v>64290</v>
      </c>
      <c r="H126" s="1">
        <v>1607.25</v>
      </c>
      <c r="I126" s="1">
        <v>1607.25</v>
      </c>
      <c r="J126" s="15">
        <v>0.5</v>
      </c>
      <c r="K126" s="13">
        <f t="shared" si="2"/>
        <v>67505</v>
      </c>
    </row>
    <row r="127" spans="2:11" x14ac:dyDescent="0.25">
      <c r="B127" s="14" t="s">
        <v>142</v>
      </c>
      <c r="C127" s="14" t="s">
        <v>140</v>
      </c>
      <c r="D127">
        <v>984</v>
      </c>
      <c r="E127" s="14" t="s">
        <v>141</v>
      </c>
      <c r="F127" s="1">
        <v>40717</v>
      </c>
      <c r="H127" s="1">
        <v>1017.93</v>
      </c>
      <c r="I127" s="1">
        <v>1017.93</v>
      </c>
      <c r="J127" s="15">
        <v>0.14000000000000001</v>
      </c>
      <c r="K127" s="13">
        <f t="shared" si="2"/>
        <v>42753</v>
      </c>
    </row>
    <row r="128" spans="2:11" x14ac:dyDescent="0.25">
      <c r="B128" s="14" t="s">
        <v>40</v>
      </c>
      <c r="C128" s="14" t="s">
        <v>41</v>
      </c>
      <c r="D128">
        <v>14</v>
      </c>
      <c r="E128" s="14" t="s">
        <v>43</v>
      </c>
      <c r="F128" s="1">
        <v>338005.5</v>
      </c>
      <c r="H128" s="1">
        <v>8450.14</v>
      </c>
      <c r="I128" s="1">
        <v>8450.14</v>
      </c>
      <c r="K128" s="13">
        <f t="shared" si="2"/>
        <v>354905.78</v>
      </c>
    </row>
    <row r="129" spans="2:11" x14ac:dyDescent="0.25">
      <c r="B129" s="14" t="s">
        <v>42</v>
      </c>
      <c r="C129" s="14" t="s">
        <v>41</v>
      </c>
      <c r="D129">
        <v>48</v>
      </c>
      <c r="E129" s="14" t="s">
        <v>43</v>
      </c>
      <c r="F129" s="1">
        <v>428570.6</v>
      </c>
      <c r="H129" s="1">
        <v>10714.27</v>
      </c>
      <c r="I129" s="1">
        <v>10714.27</v>
      </c>
      <c r="K129" s="13">
        <f t="shared" si="2"/>
        <v>449999.14</v>
      </c>
    </row>
    <row r="130" spans="2:11" x14ac:dyDescent="0.25">
      <c r="B130" s="14" t="s">
        <v>44</v>
      </c>
      <c r="C130" s="14" t="s">
        <v>45</v>
      </c>
      <c r="D130">
        <v>24</v>
      </c>
      <c r="E130" s="14" t="s">
        <v>143</v>
      </c>
      <c r="F130" s="1">
        <v>74018</v>
      </c>
      <c r="H130" s="1">
        <v>6661.62</v>
      </c>
      <c r="I130" s="1">
        <v>6661.62</v>
      </c>
      <c r="J130" s="15">
        <v>-0.24</v>
      </c>
      <c r="K130" s="13">
        <f t="shared" si="2"/>
        <v>87340.999999999985</v>
      </c>
    </row>
    <row r="131" spans="2:11" x14ac:dyDescent="0.25">
      <c r="B131" s="14" t="s">
        <v>44</v>
      </c>
      <c r="C131" s="14" t="s">
        <v>45</v>
      </c>
      <c r="D131">
        <v>25</v>
      </c>
      <c r="E131" s="14" t="s">
        <v>143</v>
      </c>
      <c r="F131" s="1">
        <v>34676</v>
      </c>
      <c r="H131" s="1">
        <v>3120.84</v>
      </c>
      <c r="I131" s="1">
        <v>3120.84</v>
      </c>
      <c r="J131" s="15">
        <v>-0.68</v>
      </c>
      <c r="K131" s="13">
        <f t="shared" si="2"/>
        <v>40916.999999999993</v>
      </c>
    </row>
    <row r="132" spans="2:11" x14ac:dyDescent="0.25">
      <c r="B132" s="14" t="s">
        <v>44</v>
      </c>
      <c r="C132" s="14" t="s">
        <v>45</v>
      </c>
      <c r="D132">
        <v>26</v>
      </c>
      <c r="E132" s="14" t="s">
        <v>143</v>
      </c>
      <c r="F132" s="1">
        <v>210609</v>
      </c>
      <c r="H132" s="1">
        <v>18954.810000000001</v>
      </c>
      <c r="I132" s="1">
        <v>18954.810000000001</v>
      </c>
      <c r="J132" s="15">
        <v>-0.62</v>
      </c>
      <c r="K132" s="13">
        <f t="shared" si="2"/>
        <v>248518</v>
      </c>
    </row>
    <row r="133" spans="2:11" x14ac:dyDescent="0.25">
      <c r="B133" s="14" t="s">
        <v>44</v>
      </c>
      <c r="C133" s="14" t="s">
        <v>45</v>
      </c>
      <c r="D133">
        <v>27</v>
      </c>
      <c r="E133" s="14" t="s">
        <v>143</v>
      </c>
      <c r="F133" s="1">
        <v>79999</v>
      </c>
      <c r="H133" s="1">
        <v>7199.91</v>
      </c>
      <c r="I133" s="1">
        <v>7199.91</v>
      </c>
      <c r="J133" s="15">
        <v>-0.82</v>
      </c>
      <c r="K133" s="13">
        <f t="shared" si="2"/>
        <v>94398</v>
      </c>
    </row>
    <row r="134" spans="2:11" x14ac:dyDescent="0.25">
      <c r="B134" s="14" t="s">
        <v>44</v>
      </c>
      <c r="C134" s="14" t="s">
        <v>45</v>
      </c>
      <c r="D134">
        <v>28</v>
      </c>
      <c r="E134" s="14" t="s">
        <v>143</v>
      </c>
      <c r="F134" s="1">
        <v>127118</v>
      </c>
      <c r="H134" s="1">
        <v>11440.62</v>
      </c>
      <c r="I134" s="1">
        <v>11440.62</v>
      </c>
      <c r="J134" s="15">
        <v>-0.24</v>
      </c>
      <c r="K134" s="13">
        <f t="shared" si="2"/>
        <v>149999</v>
      </c>
    </row>
    <row r="135" spans="2:11" x14ac:dyDescent="0.25">
      <c r="B135" s="14" t="s">
        <v>145</v>
      </c>
      <c r="C135" s="14" t="s">
        <v>116</v>
      </c>
      <c r="D135">
        <v>29</v>
      </c>
      <c r="E135" s="14" t="s">
        <v>144</v>
      </c>
      <c r="F135" s="1">
        <v>107031.24</v>
      </c>
      <c r="H135" s="1">
        <v>14984.38</v>
      </c>
      <c r="I135" s="1">
        <v>14984.38</v>
      </c>
      <c r="K135" s="13">
        <f t="shared" si="2"/>
        <v>137000</v>
      </c>
    </row>
    <row r="136" spans="2:11" x14ac:dyDescent="0.25">
      <c r="B136" s="14" t="s">
        <v>146</v>
      </c>
      <c r="C136" s="14" t="s">
        <v>116</v>
      </c>
      <c r="D136">
        <v>656</v>
      </c>
      <c r="E136" s="14" t="s">
        <v>144</v>
      </c>
      <c r="F136" s="1">
        <v>33203.120000000003</v>
      </c>
      <c r="H136" s="1">
        <v>4648.4399999999996</v>
      </c>
      <c r="I136" s="1">
        <v>4648.4399999999996</v>
      </c>
      <c r="K136" s="13">
        <f t="shared" si="2"/>
        <v>42500.000000000007</v>
      </c>
    </row>
    <row r="137" spans="2:11" x14ac:dyDescent="0.25">
      <c r="B137" s="14" t="s">
        <v>146</v>
      </c>
      <c r="C137" s="14" t="s">
        <v>1</v>
      </c>
      <c r="D137">
        <v>567</v>
      </c>
      <c r="E137" s="14" t="s">
        <v>147</v>
      </c>
      <c r="F137" s="1">
        <f>65825+2633</f>
        <v>68458</v>
      </c>
      <c r="G137" s="1">
        <v>12322.44</v>
      </c>
      <c r="J137" s="15">
        <v>-0.44</v>
      </c>
      <c r="K137" s="13">
        <f t="shared" si="2"/>
        <v>80780</v>
      </c>
    </row>
  </sheetData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06"/>
  <sheetViews>
    <sheetView tabSelected="1" view="pageBreakPreview" topLeftCell="A81" zoomScale="80" zoomScaleNormal="100" zoomScaleSheetLayoutView="80" workbookViewId="0">
      <selection activeCell="O95" sqref="O95"/>
    </sheetView>
  </sheetViews>
  <sheetFormatPr defaultRowHeight="15" x14ac:dyDescent="0.25"/>
  <cols>
    <col min="1" max="1" width="3.28515625" customWidth="1"/>
    <col min="2" max="2" width="8.140625" bestFit="1" customWidth="1"/>
    <col min="3" max="3" width="27" customWidth="1"/>
    <col min="4" max="4" width="9" customWidth="1"/>
    <col min="5" max="5" width="20.85546875" bestFit="1" customWidth="1"/>
    <col min="6" max="6" width="15.28515625" bestFit="1" customWidth="1"/>
    <col min="7" max="7" width="15.7109375" customWidth="1"/>
    <col min="8" max="8" width="14.140625" customWidth="1"/>
    <col min="9" max="9" width="14.7109375" customWidth="1"/>
    <col min="10" max="10" width="10.85546875" bestFit="1" customWidth="1"/>
    <col min="11" max="11" width="17.28515625" customWidth="1"/>
    <col min="12" max="12" width="16.28515625" customWidth="1"/>
    <col min="13" max="14" width="15.85546875" style="1" customWidth="1"/>
  </cols>
  <sheetData>
    <row r="2" spans="2:15" ht="15.75" thickBot="1" x14ac:dyDescent="0.3">
      <c r="B2" s="43" t="s">
        <v>188</v>
      </c>
      <c r="C2" s="43"/>
      <c r="D2" s="43"/>
      <c r="E2" s="43"/>
      <c r="F2" s="43"/>
      <c r="G2" s="43"/>
      <c r="H2" s="43"/>
      <c r="I2" s="43"/>
      <c r="J2" s="43"/>
      <c r="K2" s="43"/>
      <c r="L2" s="32"/>
    </row>
    <row r="3" spans="2:15" ht="15.75" thickBot="1" x14ac:dyDescent="0.3">
      <c r="B3" s="18" t="s">
        <v>83</v>
      </c>
      <c r="C3" s="19" t="s">
        <v>84</v>
      </c>
      <c r="D3" s="19" t="s">
        <v>85</v>
      </c>
      <c r="E3" s="19" t="s">
        <v>89</v>
      </c>
      <c r="F3" s="19" t="s">
        <v>151</v>
      </c>
      <c r="G3" s="19" t="s">
        <v>148</v>
      </c>
      <c r="H3" s="19" t="s">
        <v>149</v>
      </c>
      <c r="I3" s="19" t="s">
        <v>148</v>
      </c>
      <c r="J3" s="19" t="s">
        <v>150</v>
      </c>
      <c r="K3" s="19" t="s">
        <v>88</v>
      </c>
      <c r="L3" s="25"/>
      <c r="M3" s="25" t="s">
        <v>174</v>
      </c>
      <c r="N3" s="25"/>
      <c r="O3" s="25" t="s">
        <v>152</v>
      </c>
    </row>
    <row r="4" spans="2:15" x14ac:dyDescent="0.25">
      <c r="B4" s="2" t="s">
        <v>90</v>
      </c>
      <c r="C4" s="2" t="s">
        <v>60</v>
      </c>
      <c r="D4" s="2">
        <v>12</v>
      </c>
      <c r="E4" s="2" t="s">
        <v>91</v>
      </c>
      <c r="F4" s="3">
        <v>110408</v>
      </c>
      <c r="G4" s="3"/>
      <c r="H4" s="3">
        <v>9936.7199999999993</v>
      </c>
      <c r="I4" s="3">
        <v>9936.7199999999993</v>
      </c>
      <c r="J4" s="3">
        <v>-0.44</v>
      </c>
      <c r="K4" s="3">
        <f>F4+G4+H4+I4+J4</f>
        <v>130281</v>
      </c>
      <c r="L4" s="3"/>
      <c r="M4" s="3"/>
      <c r="N4" s="26"/>
      <c r="O4" s="26" t="s">
        <v>92</v>
      </c>
    </row>
    <row r="5" spans="2:15" x14ac:dyDescent="0.25">
      <c r="B5" s="2" t="s">
        <v>93</v>
      </c>
      <c r="C5" s="2" t="s">
        <v>60</v>
      </c>
      <c r="D5" s="2">
        <v>15</v>
      </c>
      <c r="E5" s="2" t="s">
        <v>91</v>
      </c>
      <c r="F5" s="3">
        <v>56940</v>
      </c>
      <c r="G5" s="3"/>
      <c r="H5" s="3">
        <v>5124.6000000000004</v>
      </c>
      <c r="I5" s="3">
        <v>5124.6000000000004</v>
      </c>
      <c r="J5" s="3">
        <v>0</v>
      </c>
      <c r="K5" s="3">
        <f t="shared" ref="K5:K71" si="0">F5+G5+H5+I5+J5</f>
        <v>67189.2</v>
      </c>
      <c r="L5" s="3"/>
      <c r="M5" s="3"/>
      <c r="N5" s="26"/>
      <c r="O5" s="26" t="s">
        <v>92</v>
      </c>
    </row>
    <row r="6" spans="2:15" x14ac:dyDescent="0.25">
      <c r="B6" s="2" t="s">
        <v>71</v>
      </c>
      <c r="C6" s="2" t="s">
        <v>60</v>
      </c>
      <c r="D6" s="14"/>
      <c r="E6" s="2" t="s">
        <v>94</v>
      </c>
      <c r="F6" s="3">
        <v>20378</v>
      </c>
      <c r="G6" s="3"/>
      <c r="H6" s="3">
        <v>1834.02</v>
      </c>
      <c r="I6" s="3">
        <v>1834.02</v>
      </c>
      <c r="J6" s="3">
        <v>-0.04</v>
      </c>
      <c r="K6" s="3">
        <f t="shared" si="0"/>
        <v>24046</v>
      </c>
      <c r="L6" s="3"/>
      <c r="M6" s="3"/>
      <c r="N6" s="26"/>
      <c r="O6" s="26" t="s">
        <v>92</v>
      </c>
    </row>
    <row r="7" spans="2:15" x14ac:dyDescent="0.25">
      <c r="B7" s="2" t="s">
        <v>73</v>
      </c>
      <c r="C7" s="2" t="s">
        <v>60</v>
      </c>
      <c r="D7" s="2">
        <v>103</v>
      </c>
      <c r="E7" s="2"/>
      <c r="F7" s="3">
        <v>63000</v>
      </c>
      <c r="G7" s="3"/>
      <c r="H7" s="16">
        <v>5670</v>
      </c>
      <c r="I7" s="16">
        <v>5670</v>
      </c>
      <c r="J7" s="16"/>
      <c r="K7" s="3">
        <f t="shared" si="0"/>
        <v>74340</v>
      </c>
      <c r="L7" s="3"/>
      <c r="M7" s="3"/>
      <c r="N7" s="26"/>
      <c r="O7" s="26" t="s">
        <v>92</v>
      </c>
    </row>
    <row r="8" spans="2:15" x14ac:dyDescent="0.25">
      <c r="B8" s="2" t="s">
        <v>58</v>
      </c>
      <c r="C8" s="2" t="s">
        <v>60</v>
      </c>
      <c r="D8" s="2">
        <v>10043</v>
      </c>
      <c r="E8" s="2" t="s">
        <v>59</v>
      </c>
      <c r="F8" s="3">
        <v>548903</v>
      </c>
      <c r="G8" s="3"/>
      <c r="H8" s="3">
        <v>49401.27</v>
      </c>
      <c r="I8" s="3">
        <v>49401.27</v>
      </c>
      <c r="J8" s="3">
        <v>0.46</v>
      </c>
      <c r="K8" s="3">
        <f t="shared" si="0"/>
        <v>647706</v>
      </c>
      <c r="L8" s="3">
        <f>SUM(K4:K8)</f>
        <v>943562.2</v>
      </c>
      <c r="M8" s="16">
        <v>711895</v>
      </c>
      <c r="N8" s="34">
        <f>L8-M8</f>
        <v>231667.19999999995</v>
      </c>
      <c r="O8" s="26" t="s">
        <v>92</v>
      </c>
    </row>
    <row r="9" spans="2:15" x14ac:dyDescent="0.25">
      <c r="B9" s="2" t="s">
        <v>51</v>
      </c>
      <c r="C9" s="2" t="s">
        <v>52</v>
      </c>
      <c r="D9" s="2">
        <v>90</v>
      </c>
      <c r="E9" s="2" t="s">
        <v>95</v>
      </c>
      <c r="F9" s="3">
        <v>2225000</v>
      </c>
      <c r="G9" s="3"/>
      <c r="H9" s="3">
        <v>200250</v>
      </c>
      <c r="I9" s="3">
        <v>200250</v>
      </c>
      <c r="J9" s="2"/>
      <c r="K9" s="6">
        <f>F9+G9+H9+I9+J9</f>
        <v>2625500</v>
      </c>
      <c r="L9" s="3">
        <f>K9</f>
        <v>2625500</v>
      </c>
      <c r="M9" s="3">
        <v>2625500</v>
      </c>
      <c r="N9" s="26">
        <f>L9-M9</f>
        <v>0</v>
      </c>
      <c r="O9" s="26" t="s">
        <v>92</v>
      </c>
    </row>
    <row r="10" spans="2:15" x14ac:dyDescent="0.25">
      <c r="B10" s="2" t="s">
        <v>97</v>
      </c>
      <c r="C10" s="2" t="s">
        <v>98</v>
      </c>
      <c r="D10" s="2">
        <v>661</v>
      </c>
      <c r="E10" s="2"/>
      <c r="F10" s="3">
        <v>55650</v>
      </c>
      <c r="G10" s="3"/>
      <c r="H10" s="3">
        <v>5008.5</v>
      </c>
      <c r="I10" s="3">
        <v>5008.5</v>
      </c>
      <c r="J10" s="2"/>
      <c r="K10" s="3">
        <f t="shared" si="0"/>
        <v>65667</v>
      </c>
      <c r="L10" s="3"/>
      <c r="M10" s="3"/>
      <c r="N10" s="26"/>
      <c r="O10" s="26" t="s">
        <v>99</v>
      </c>
    </row>
    <row r="11" spans="2:15" x14ac:dyDescent="0.25">
      <c r="B11" s="2" t="s">
        <v>26</v>
      </c>
      <c r="C11" s="2" t="s">
        <v>98</v>
      </c>
      <c r="D11" s="2">
        <v>666</v>
      </c>
      <c r="E11" s="2"/>
      <c r="F11" s="3">
        <v>50350</v>
      </c>
      <c r="G11" s="3"/>
      <c r="H11" s="3">
        <v>4531.5</v>
      </c>
      <c r="I11" s="3">
        <v>4531.5</v>
      </c>
      <c r="J11" s="2"/>
      <c r="K11" s="5">
        <f t="shared" si="0"/>
        <v>59413</v>
      </c>
      <c r="L11" s="3">
        <f>SUM(K10:K11)</f>
        <v>125080</v>
      </c>
      <c r="M11" s="3">
        <v>125080</v>
      </c>
      <c r="N11" s="26">
        <f>L11-M11</f>
        <v>0</v>
      </c>
      <c r="O11" s="26" t="s">
        <v>99</v>
      </c>
    </row>
    <row r="12" spans="2:15" x14ac:dyDescent="0.25">
      <c r="B12" s="2" t="s">
        <v>73</v>
      </c>
      <c r="C12" s="2" t="s">
        <v>74</v>
      </c>
      <c r="D12" s="2">
        <v>234</v>
      </c>
      <c r="E12" s="2" t="s">
        <v>82</v>
      </c>
      <c r="F12" s="3">
        <v>141500</v>
      </c>
      <c r="G12" s="3">
        <v>25470</v>
      </c>
      <c r="H12" s="3"/>
      <c r="I12" s="2"/>
      <c r="J12" s="2"/>
      <c r="K12" s="3">
        <f t="shared" si="0"/>
        <v>166970</v>
      </c>
      <c r="L12" s="3"/>
      <c r="M12" s="3"/>
      <c r="N12" s="26"/>
      <c r="O12" s="26" t="s">
        <v>100</v>
      </c>
    </row>
    <row r="13" spans="2:15" x14ac:dyDescent="0.25">
      <c r="B13" s="2" t="s">
        <v>75</v>
      </c>
      <c r="C13" s="2" t="s">
        <v>74</v>
      </c>
      <c r="D13" s="2">
        <v>235</v>
      </c>
      <c r="E13" s="2" t="s">
        <v>82</v>
      </c>
      <c r="F13" s="3">
        <v>141500</v>
      </c>
      <c r="G13" s="3">
        <v>25470</v>
      </c>
      <c r="H13" s="3"/>
      <c r="I13" s="2"/>
      <c r="J13" s="2"/>
      <c r="K13" s="5">
        <f t="shared" si="0"/>
        <v>166970</v>
      </c>
      <c r="L13" s="3">
        <f>SUM(K12:K13)</f>
        <v>333940</v>
      </c>
      <c r="M13" s="3">
        <v>100000</v>
      </c>
      <c r="N13" s="26">
        <f>L13-M13</f>
        <v>233940</v>
      </c>
      <c r="O13" s="26" t="s">
        <v>100</v>
      </c>
    </row>
    <row r="14" spans="2:15" x14ac:dyDescent="0.25">
      <c r="B14" s="2" t="s">
        <v>32</v>
      </c>
      <c r="C14" s="2" t="s">
        <v>101</v>
      </c>
      <c r="D14" s="2">
        <v>1146</v>
      </c>
      <c r="E14" s="2" t="s">
        <v>102</v>
      </c>
      <c r="F14" s="3">
        <v>21765</v>
      </c>
      <c r="G14" s="3"/>
      <c r="H14" s="3">
        <v>1958.85</v>
      </c>
      <c r="I14" s="3">
        <v>1958.85</v>
      </c>
      <c r="J14" s="3">
        <v>0.3</v>
      </c>
      <c r="K14" s="6">
        <f t="shared" si="0"/>
        <v>25682.999999999996</v>
      </c>
      <c r="L14" s="3">
        <f>K14</f>
        <v>25682.999999999996</v>
      </c>
      <c r="M14" s="3">
        <v>25683</v>
      </c>
      <c r="N14" s="26">
        <f>L14-M14</f>
        <v>0</v>
      </c>
      <c r="O14" s="26" t="s">
        <v>103</v>
      </c>
    </row>
    <row r="15" spans="2:15" x14ac:dyDescent="0.25">
      <c r="B15" s="2" t="s">
        <v>4</v>
      </c>
      <c r="C15" s="2" t="s">
        <v>104</v>
      </c>
      <c r="D15" s="2">
        <v>496</v>
      </c>
      <c r="E15" s="2" t="s">
        <v>173</v>
      </c>
      <c r="F15" s="3">
        <v>15000</v>
      </c>
      <c r="G15" s="3"/>
      <c r="H15" s="3">
        <v>1350</v>
      </c>
      <c r="I15" s="3">
        <v>1350</v>
      </c>
      <c r="J15" s="3"/>
      <c r="K15" s="3">
        <f t="shared" si="0"/>
        <v>17700</v>
      </c>
      <c r="L15" s="3"/>
      <c r="M15" s="3"/>
      <c r="N15" s="26"/>
      <c r="O15" s="26" t="s">
        <v>103</v>
      </c>
    </row>
    <row r="16" spans="2:15" x14ac:dyDescent="0.25">
      <c r="B16" s="2" t="s">
        <v>106</v>
      </c>
      <c r="C16" s="2" t="s">
        <v>104</v>
      </c>
      <c r="D16" s="2">
        <v>621</v>
      </c>
      <c r="E16" s="2" t="s">
        <v>173</v>
      </c>
      <c r="F16" s="3">
        <v>9750</v>
      </c>
      <c r="G16" s="3"/>
      <c r="H16" s="3">
        <v>877.5</v>
      </c>
      <c r="I16" s="3">
        <v>877.5</v>
      </c>
      <c r="J16" s="2"/>
      <c r="K16" s="5">
        <f t="shared" si="0"/>
        <v>11505</v>
      </c>
      <c r="L16" s="3">
        <f>SUM(K15:K16)</f>
        <v>29205</v>
      </c>
      <c r="M16" s="3">
        <f>30208-1003</f>
        <v>29205</v>
      </c>
      <c r="N16" s="26">
        <f>L16-M16</f>
        <v>0</v>
      </c>
      <c r="O16" s="26" t="s">
        <v>103</v>
      </c>
    </row>
    <row r="17" spans="2:15" x14ac:dyDescent="0.25">
      <c r="B17" s="2" t="s">
        <v>22</v>
      </c>
      <c r="C17" s="2" t="s">
        <v>23</v>
      </c>
      <c r="D17" s="2">
        <v>1</v>
      </c>
      <c r="E17" s="2" t="s">
        <v>24</v>
      </c>
      <c r="F17" s="3">
        <v>1500000</v>
      </c>
      <c r="G17" s="3">
        <v>270000</v>
      </c>
      <c r="H17" s="3"/>
      <c r="I17" s="2"/>
      <c r="J17" s="2"/>
      <c r="K17" s="3">
        <f t="shared" si="0"/>
        <v>1770000</v>
      </c>
      <c r="L17" s="3"/>
      <c r="M17" s="3"/>
      <c r="N17" s="26"/>
      <c r="O17" s="26" t="s">
        <v>107</v>
      </c>
    </row>
    <row r="18" spans="2:15" x14ac:dyDescent="0.25">
      <c r="B18" s="2" t="s">
        <v>25</v>
      </c>
      <c r="C18" s="2" t="s">
        <v>23</v>
      </c>
      <c r="D18" s="2">
        <v>2</v>
      </c>
      <c r="E18" s="2" t="s">
        <v>24</v>
      </c>
      <c r="F18" s="3">
        <v>1000000</v>
      </c>
      <c r="G18" s="3">
        <v>180000</v>
      </c>
      <c r="H18" s="3"/>
      <c r="I18" s="2"/>
      <c r="J18" s="2"/>
      <c r="K18" s="3">
        <f t="shared" si="0"/>
        <v>1180000</v>
      </c>
      <c r="L18" s="3"/>
      <c r="M18" s="3"/>
      <c r="N18" s="26"/>
      <c r="O18" s="26" t="s">
        <v>107</v>
      </c>
    </row>
    <row r="19" spans="2:15" x14ac:dyDescent="0.25">
      <c r="B19" s="2" t="s">
        <v>26</v>
      </c>
      <c r="C19" s="2" t="s">
        <v>23</v>
      </c>
      <c r="D19" s="2">
        <v>3</v>
      </c>
      <c r="E19" s="2" t="s">
        <v>24</v>
      </c>
      <c r="F19" s="3">
        <v>600000</v>
      </c>
      <c r="G19" s="3">
        <v>108000</v>
      </c>
      <c r="H19" s="3"/>
      <c r="I19" s="2"/>
      <c r="J19" s="2"/>
      <c r="K19" s="3">
        <f t="shared" si="0"/>
        <v>708000</v>
      </c>
      <c r="L19" s="3"/>
      <c r="M19" s="3"/>
      <c r="N19" s="26"/>
      <c r="O19" s="26" t="s">
        <v>107</v>
      </c>
    </row>
    <row r="20" spans="2:15" x14ac:dyDescent="0.25">
      <c r="B20" s="2" t="s">
        <v>27</v>
      </c>
      <c r="C20" s="2" t="s">
        <v>23</v>
      </c>
      <c r="D20" s="2">
        <v>4</v>
      </c>
      <c r="E20" s="2" t="s">
        <v>24</v>
      </c>
      <c r="F20" s="3">
        <v>600000</v>
      </c>
      <c r="G20" s="3">
        <v>108000</v>
      </c>
      <c r="H20" s="3"/>
      <c r="I20" s="2"/>
      <c r="J20" s="2"/>
      <c r="K20" s="3">
        <f t="shared" si="0"/>
        <v>708000</v>
      </c>
      <c r="L20" s="3"/>
      <c r="M20" s="3"/>
      <c r="N20" s="26"/>
      <c r="O20" s="26" t="s">
        <v>107</v>
      </c>
    </row>
    <row r="21" spans="2:15" x14ac:dyDescent="0.25">
      <c r="B21" s="2" t="s">
        <v>28</v>
      </c>
      <c r="C21" s="2" t="s">
        <v>23</v>
      </c>
      <c r="D21" s="2">
        <v>5</v>
      </c>
      <c r="E21" s="2" t="s">
        <v>24</v>
      </c>
      <c r="F21" s="3">
        <v>800000</v>
      </c>
      <c r="G21" s="3">
        <v>144000</v>
      </c>
      <c r="H21" s="3"/>
      <c r="I21" s="2"/>
      <c r="J21" s="2"/>
      <c r="K21" s="3">
        <f t="shared" si="0"/>
        <v>944000</v>
      </c>
      <c r="L21" s="3"/>
      <c r="M21" s="3"/>
      <c r="N21" s="26"/>
      <c r="O21" s="26" t="s">
        <v>107</v>
      </c>
    </row>
    <row r="22" spans="2:15" x14ac:dyDescent="0.25">
      <c r="B22" s="2" t="s">
        <v>18</v>
      </c>
      <c r="C22" s="2" t="s">
        <v>23</v>
      </c>
      <c r="D22" s="2">
        <v>6</v>
      </c>
      <c r="E22" s="2" t="s">
        <v>24</v>
      </c>
      <c r="F22" s="3">
        <v>600000</v>
      </c>
      <c r="G22" s="3">
        <v>108000</v>
      </c>
      <c r="H22" s="3"/>
      <c r="I22" s="2"/>
      <c r="J22" s="2"/>
      <c r="K22" s="3">
        <f t="shared" si="0"/>
        <v>708000</v>
      </c>
      <c r="L22" s="3"/>
      <c r="M22" s="3"/>
      <c r="N22" s="26"/>
      <c r="O22" s="26" t="s">
        <v>107</v>
      </c>
    </row>
    <row r="23" spans="2:15" x14ac:dyDescent="0.25">
      <c r="B23" s="2" t="s">
        <v>29</v>
      </c>
      <c r="C23" s="2" t="s">
        <v>23</v>
      </c>
      <c r="D23" s="2">
        <v>7</v>
      </c>
      <c r="E23" s="2" t="s">
        <v>24</v>
      </c>
      <c r="F23" s="3">
        <v>400000</v>
      </c>
      <c r="G23" s="3">
        <v>72000</v>
      </c>
      <c r="H23" s="3"/>
      <c r="I23" s="2"/>
      <c r="J23" s="2"/>
      <c r="K23" s="3">
        <f t="shared" si="0"/>
        <v>472000</v>
      </c>
      <c r="L23" s="3"/>
      <c r="M23" s="3"/>
      <c r="N23" s="26"/>
      <c r="O23" s="26" t="s">
        <v>107</v>
      </c>
    </row>
    <row r="24" spans="2:15" x14ac:dyDescent="0.25">
      <c r="B24" s="2" t="s">
        <v>30</v>
      </c>
      <c r="C24" s="2" t="s">
        <v>23</v>
      </c>
      <c r="D24" s="2">
        <v>8</v>
      </c>
      <c r="E24" s="2" t="s">
        <v>24</v>
      </c>
      <c r="F24" s="3">
        <v>380000</v>
      </c>
      <c r="G24" s="3">
        <v>68400</v>
      </c>
      <c r="H24" s="3"/>
      <c r="I24" s="2"/>
      <c r="J24" s="2"/>
      <c r="K24" s="3">
        <f t="shared" si="0"/>
        <v>448400</v>
      </c>
      <c r="L24" s="3"/>
      <c r="M24" s="3"/>
      <c r="N24" s="26"/>
      <c r="O24" s="26" t="s">
        <v>107</v>
      </c>
    </row>
    <row r="25" spans="2:15" x14ac:dyDescent="0.25">
      <c r="B25" s="2" t="s">
        <v>31</v>
      </c>
      <c r="C25" s="2" t="s">
        <v>23</v>
      </c>
      <c r="D25" s="2">
        <v>9</v>
      </c>
      <c r="E25" s="2" t="s">
        <v>24</v>
      </c>
      <c r="F25" s="3">
        <v>20000</v>
      </c>
      <c r="G25" s="3">
        <v>3600</v>
      </c>
      <c r="H25" s="3"/>
      <c r="I25" s="2"/>
      <c r="J25" s="2"/>
      <c r="K25" s="5">
        <f t="shared" si="0"/>
        <v>23600</v>
      </c>
      <c r="L25" s="3">
        <f>SUM(K17:K25)</f>
        <v>6962000</v>
      </c>
      <c r="M25" s="3">
        <v>5849442</v>
      </c>
      <c r="N25" s="26">
        <f>L25-M25</f>
        <v>1112558</v>
      </c>
      <c r="O25" s="26" t="s">
        <v>107</v>
      </c>
    </row>
    <row r="26" spans="2:15" x14ac:dyDescent="0.25">
      <c r="B26" s="14" t="s">
        <v>68</v>
      </c>
      <c r="C26" s="14" t="s">
        <v>6</v>
      </c>
      <c r="D26" s="2" t="s">
        <v>108</v>
      </c>
      <c r="E26" s="14" t="s">
        <v>9</v>
      </c>
      <c r="F26" s="3">
        <v>162516.01999999999</v>
      </c>
      <c r="G26" s="3">
        <v>29252.880000000001</v>
      </c>
      <c r="H26" s="3"/>
      <c r="I26" s="2"/>
      <c r="J26" s="2">
        <v>0.1</v>
      </c>
      <c r="K26" s="3">
        <f t="shared" si="0"/>
        <v>191769</v>
      </c>
      <c r="L26" s="3"/>
      <c r="M26" s="3"/>
      <c r="N26" s="26"/>
      <c r="O26" s="26" t="s">
        <v>9</v>
      </c>
    </row>
    <row r="27" spans="2:15" x14ac:dyDescent="0.25">
      <c r="B27" s="14" t="s">
        <v>109</v>
      </c>
      <c r="C27" s="14" t="s">
        <v>6</v>
      </c>
      <c r="D27" s="2" t="s">
        <v>110</v>
      </c>
      <c r="E27" s="14" t="s">
        <v>9</v>
      </c>
      <c r="F27" s="3">
        <v>211349.66</v>
      </c>
      <c r="G27" s="3">
        <v>38042.94</v>
      </c>
      <c r="H27" s="3"/>
      <c r="I27" s="2"/>
      <c r="J27" s="2"/>
      <c r="K27" s="5">
        <f t="shared" si="0"/>
        <v>249392.6</v>
      </c>
      <c r="L27" s="3">
        <f>SUM(K26:K27)</f>
        <v>441161.6</v>
      </c>
      <c r="M27" s="3">
        <v>441161.6</v>
      </c>
      <c r="N27" s="26">
        <f>L27-M27</f>
        <v>0</v>
      </c>
      <c r="O27" s="26" t="s">
        <v>9</v>
      </c>
    </row>
    <row r="28" spans="2:15" x14ac:dyDescent="0.25">
      <c r="B28" s="14" t="s">
        <v>70</v>
      </c>
      <c r="C28" s="2" t="s">
        <v>1</v>
      </c>
      <c r="D28" s="2">
        <v>426</v>
      </c>
      <c r="E28" s="2" t="s">
        <v>8</v>
      </c>
      <c r="F28" s="3">
        <v>1482317</v>
      </c>
      <c r="G28" s="3">
        <v>266817</v>
      </c>
      <c r="H28" s="3"/>
      <c r="I28" s="2"/>
      <c r="J28" s="2"/>
      <c r="K28" s="3">
        <f t="shared" si="0"/>
        <v>1749134</v>
      </c>
      <c r="L28" s="3"/>
      <c r="M28" s="3"/>
      <c r="N28" s="26"/>
      <c r="O28" s="26" t="s">
        <v>8</v>
      </c>
    </row>
    <row r="29" spans="2:15" x14ac:dyDescent="0.25">
      <c r="B29" s="14" t="s">
        <v>62</v>
      </c>
      <c r="C29" s="2" t="s">
        <v>1</v>
      </c>
      <c r="D29" s="2">
        <v>413</v>
      </c>
      <c r="E29" s="2" t="s">
        <v>8</v>
      </c>
      <c r="F29" s="3">
        <v>1480576</v>
      </c>
      <c r="G29" s="3">
        <v>266504</v>
      </c>
      <c r="H29" s="3"/>
      <c r="I29" s="2"/>
      <c r="J29" s="2"/>
      <c r="K29" s="3">
        <f t="shared" si="0"/>
        <v>1747080</v>
      </c>
      <c r="L29" s="3"/>
      <c r="M29" s="3"/>
      <c r="N29" s="26"/>
      <c r="O29" s="26" t="s">
        <v>8</v>
      </c>
    </row>
    <row r="30" spans="2:15" x14ac:dyDescent="0.25">
      <c r="B30" s="2" t="s">
        <v>0</v>
      </c>
      <c r="C30" s="2" t="s">
        <v>1</v>
      </c>
      <c r="D30" s="2">
        <v>465</v>
      </c>
      <c r="E30" s="2" t="s">
        <v>8</v>
      </c>
      <c r="F30" s="3">
        <v>1045002</v>
      </c>
      <c r="G30" s="3">
        <v>188100</v>
      </c>
      <c r="H30" s="3"/>
      <c r="I30" s="2"/>
      <c r="J30" s="2"/>
      <c r="K30" s="3">
        <f t="shared" si="0"/>
        <v>1233102</v>
      </c>
      <c r="L30" s="3"/>
      <c r="M30" s="3"/>
      <c r="N30" s="26"/>
      <c r="O30" s="26" t="s">
        <v>8</v>
      </c>
    </row>
    <row r="31" spans="2:15" x14ac:dyDescent="0.25">
      <c r="B31" s="2" t="s">
        <v>0</v>
      </c>
      <c r="C31" s="2" t="s">
        <v>1</v>
      </c>
      <c r="D31" s="2">
        <v>464</v>
      </c>
      <c r="E31" s="2" t="s">
        <v>8</v>
      </c>
      <c r="F31" s="3">
        <v>1045002</v>
      </c>
      <c r="G31" s="3">
        <v>188100</v>
      </c>
      <c r="H31" s="3"/>
      <c r="I31" s="2"/>
      <c r="J31" s="2"/>
      <c r="K31" s="3">
        <f t="shared" si="0"/>
        <v>1233102</v>
      </c>
      <c r="L31" s="3"/>
      <c r="M31" s="3"/>
      <c r="N31" s="26"/>
      <c r="O31" s="26" t="s">
        <v>8</v>
      </c>
    </row>
    <row r="32" spans="2:15" x14ac:dyDescent="0.25">
      <c r="B32" s="2" t="s">
        <v>2</v>
      </c>
      <c r="C32" s="2" t="s">
        <v>1</v>
      </c>
      <c r="D32" s="2">
        <v>473</v>
      </c>
      <c r="E32" s="2" t="s">
        <v>8</v>
      </c>
      <c r="F32" s="3">
        <v>2477036</v>
      </c>
      <c r="G32" s="3">
        <v>445866</v>
      </c>
      <c r="H32" s="3"/>
      <c r="I32" s="2"/>
      <c r="J32" s="2"/>
      <c r="K32" s="3">
        <f t="shared" si="0"/>
        <v>2922902</v>
      </c>
      <c r="L32" s="3"/>
      <c r="M32" s="3"/>
      <c r="N32" s="26"/>
      <c r="O32" s="26" t="s">
        <v>8</v>
      </c>
    </row>
    <row r="33" spans="2:15" x14ac:dyDescent="0.25">
      <c r="B33" s="2" t="s">
        <v>3</v>
      </c>
      <c r="C33" s="2" t="s">
        <v>1</v>
      </c>
      <c r="D33" s="2">
        <v>483</v>
      </c>
      <c r="E33" s="2" t="s">
        <v>8</v>
      </c>
      <c r="F33" s="3">
        <f>519117+13185</f>
        <v>532302</v>
      </c>
      <c r="G33" s="3">
        <v>95814</v>
      </c>
      <c r="H33" s="3"/>
      <c r="I33" s="2"/>
      <c r="J33" s="2"/>
      <c r="K33" s="3">
        <f t="shared" si="0"/>
        <v>628116</v>
      </c>
      <c r="L33" s="3"/>
      <c r="M33" s="3"/>
      <c r="N33" s="26"/>
      <c r="O33" s="26" t="s">
        <v>8</v>
      </c>
    </row>
    <row r="34" spans="2:15" x14ac:dyDescent="0.25">
      <c r="B34" s="2" t="s">
        <v>4</v>
      </c>
      <c r="C34" s="2" t="s">
        <v>1</v>
      </c>
      <c r="D34" s="2">
        <v>484</v>
      </c>
      <c r="E34" s="2" t="s">
        <v>8</v>
      </c>
      <c r="F34" s="3">
        <f>1226957+31164</f>
        <v>1258121</v>
      </c>
      <c r="G34" s="3">
        <v>226461</v>
      </c>
      <c r="H34" s="3"/>
      <c r="I34" s="2"/>
      <c r="J34" s="2"/>
      <c r="K34" s="3">
        <f t="shared" si="0"/>
        <v>1484582</v>
      </c>
      <c r="L34" s="3"/>
      <c r="M34" s="3">
        <v>0</v>
      </c>
      <c r="N34" s="26"/>
      <c r="O34" s="26" t="s">
        <v>8</v>
      </c>
    </row>
    <row r="35" spans="2:15" x14ac:dyDescent="0.25">
      <c r="B35" s="14" t="s">
        <v>146</v>
      </c>
      <c r="C35" s="14" t="s">
        <v>1</v>
      </c>
      <c r="D35" s="2">
        <v>567</v>
      </c>
      <c r="E35" s="14" t="s">
        <v>147</v>
      </c>
      <c r="F35" s="3">
        <f>65825+2633</f>
        <v>68458</v>
      </c>
      <c r="G35" s="3">
        <v>12322.44</v>
      </c>
      <c r="H35" s="3"/>
      <c r="I35" s="2"/>
      <c r="J35" s="16">
        <v>-0.44</v>
      </c>
      <c r="K35" s="30">
        <f>F35+G35+H35+I35+J35</f>
        <v>80780</v>
      </c>
      <c r="L35" s="17">
        <f>SUM(K28:K35)</f>
        <v>11078798</v>
      </c>
      <c r="M35" s="3">
        <v>6500000</v>
      </c>
      <c r="N35" s="26">
        <f>L35-M35</f>
        <v>4578798</v>
      </c>
      <c r="O35" s="27" t="s">
        <v>8</v>
      </c>
    </row>
    <row r="36" spans="2:15" x14ac:dyDescent="0.25">
      <c r="B36" s="14" t="s">
        <v>14</v>
      </c>
      <c r="C36" s="14" t="s">
        <v>111</v>
      </c>
      <c r="D36" s="14">
        <v>2810</v>
      </c>
      <c r="E36" s="14" t="s">
        <v>17</v>
      </c>
      <c r="F36" s="3">
        <v>154000</v>
      </c>
      <c r="G36" s="3">
        <v>27720</v>
      </c>
      <c r="H36" s="3"/>
      <c r="I36" s="2"/>
      <c r="J36" s="2"/>
      <c r="K36" s="6">
        <f t="shared" si="0"/>
        <v>181720</v>
      </c>
      <c r="L36" s="3">
        <f>K36</f>
        <v>181720</v>
      </c>
      <c r="M36" s="3">
        <v>181720</v>
      </c>
      <c r="N36" s="26">
        <f>L36-M36</f>
        <v>0</v>
      </c>
      <c r="O36" s="26" t="s">
        <v>17</v>
      </c>
    </row>
    <row r="37" spans="2:15" x14ac:dyDescent="0.25">
      <c r="B37" s="14" t="s">
        <v>10</v>
      </c>
      <c r="C37" s="14" t="s">
        <v>112</v>
      </c>
      <c r="D37" s="14">
        <v>265</v>
      </c>
      <c r="E37" s="14" t="s">
        <v>13</v>
      </c>
      <c r="F37" s="3">
        <v>594000</v>
      </c>
      <c r="G37" s="3">
        <v>0</v>
      </c>
      <c r="H37" s="3">
        <v>53460</v>
      </c>
      <c r="I37" s="16">
        <v>53460</v>
      </c>
      <c r="J37" s="2"/>
      <c r="K37" s="6">
        <f t="shared" si="0"/>
        <v>700920</v>
      </c>
      <c r="L37" s="3">
        <f>K37</f>
        <v>700920</v>
      </c>
      <c r="M37" s="3">
        <v>700920</v>
      </c>
      <c r="N37" s="26">
        <f>L37-M37</f>
        <v>0</v>
      </c>
      <c r="O37" s="26" t="s">
        <v>113</v>
      </c>
    </row>
    <row r="38" spans="2:15" x14ac:dyDescent="0.25">
      <c r="B38" s="14" t="s">
        <v>54</v>
      </c>
      <c r="C38" s="14" t="s">
        <v>114</v>
      </c>
      <c r="D38" s="14">
        <v>55</v>
      </c>
      <c r="E38" s="14" t="s">
        <v>57</v>
      </c>
      <c r="F38" s="3">
        <v>175000</v>
      </c>
      <c r="G38" s="3">
        <v>0</v>
      </c>
      <c r="H38" s="3">
        <v>10500</v>
      </c>
      <c r="I38" s="16">
        <v>10500</v>
      </c>
      <c r="J38" s="2"/>
      <c r="K38" s="6">
        <f t="shared" si="0"/>
        <v>196000</v>
      </c>
      <c r="L38" s="3">
        <f>K38</f>
        <v>196000</v>
      </c>
      <c r="M38" s="3">
        <v>196000</v>
      </c>
      <c r="N38" s="26">
        <f>L38-M38</f>
        <v>0</v>
      </c>
      <c r="O38" s="26" t="s">
        <v>113</v>
      </c>
    </row>
    <row r="39" spans="2:15" x14ac:dyDescent="0.25">
      <c r="B39" s="2" t="s">
        <v>62</v>
      </c>
      <c r="C39" s="2" t="s">
        <v>61</v>
      </c>
      <c r="D39" s="2">
        <v>49</v>
      </c>
      <c r="E39" s="2" t="s">
        <v>80</v>
      </c>
      <c r="F39" s="3">
        <v>700000</v>
      </c>
      <c r="G39" s="3"/>
      <c r="H39" s="3">
        <v>63000</v>
      </c>
      <c r="I39" s="16">
        <v>63000</v>
      </c>
      <c r="J39" s="2"/>
      <c r="K39" s="3">
        <f t="shared" si="0"/>
        <v>826000</v>
      </c>
      <c r="L39" s="3"/>
      <c r="M39" s="3"/>
      <c r="N39" s="26"/>
      <c r="O39" s="26" t="s">
        <v>113</v>
      </c>
    </row>
    <row r="40" spans="2:15" x14ac:dyDescent="0.25">
      <c r="B40" s="2" t="s">
        <v>62</v>
      </c>
      <c r="C40" s="2" t="s">
        <v>61</v>
      </c>
      <c r="D40" s="2">
        <v>48</v>
      </c>
      <c r="E40" s="2" t="s">
        <v>80</v>
      </c>
      <c r="F40" s="3">
        <v>1000000</v>
      </c>
      <c r="G40" s="3"/>
      <c r="H40" s="3">
        <v>90000</v>
      </c>
      <c r="I40" s="16">
        <v>90000</v>
      </c>
      <c r="J40" s="2"/>
      <c r="K40" s="3">
        <f t="shared" si="0"/>
        <v>1180000</v>
      </c>
      <c r="L40" s="3"/>
      <c r="M40" s="3"/>
      <c r="N40" s="26"/>
      <c r="O40" s="26" t="s">
        <v>113</v>
      </c>
    </row>
    <row r="41" spans="2:15" x14ac:dyDescent="0.25">
      <c r="B41" s="2" t="s">
        <v>62</v>
      </c>
      <c r="C41" s="2" t="s">
        <v>61</v>
      </c>
      <c r="D41" s="2">
        <v>50</v>
      </c>
      <c r="E41" s="2" t="s">
        <v>80</v>
      </c>
      <c r="F41" s="3">
        <v>700000</v>
      </c>
      <c r="G41" s="3"/>
      <c r="H41" s="3">
        <v>63000</v>
      </c>
      <c r="I41" s="16">
        <v>63000</v>
      </c>
      <c r="J41" s="2"/>
      <c r="K41" s="3">
        <f t="shared" si="0"/>
        <v>826000</v>
      </c>
      <c r="L41" s="3"/>
      <c r="M41" s="3"/>
      <c r="N41" s="26"/>
      <c r="O41" s="26" t="s">
        <v>113</v>
      </c>
    </row>
    <row r="42" spans="2:15" x14ac:dyDescent="0.25">
      <c r="B42" s="2" t="s">
        <v>18</v>
      </c>
      <c r="C42" s="2" t="s">
        <v>61</v>
      </c>
      <c r="D42" s="2">
        <v>54</v>
      </c>
      <c r="E42" s="2" t="s">
        <v>80</v>
      </c>
      <c r="F42" s="3">
        <v>975000</v>
      </c>
      <c r="G42" s="3"/>
      <c r="H42" s="3">
        <v>87500</v>
      </c>
      <c r="I42" s="16">
        <v>87500</v>
      </c>
      <c r="J42" s="2"/>
      <c r="K42" s="3">
        <f t="shared" si="0"/>
        <v>1150000</v>
      </c>
      <c r="L42" s="3"/>
      <c r="M42" s="3"/>
      <c r="N42" s="26"/>
      <c r="O42" s="26" t="s">
        <v>113</v>
      </c>
    </row>
    <row r="43" spans="2:15" x14ac:dyDescent="0.25">
      <c r="B43" s="2" t="s">
        <v>18</v>
      </c>
      <c r="C43" s="2" t="s">
        <v>61</v>
      </c>
      <c r="D43" s="2">
        <v>55</v>
      </c>
      <c r="E43" s="2" t="s">
        <v>80</v>
      </c>
      <c r="F43" s="3">
        <v>525000</v>
      </c>
      <c r="G43" s="3"/>
      <c r="H43" s="3">
        <v>47250</v>
      </c>
      <c r="I43" s="16">
        <v>47250</v>
      </c>
      <c r="J43" s="2"/>
      <c r="K43" s="3">
        <f t="shared" si="0"/>
        <v>619500</v>
      </c>
      <c r="L43" s="3"/>
      <c r="M43" s="3"/>
      <c r="N43" s="26"/>
      <c r="O43" s="26" t="s">
        <v>113</v>
      </c>
    </row>
    <row r="44" spans="2:15" x14ac:dyDescent="0.25">
      <c r="B44" s="2" t="s">
        <v>63</v>
      </c>
      <c r="C44" s="2" t="s">
        <v>61</v>
      </c>
      <c r="D44" s="2">
        <v>62</v>
      </c>
      <c r="E44" s="2" t="s">
        <v>80</v>
      </c>
      <c r="F44" s="3">
        <v>600000</v>
      </c>
      <c r="G44" s="3"/>
      <c r="H44" s="3">
        <v>54000</v>
      </c>
      <c r="I44" s="16">
        <v>54000</v>
      </c>
      <c r="J44" s="2"/>
      <c r="K44" s="3">
        <f t="shared" si="0"/>
        <v>708000</v>
      </c>
      <c r="L44" s="3"/>
      <c r="M44" s="3"/>
      <c r="N44" s="26"/>
      <c r="O44" s="26" t="s">
        <v>113</v>
      </c>
    </row>
    <row r="45" spans="2:15" x14ac:dyDescent="0.25">
      <c r="B45" s="2" t="s">
        <v>63</v>
      </c>
      <c r="C45" s="2" t="s">
        <v>61</v>
      </c>
      <c r="D45" s="2">
        <v>63</v>
      </c>
      <c r="E45" s="2" t="s">
        <v>80</v>
      </c>
      <c r="F45" s="3">
        <v>525000</v>
      </c>
      <c r="G45" s="3"/>
      <c r="H45" s="3">
        <v>47250</v>
      </c>
      <c r="I45" s="16">
        <v>47250</v>
      </c>
      <c r="J45" s="2"/>
      <c r="K45" s="3">
        <f t="shared" si="0"/>
        <v>619500</v>
      </c>
      <c r="L45" s="3"/>
      <c r="M45" s="3"/>
      <c r="N45" s="26"/>
      <c r="O45" s="26" t="s">
        <v>113</v>
      </c>
    </row>
    <row r="46" spans="2:15" x14ac:dyDescent="0.25">
      <c r="B46" s="2" t="s">
        <v>64</v>
      </c>
      <c r="C46" s="2" t="s">
        <v>61</v>
      </c>
      <c r="D46" s="2">
        <v>70</v>
      </c>
      <c r="E46" s="2" t="s">
        <v>80</v>
      </c>
      <c r="F46" s="3">
        <v>175000</v>
      </c>
      <c r="G46" s="3"/>
      <c r="H46" s="3">
        <v>15750</v>
      </c>
      <c r="I46" s="16">
        <v>15750</v>
      </c>
      <c r="J46" s="2"/>
      <c r="K46" s="3">
        <f t="shared" si="0"/>
        <v>206500</v>
      </c>
      <c r="L46" s="3"/>
      <c r="M46" s="3"/>
      <c r="N46" s="26"/>
      <c r="O46" s="26" t="s">
        <v>113</v>
      </c>
    </row>
    <row r="47" spans="2:15" x14ac:dyDescent="0.25">
      <c r="B47" s="2" t="s">
        <v>64</v>
      </c>
      <c r="C47" s="2" t="s">
        <v>61</v>
      </c>
      <c r="D47" s="2">
        <v>69</v>
      </c>
      <c r="E47" s="2" t="s">
        <v>80</v>
      </c>
      <c r="F47" s="3">
        <v>1875000</v>
      </c>
      <c r="G47" s="3"/>
      <c r="H47" s="3">
        <v>168750</v>
      </c>
      <c r="I47" s="16">
        <v>168750</v>
      </c>
      <c r="J47" s="2"/>
      <c r="K47" s="3">
        <f t="shared" si="0"/>
        <v>2212500</v>
      </c>
      <c r="L47" s="3"/>
      <c r="M47" s="3"/>
      <c r="N47" s="26"/>
      <c r="O47" s="26" t="s">
        <v>113</v>
      </c>
    </row>
    <row r="48" spans="2:15" x14ac:dyDescent="0.25">
      <c r="B48" s="2" t="s">
        <v>65</v>
      </c>
      <c r="C48" s="2" t="s">
        <v>61</v>
      </c>
      <c r="D48" s="2">
        <v>80</v>
      </c>
      <c r="E48" s="2" t="s">
        <v>80</v>
      </c>
      <c r="F48" s="3">
        <v>131000</v>
      </c>
      <c r="G48" s="3"/>
      <c r="H48" s="3">
        <v>11790</v>
      </c>
      <c r="I48" s="16">
        <v>11790</v>
      </c>
      <c r="J48" s="2"/>
      <c r="K48" s="3">
        <f t="shared" si="0"/>
        <v>154580</v>
      </c>
      <c r="L48" s="3"/>
      <c r="M48" s="3"/>
      <c r="N48" s="26"/>
      <c r="O48" s="26" t="s">
        <v>113</v>
      </c>
    </row>
    <row r="49" spans="2:15" x14ac:dyDescent="0.25">
      <c r="B49" s="2" t="s">
        <v>65</v>
      </c>
      <c r="C49" s="2" t="s">
        <v>61</v>
      </c>
      <c r="D49" s="2">
        <v>79</v>
      </c>
      <c r="E49" s="2" t="s">
        <v>80</v>
      </c>
      <c r="F49" s="3">
        <v>150000</v>
      </c>
      <c r="G49" s="3"/>
      <c r="H49" s="3">
        <v>13500</v>
      </c>
      <c r="I49" s="16">
        <v>13500</v>
      </c>
      <c r="J49" s="2"/>
      <c r="K49" s="3">
        <f t="shared" si="0"/>
        <v>177000</v>
      </c>
      <c r="L49" s="3"/>
      <c r="M49" s="3"/>
      <c r="N49" s="26"/>
      <c r="O49" s="26" t="s">
        <v>113</v>
      </c>
    </row>
    <row r="50" spans="2:15" x14ac:dyDescent="0.25">
      <c r="B50" s="2" t="s">
        <v>66</v>
      </c>
      <c r="C50" s="2" t="s">
        <v>61</v>
      </c>
      <c r="D50" s="2">
        <v>83</v>
      </c>
      <c r="E50" s="2" t="s">
        <v>80</v>
      </c>
      <c r="F50" s="3">
        <f>160000</f>
        <v>160000</v>
      </c>
      <c r="G50" s="3"/>
      <c r="H50" s="3">
        <v>14400</v>
      </c>
      <c r="I50" s="16">
        <v>14400</v>
      </c>
      <c r="J50" s="2"/>
      <c r="K50" s="3">
        <f t="shared" si="0"/>
        <v>188800</v>
      </c>
      <c r="L50" s="3"/>
      <c r="M50" s="3"/>
      <c r="N50" s="26"/>
      <c r="O50" s="26" t="s">
        <v>113</v>
      </c>
    </row>
    <row r="51" spans="2:15" x14ac:dyDescent="0.25">
      <c r="B51" s="2" t="s">
        <v>67</v>
      </c>
      <c r="C51" s="2" t="s">
        <v>61</v>
      </c>
      <c r="D51" s="2">
        <v>85</v>
      </c>
      <c r="E51" s="2" t="s">
        <v>80</v>
      </c>
      <c r="F51" s="3">
        <v>620000</v>
      </c>
      <c r="G51" s="3"/>
      <c r="H51" s="3">
        <v>55800</v>
      </c>
      <c r="I51" s="16">
        <v>55800</v>
      </c>
      <c r="J51" s="2"/>
      <c r="K51" s="5">
        <f t="shared" si="0"/>
        <v>731600</v>
      </c>
      <c r="L51" s="3">
        <f>SUM(K39:K51)</f>
        <v>9599980</v>
      </c>
      <c r="M51" s="3">
        <v>5000000</v>
      </c>
      <c r="N51" s="26">
        <f>L51-M51</f>
        <v>4599980</v>
      </c>
      <c r="O51" s="26" t="s">
        <v>113</v>
      </c>
    </row>
    <row r="52" spans="2:15" x14ac:dyDescent="0.25">
      <c r="B52" s="14" t="s">
        <v>68</v>
      </c>
      <c r="C52" s="2" t="s">
        <v>69</v>
      </c>
      <c r="D52" s="2">
        <v>999</v>
      </c>
      <c r="E52" s="14" t="s">
        <v>81</v>
      </c>
      <c r="F52" s="3">
        <v>1477720.4</v>
      </c>
      <c r="G52" s="3"/>
      <c r="H52" s="3">
        <v>132994.84</v>
      </c>
      <c r="I52" s="16">
        <v>132994.84</v>
      </c>
      <c r="J52" s="16">
        <v>-0.08</v>
      </c>
      <c r="K52" s="6">
        <f t="shared" si="0"/>
        <v>1743710</v>
      </c>
      <c r="L52" s="3">
        <f>K52</f>
        <v>1743710</v>
      </c>
      <c r="M52" s="3">
        <v>1743710</v>
      </c>
      <c r="N52" s="26">
        <f>L52-M52</f>
        <v>0</v>
      </c>
      <c r="O52" s="26" t="s">
        <v>113</v>
      </c>
    </row>
    <row r="53" spans="2:15" x14ac:dyDescent="0.25">
      <c r="B53" s="14" t="s">
        <v>115</v>
      </c>
      <c r="C53" s="14" t="s">
        <v>116</v>
      </c>
      <c r="D53" s="14">
        <v>32</v>
      </c>
      <c r="E53" s="14" t="s">
        <v>21</v>
      </c>
      <c r="F53" s="3">
        <v>24238.62</v>
      </c>
      <c r="G53" s="3"/>
      <c r="H53" s="3">
        <v>3380.69</v>
      </c>
      <c r="I53" s="16">
        <v>3380.69</v>
      </c>
      <c r="J53" s="2"/>
      <c r="K53" s="3">
        <f t="shared" si="0"/>
        <v>30999.999999999996</v>
      </c>
      <c r="L53" s="3"/>
      <c r="M53" s="3"/>
      <c r="N53" s="26"/>
      <c r="O53" s="27" t="s">
        <v>164</v>
      </c>
    </row>
    <row r="54" spans="2:15" x14ac:dyDescent="0.25">
      <c r="B54" s="14" t="s">
        <v>115</v>
      </c>
      <c r="C54" s="14" t="s">
        <v>116</v>
      </c>
      <c r="D54" s="14">
        <v>33</v>
      </c>
      <c r="E54" s="14" t="s">
        <v>21</v>
      </c>
      <c r="F54" s="3">
        <v>26113.62</v>
      </c>
      <c r="G54" s="3"/>
      <c r="H54" s="3">
        <v>3643.19</v>
      </c>
      <c r="I54" s="3">
        <v>3643.19</v>
      </c>
      <c r="J54" s="2"/>
      <c r="K54" s="3">
        <f t="shared" si="0"/>
        <v>33400</v>
      </c>
      <c r="L54" s="3"/>
      <c r="M54" s="3"/>
      <c r="N54" s="26"/>
      <c r="O54" s="27" t="s">
        <v>164</v>
      </c>
    </row>
    <row r="55" spans="2:15" x14ac:dyDescent="0.25">
      <c r="B55" s="14" t="s">
        <v>18</v>
      </c>
      <c r="C55" s="14" t="s">
        <v>116</v>
      </c>
      <c r="D55" s="14">
        <v>113</v>
      </c>
      <c r="E55" s="14" t="s">
        <v>21</v>
      </c>
      <c r="F55" s="3">
        <v>24218.74</v>
      </c>
      <c r="G55" s="3"/>
      <c r="H55" s="3">
        <v>3390.63</v>
      </c>
      <c r="I55" s="3">
        <v>3390.63</v>
      </c>
      <c r="J55" s="2"/>
      <c r="K55" s="3">
        <f t="shared" si="0"/>
        <v>31000.000000000004</v>
      </c>
      <c r="L55" s="3"/>
      <c r="M55" s="3"/>
      <c r="N55" s="26"/>
      <c r="O55" s="27" t="s">
        <v>164</v>
      </c>
    </row>
    <row r="56" spans="2:15" x14ac:dyDescent="0.25">
      <c r="B56" s="14" t="s">
        <v>145</v>
      </c>
      <c r="C56" s="14" t="s">
        <v>116</v>
      </c>
      <c r="D56" s="2">
        <v>29</v>
      </c>
      <c r="E56" s="14" t="s">
        <v>144</v>
      </c>
      <c r="F56" s="3">
        <v>107031.24</v>
      </c>
      <c r="G56" s="3"/>
      <c r="H56" s="3">
        <v>14984.38</v>
      </c>
      <c r="I56" s="3">
        <v>14984.38</v>
      </c>
      <c r="J56" s="2"/>
      <c r="K56" s="17">
        <f>F56+G56+H56+I56+J56</f>
        <v>137000</v>
      </c>
      <c r="L56" s="17"/>
      <c r="M56" s="3"/>
      <c r="N56" s="26"/>
      <c r="O56" s="27" t="s">
        <v>113</v>
      </c>
    </row>
    <row r="57" spans="2:15" x14ac:dyDescent="0.25">
      <c r="B57" s="14" t="s">
        <v>146</v>
      </c>
      <c r="C57" s="14" t="s">
        <v>116</v>
      </c>
      <c r="D57" s="2">
        <v>656</v>
      </c>
      <c r="E57" s="14" t="s">
        <v>144</v>
      </c>
      <c r="F57" s="3">
        <v>33203.120000000003</v>
      </c>
      <c r="G57" s="3"/>
      <c r="H57" s="3">
        <v>4648.4399999999996</v>
      </c>
      <c r="I57" s="3">
        <v>4648.4399999999996</v>
      </c>
      <c r="J57" s="2"/>
      <c r="K57" s="30">
        <f>F57+G57+H57+I57+J57</f>
        <v>42500.000000000007</v>
      </c>
      <c r="L57" s="17">
        <f>SUM(K53:K57)</f>
        <v>274900</v>
      </c>
      <c r="M57" s="3">
        <v>274900</v>
      </c>
      <c r="N57" s="26">
        <f>L57-M57</f>
        <v>0</v>
      </c>
      <c r="O57" s="27" t="s">
        <v>113</v>
      </c>
    </row>
    <row r="58" spans="2:15" x14ac:dyDescent="0.25">
      <c r="B58" s="14" t="s">
        <v>35</v>
      </c>
      <c r="C58" s="14" t="s">
        <v>117</v>
      </c>
      <c r="D58" s="14">
        <v>1419</v>
      </c>
      <c r="E58" s="14" t="s">
        <v>36</v>
      </c>
      <c r="F58" s="3">
        <v>35170</v>
      </c>
      <c r="G58" s="3"/>
      <c r="H58" s="3">
        <v>3165.3</v>
      </c>
      <c r="I58" s="3">
        <v>3165.3</v>
      </c>
      <c r="J58" s="16">
        <v>-0.6</v>
      </c>
      <c r="K58" s="31">
        <f t="shared" si="0"/>
        <v>41500.000000000007</v>
      </c>
      <c r="L58" s="17">
        <f>K58</f>
        <v>41500.000000000007</v>
      </c>
      <c r="M58" s="3">
        <v>41500</v>
      </c>
      <c r="N58" s="26">
        <f>L58-M58</f>
        <v>0</v>
      </c>
      <c r="O58" s="27" t="s">
        <v>164</v>
      </c>
    </row>
    <row r="59" spans="2:15" x14ac:dyDescent="0.25">
      <c r="B59" s="14" t="s">
        <v>118</v>
      </c>
      <c r="C59" s="14" t="s">
        <v>119</v>
      </c>
      <c r="D59" s="2" t="s">
        <v>120</v>
      </c>
      <c r="E59" s="14" t="s">
        <v>121</v>
      </c>
      <c r="F59" s="3">
        <f>232271+2200</f>
        <v>234471</v>
      </c>
      <c r="G59" s="3"/>
      <c r="H59" s="3">
        <v>21102.39</v>
      </c>
      <c r="I59" s="3">
        <v>21102.39</v>
      </c>
      <c r="J59" s="2">
        <v>0.22</v>
      </c>
      <c r="K59" s="17">
        <f t="shared" si="0"/>
        <v>276676</v>
      </c>
      <c r="L59" s="17"/>
      <c r="M59" s="3"/>
      <c r="N59" s="26"/>
      <c r="O59" s="27" t="s">
        <v>92</v>
      </c>
    </row>
    <row r="60" spans="2:15" x14ac:dyDescent="0.25">
      <c r="B60" s="14" t="s">
        <v>122</v>
      </c>
      <c r="C60" s="14" t="s">
        <v>119</v>
      </c>
      <c r="D60" s="2" t="s">
        <v>123</v>
      </c>
      <c r="E60" s="14" t="s">
        <v>121</v>
      </c>
      <c r="F60" s="3">
        <v>2175.4</v>
      </c>
      <c r="G60" s="3"/>
      <c r="H60" s="3">
        <v>195.79</v>
      </c>
      <c r="I60" s="3">
        <v>195.79</v>
      </c>
      <c r="J60" s="16">
        <v>0.02</v>
      </c>
      <c r="K60" s="17">
        <f t="shared" si="0"/>
        <v>2567</v>
      </c>
      <c r="L60" s="17"/>
      <c r="M60" s="3"/>
      <c r="N60" s="26"/>
      <c r="O60" s="27" t="s">
        <v>92</v>
      </c>
    </row>
    <row r="61" spans="2:15" x14ac:dyDescent="0.25">
      <c r="B61" s="14" t="s">
        <v>124</v>
      </c>
      <c r="C61" s="14" t="s">
        <v>119</v>
      </c>
      <c r="D61" s="2" t="s">
        <v>125</v>
      </c>
      <c r="E61" s="14" t="s">
        <v>121</v>
      </c>
      <c r="F61" s="3">
        <v>6170.03</v>
      </c>
      <c r="G61" s="3"/>
      <c r="H61" s="3">
        <v>555.29999999999995</v>
      </c>
      <c r="I61" s="3">
        <v>555.29999999999995</v>
      </c>
      <c r="J61" s="16">
        <v>0.37</v>
      </c>
      <c r="K61" s="17">
        <f t="shared" si="0"/>
        <v>7281</v>
      </c>
      <c r="L61" s="17"/>
      <c r="M61" s="3"/>
      <c r="N61" s="26"/>
      <c r="O61" s="27" t="s">
        <v>92</v>
      </c>
    </row>
    <row r="62" spans="2:15" x14ac:dyDescent="0.25">
      <c r="B62" s="14" t="s">
        <v>124</v>
      </c>
      <c r="C62" s="14" t="s">
        <v>119</v>
      </c>
      <c r="D62" s="2" t="s">
        <v>126</v>
      </c>
      <c r="E62" s="14" t="s">
        <v>121</v>
      </c>
      <c r="F62" s="3">
        <v>994.61</v>
      </c>
      <c r="G62" s="3"/>
      <c r="H62" s="3">
        <v>89.51</v>
      </c>
      <c r="I62" s="3">
        <v>89.51</v>
      </c>
      <c r="J62" s="16">
        <v>0.37</v>
      </c>
      <c r="K62" s="17">
        <f t="shared" si="0"/>
        <v>1174</v>
      </c>
      <c r="L62" s="17"/>
      <c r="M62" s="3"/>
      <c r="N62" s="26"/>
      <c r="O62" s="27" t="s">
        <v>92</v>
      </c>
    </row>
    <row r="63" spans="2:15" x14ac:dyDescent="0.25">
      <c r="B63" s="14" t="s">
        <v>58</v>
      </c>
      <c r="C63" s="14" t="s">
        <v>119</v>
      </c>
      <c r="D63" s="2" t="s">
        <v>127</v>
      </c>
      <c r="E63" s="14" t="s">
        <v>121</v>
      </c>
      <c r="F63" s="3">
        <v>42426.720000000001</v>
      </c>
      <c r="G63" s="3"/>
      <c r="H63" s="3">
        <v>3818.4</v>
      </c>
      <c r="I63" s="3">
        <v>3818.4</v>
      </c>
      <c r="J63" s="16">
        <v>0.48</v>
      </c>
      <c r="K63" s="17">
        <f t="shared" si="0"/>
        <v>50064.000000000007</v>
      </c>
      <c r="L63" s="17"/>
      <c r="M63" s="3"/>
      <c r="N63" s="26"/>
      <c r="O63" s="27" t="s">
        <v>92</v>
      </c>
    </row>
    <row r="64" spans="2:15" x14ac:dyDescent="0.25">
      <c r="B64" s="14" t="s">
        <v>18</v>
      </c>
      <c r="C64" s="14" t="s">
        <v>119</v>
      </c>
      <c r="D64" s="2" t="s">
        <v>128</v>
      </c>
      <c r="E64" s="14" t="s">
        <v>121</v>
      </c>
      <c r="F64" s="3">
        <v>2960</v>
      </c>
      <c r="G64" s="3"/>
      <c r="H64" s="3">
        <v>266.39999999999998</v>
      </c>
      <c r="I64" s="3">
        <v>266.39999999999998</v>
      </c>
      <c r="J64" s="16">
        <v>0.2</v>
      </c>
      <c r="K64" s="17">
        <f t="shared" si="0"/>
        <v>3493</v>
      </c>
      <c r="L64" s="17"/>
      <c r="M64" s="3"/>
      <c r="N64" s="26"/>
      <c r="O64" s="27" t="s">
        <v>92</v>
      </c>
    </row>
    <row r="65" spans="2:15" x14ac:dyDescent="0.25">
      <c r="B65" s="14" t="s">
        <v>18</v>
      </c>
      <c r="C65" s="14" t="s">
        <v>119</v>
      </c>
      <c r="D65" s="2" t="s">
        <v>129</v>
      </c>
      <c r="E65" s="14" t="s">
        <v>121</v>
      </c>
      <c r="F65" s="3">
        <v>1480</v>
      </c>
      <c r="G65" s="3"/>
      <c r="H65" s="3">
        <v>133.19999999999999</v>
      </c>
      <c r="I65" s="3">
        <v>133.19999999999999</v>
      </c>
      <c r="J65" s="16">
        <v>-0.4</v>
      </c>
      <c r="K65" s="17">
        <f t="shared" si="0"/>
        <v>1746</v>
      </c>
      <c r="L65" s="17"/>
      <c r="M65" s="3"/>
      <c r="N65" s="26"/>
      <c r="O65" s="27" t="s">
        <v>92</v>
      </c>
    </row>
    <row r="66" spans="2:15" x14ac:dyDescent="0.25">
      <c r="B66" s="14" t="s">
        <v>130</v>
      </c>
      <c r="C66" s="14" t="s">
        <v>119</v>
      </c>
      <c r="D66" s="2" t="s">
        <v>131</v>
      </c>
      <c r="E66" s="14" t="s">
        <v>121</v>
      </c>
      <c r="F66" s="3">
        <f>215680.02+2500</f>
        <v>218180.02</v>
      </c>
      <c r="G66" s="3"/>
      <c r="H66" s="3">
        <v>19636.2</v>
      </c>
      <c r="I66" s="3">
        <v>19636.2</v>
      </c>
      <c r="J66" s="16">
        <v>0.57999999999999996</v>
      </c>
      <c r="K66" s="17">
        <f t="shared" si="0"/>
        <v>257453</v>
      </c>
      <c r="L66" s="17"/>
      <c r="M66" s="3"/>
      <c r="N66" s="26"/>
      <c r="O66" s="27" t="s">
        <v>92</v>
      </c>
    </row>
    <row r="67" spans="2:15" x14ac:dyDescent="0.25">
      <c r="B67" s="14" t="s">
        <v>132</v>
      </c>
      <c r="C67" s="14" t="s">
        <v>119</v>
      </c>
      <c r="D67" s="2" t="s">
        <v>133</v>
      </c>
      <c r="E67" s="14" t="s">
        <v>121</v>
      </c>
      <c r="F67" s="3">
        <f>75971.8+300</f>
        <v>76271.8</v>
      </c>
      <c r="G67" s="3"/>
      <c r="H67" s="3">
        <v>6864.46</v>
      </c>
      <c r="I67" s="3">
        <v>6864.46</v>
      </c>
      <c r="J67" s="16">
        <v>0.28000000000000003</v>
      </c>
      <c r="K67" s="17">
        <f t="shared" si="0"/>
        <v>90001.000000000015</v>
      </c>
      <c r="L67" s="17"/>
      <c r="M67" s="3"/>
      <c r="N67" s="26"/>
      <c r="O67" s="27" t="s">
        <v>92</v>
      </c>
    </row>
    <row r="68" spans="2:15" x14ac:dyDescent="0.25">
      <c r="B68" s="14" t="s">
        <v>134</v>
      </c>
      <c r="C68" s="14" t="s">
        <v>119</v>
      </c>
      <c r="D68" s="2" t="s">
        <v>135</v>
      </c>
      <c r="E68" s="14" t="s">
        <v>121</v>
      </c>
      <c r="F68" s="3">
        <v>9021.02</v>
      </c>
      <c r="G68" s="3"/>
      <c r="H68" s="3">
        <v>811.89</v>
      </c>
      <c r="I68" s="3">
        <v>811.89</v>
      </c>
      <c r="J68" s="16">
        <v>0.2</v>
      </c>
      <c r="K68" s="30">
        <f t="shared" si="0"/>
        <v>10645</v>
      </c>
      <c r="L68" s="17">
        <f>SUM(K59:K68)</f>
        <v>701100</v>
      </c>
      <c r="M68" s="3">
        <v>200000</v>
      </c>
      <c r="N68" s="26">
        <f>L68-M68</f>
        <v>501100</v>
      </c>
      <c r="O68" s="27" t="s">
        <v>92</v>
      </c>
    </row>
    <row r="69" spans="2:15" x14ac:dyDescent="0.25">
      <c r="B69" s="14" t="s">
        <v>136</v>
      </c>
      <c r="C69" s="14" t="s">
        <v>137</v>
      </c>
      <c r="D69" s="2">
        <v>68</v>
      </c>
      <c r="E69" s="14" t="s">
        <v>138</v>
      </c>
      <c r="F69" s="3">
        <v>56250</v>
      </c>
      <c r="G69" s="3"/>
      <c r="H69" s="3">
        <v>7875</v>
      </c>
      <c r="I69" s="3">
        <v>7875</v>
      </c>
      <c r="J69" s="2"/>
      <c r="K69" s="31">
        <f t="shared" si="0"/>
        <v>72000</v>
      </c>
      <c r="L69" s="17">
        <f>K69</f>
        <v>72000</v>
      </c>
      <c r="M69" s="3">
        <v>72000</v>
      </c>
      <c r="N69" s="26">
        <f>L69-M69</f>
        <v>0</v>
      </c>
      <c r="O69" s="27" t="s">
        <v>165</v>
      </c>
    </row>
    <row r="70" spans="2:15" x14ac:dyDescent="0.25">
      <c r="B70" s="14" t="s">
        <v>170</v>
      </c>
      <c r="C70" s="14" t="s">
        <v>171</v>
      </c>
      <c r="D70" s="2">
        <v>1</v>
      </c>
      <c r="E70" s="14" t="s">
        <v>172</v>
      </c>
      <c r="F70" s="3">
        <v>500000</v>
      </c>
      <c r="G70" s="3"/>
      <c r="H70" s="3"/>
      <c r="I70" s="3"/>
      <c r="J70" s="2"/>
      <c r="K70" s="31">
        <f t="shared" si="0"/>
        <v>500000</v>
      </c>
      <c r="L70" s="17">
        <f>K70</f>
        <v>500000</v>
      </c>
      <c r="M70" s="3">
        <v>500000</v>
      </c>
      <c r="N70" s="26">
        <f>L70-M70</f>
        <v>0</v>
      </c>
      <c r="O70" s="27" t="s">
        <v>165</v>
      </c>
    </row>
    <row r="71" spans="2:15" x14ac:dyDescent="0.25">
      <c r="B71" s="14" t="s">
        <v>139</v>
      </c>
      <c r="C71" s="14" t="s">
        <v>140</v>
      </c>
      <c r="D71" s="2">
        <v>923</v>
      </c>
      <c r="E71" s="14" t="s">
        <v>141</v>
      </c>
      <c r="F71" s="3">
        <v>34288</v>
      </c>
      <c r="G71" s="3"/>
      <c r="H71" s="3">
        <v>857.2</v>
      </c>
      <c r="I71" s="3">
        <v>857.2</v>
      </c>
      <c r="J71" s="16">
        <v>-0.4</v>
      </c>
      <c r="K71" s="17">
        <f t="shared" si="0"/>
        <v>36001.999999999993</v>
      </c>
      <c r="L71" s="17"/>
      <c r="M71" s="3"/>
      <c r="N71" s="26"/>
      <c r="O71" s="27" t="s">
        <v>165</v>
      </c>
    </row>
    <row r="72" spans="2:15" x14ac:dyDescent="0.25">
      <c r="B72" s="14" t="s">
        <v>139</v>
      </c>
      <c r="C72" s="14" t="s">
        <v>140</v>
      </c>
      <c r="D72" s="2">
        <v>917</v>
      </c>
      <c r="E72" s="14" t="s">
        <v>141</v>
      </c>
      <c r="F72" s="3">
        <v>64290</v>
      </c>
      <c r="G72" s="3"/>
      <c r="H72" s="3">
        <v>1607.25</v>
      </c>
      <c r="I72" s="3">
        <v>1607.25</v>
      </c>
      <c r="J72" s="16">
        <v>0.5</v>
      </c>
      <c r="K72" s="17">
        <f t="shared" ref="K72:K91" si="1">F72+G72+H72+I72+J72</f>
        <v>67505</v>
      </c>
      <c r="L72" s="17"/>
      <c r="M72" s="3"/>
      <c r="N72" s="26"/>
      <c r="O72" s="27" t="s">
        <v>165</v>
      </c>
    </row>
    <row r="73" spans="2:15" x14ac:dyDescent="0.25">
      <c r="B73" s="14" t="s">
        <v>142</v>
      </c>
      <c r="C73" s="14" t="s">
        <v>140</v>
      </c>
      <c r="D73" s="2">
        <v>984</v>
      </c>
      <c r="E73" s="14" t="s">
        <v>141</v>
      </c>
      <c r="F73" s="3">
        <v>40717</v>
      </c>
      <c r="G73" s="3"/>
      <c r="H73" s="3">
        <v>1017.93</v>
      </c>
      <c r="I73" s="3">
        <v>1017.93</v>
      </c>
      <c r="J73" s="16">
        <v>0.14000000000000001</v>
      </c>
      <c r="K73" s="30">
        <f t="shared" si="1"/>
        <v>42753</v>
      </c>
      <c r="L73" s="17">
        <f>SUM(K71:K73)</f>
        <v>146260</v>
      </c>
      <c r="M73" s="3">
        <v>146260</v>
      </c>
      <c r="N73" s="26">
        <f>L73-M73</f>
        <v>0</v>
      </c>
      <c r="O73" s="27" t="s">
        <v>165</v>
      </c>
    </row>
    <row r="74" spans="2:15" x14ac:dyDescent="0.25">
      <c r="B74" s="14" t="s">
        <v>40</v>
      </c>
      <c r="C74" s="14" t="s">
        <v>41</v>
      </c>
      <c r="D74" s="2">
        <v>14</v>
      </c>
      <c r="E74" s="14" t="s">
        <v>43</v>
      </c>
      <c r="F74" s="3">
        <v>338005.5</v>
      </c>
      <c r="G74" s="3"/>
      <c r="H74" s="3">
        <v>8450.14</v>
      </c>
      <c r="I74" s="3">
        <v>8450.14</v>
      </c>
      <c r="J74" s="2"/>
      <c r="K74" s="17">
        <f t="shared" si="1"/>
        <v>354905.78</v>
      </c>
      <c r="L74" s="17"/>
      <c r="M74" s="3"/>
      <c r="N74" s="26"/>
      <c r="O74" s="27" t="s">
        <v>165</v>
      </c>
    </row>
    <row r="75" spans="2:15" x14ac:dyDescent="0.25">
      <c r="B75" s="14" t="s">
        <v>42</v>
      </c>
      <c r="C75" s="14" t="s">
        <v>41</v>
      </c>
      <c r="D75" s="2">
        <v>48</v>
      </c>
      <c r="E75" s="14" t="s">
        <v>43</v>
      </c>
      <c r="F75" s="3">
        <v>428570.6</v>
      </c>
      <c r="G75" s="3"/>
      <c r="H75" s="3">
        <v>10714.27</v>
      </c>
      <c r="I75" s="3">
        <v>10714.27</v>
      </c>
      <c r="J75" s="2">
        <v>0.08</v>
      </c>
      <c r="K75" s="30">
        <f t="shared" si="1"/>
        <v>449999.22000000003</v>
      </c>
      <c r="L75" s="17">
        <f>SUM(K74:K75)</f>
        <v>804905</v>
      </c>
      <c r="M75" s="3">
        <v>804905</v>
      </c>
      <c r="N75" s="26">
        <f>L75-M75</f>
        <v>0</v>
      </c>
      <c r="O75" s="27" t="s">
        <v>165</v>
      </c>
    </row>
    <row r="76" spans="2:15" x14ac:dyDescent="0.25">
      <c r="B76" s="36" t="s">
        <v>22</v>
      </c>
      <c r="C76" s="36" t="s">
        <v>177</v>
      </c>
      <c r="D76" s="36">
        <v>228</v>
      </c>
      <c r="E76" s="36" t="s">
        <v>178</v>
      </c>
      <c r="F76" s="37">
        <v>89750</v>
      </c>
      <c r="G76" s="37"/>
      <c r="H76" s="37">
        <v>8335.7999999999993</v>
      </c>
      <c r="I76" s="37">
        <v>8335.7999999999993</v>
      </c>
      <c r="J76" s="37">
        <v>2870.4</v>
      </c>
      <c r="K76" s="37">
        <f t="shared" ref="K76:K81" si="2">F76+G76+H76+I76+J76</f>
        <v>109292</v>
      </c>
      <c r="L76" s="37"/>
      <c r="M76" s="37"/>
      <c r="N76" s="38"/>
      <c r="O76" s="27" t="s">
        <v>165</v>
      </c>
    </row>
    <row r="77" spans="2:15" x14ac:dyDescent="0.25">
      <c r="B77" s="36" t="s">
        <v>22</v>
      </c>
      <c r="C77" s="36" t="s">
        <v>177</v>
      </c>
      <c r="D77" s="36">
        <v>230</v>
      </c>
      <c r="E77" s="36" t="s">
        <v>178</v>
      </c>
      <c r="F77" s="37">
        <v>462340</v>
      </c>
      <c r="G77" s="37"/>
      <c r="H77" s="37">
        <v>42432.3</v>
      </c>
      <c r="I77" s="37">
        <v>42432.3</v>
      </c>
      <c r="J77" s="37">
        <v>9130.4</v>
      </c>
      <c r="K77" s="37">
        <f t="shared" si="2"/>
        <v>556335</v>
      </c>
      <c r="L77" s="37"/>
      <c r="M77" s="37"/>
      <c r="N77" s="38"/>
      <c r="O77" s="27" t="s">
        <v>165</v>
      </c>
    </row>
    <row r="78" spans="2:15" x14ac:dyDescent="0.25">
      <c r="B78" s="36" t="s">
        <v>142</v>
      </c>
      <c r="C78" s="36" t="s">
        <v>177</v>
      </c>
      <c r="D78" s="36">
        <v>385</v>
      </c>
      <c r="E78" s="36" t="s">
        <v>178</v>
      </c>
      <c r="F78" s="37">
        <v>447200</v>
      </c>
      <c r="G78" s="37"/>
      <c r="H78" s="37">
        <v>41040</v>
      </c>
      <c r="I78" s="37">
        <v>41040</v>
      </c>
      <c r="J78" s="37">
        <v>8800</v>
      </c>
      <c r="K78" s="37">
        <f t="shared" si="2"/>
        <v>538080</v>
      </c>
      <c r="L78" s="37"/>
      <c r="M78" s="37"/>
      <c r="N78" s="38"/>
      <c r="O78" s="27" t="s">
        <v>165</v>
      </c>
    </row>
    <row r="79" spans="2:15" x14ac:dyDescent="0.25">
      <c r="B79" s="36" t="s">
        <v>179</v>
      </c>
      <c r="C79" s="36" t="s">
        <v>177</v>
      </c>
      <c r="D79" s="36">
        <v>430</v>
      </c>
      <c r="E79" s="36" t="s">
        <v>178</v>
      </c>
      <c r="F79" s="37">
        <v>260300</v>
      </c>
      <c r="G79" s="37"/>
      <c r="H79" s="37">
        <v>23427</v>
      </c>
      <c r="I79" s="37">
        <v>23427</v>
      </c>
      <c r="J79" s="37">
        <v>0</v>
      </c>
      <c r="K79" s="39">
        <f t="shared" si="2"/>
        <v>307154</v>
      </c>
      <c r="L79" s="37">
        <f>SUM(K76:K79)</f>
        <v>1510861</v>
      </c>
      <c r="M79" s="37">
        <v>1510861</v>
      </c>
      <c r="N79" s="38">
        <f>L79-M79</f>
        <v>0</v>
      </c>
      <c r="O79" s="27" t="s">
        <v>165</v>
      </c>
    </row>
    <row r="80" spans="2:15" x14ac:dyDescent="0.25">
      <c r="B80" s="40" t="s">
        <v>10</v>
      </c>
      <c r="C80" s="36" t="s">
        <v>180</v>
      </c>
      <c r="D80" s="36">
        <v>31</v>
      </c>
      <c r="E80" s="36" t="s">
        <v>181</v>
      </c>
      <c r="F80" s="37">
        <v>292606.08000000002</v>
      </c>
      <c r="G80" s="35"/>
      <c r="H80" s="37">
        <v>7315.15</v>
      </c>
      <c r="I80" s="37">
        <v>7315.15</v>
      </c>
      <c r="J80" s="37">
        <v>-0.38</v>
      </c>
      <c r="K80" s="37">
        <f t="shared" si="2"/>
        <v>307236.00000000006</v>
      </c>
      <c r="L80" s="35"/>
      <c r="M80" s="35"/>
      <c r="N80" s="35"/>
      <c r="O80" s="27" t="s">
        <v>165</v>
      </c>
    </row>
    <row r="81" spans="2:15" x14ac:dyDescent="0.25">
      <c r="B81" s="40" t="s">
        <v>10</v>
      </c>
      <c r="C81" s="36" t="s">
        <v>180</v>
      </c>
      <c r="D81" s="36">
        <v>32</v>
      </c>
      <c r="E81" s="36" t="s">
        <v>181</v>
      </c>
      <c r="F81" s="37">
        <v>307874.08</v>
      </c>
      <c r="G81" s="35"/>
      <c r="H81" s="37">
        <v>7696.85</v>
      </c>
      <c r="I81" s="37">
        <v>7696.85</v>
      </c>
      <c r="J81" s="37">
        <v>0.22</v>
      </c>
      <c r="K81" s="39">
        <f t="shared" si="2"/>
        <v>323267.99999999994</v>
      </c>
      <c r="L81" s="41">
        <f>SUM(K80:K81)</f>
        <v>630504</v>
      </c>
      <c r="M81" s="38">
        <v>630504</v>
      </c>
      <c r="N81" s="38">
        <f>L81-M81</f>
        <v>0</v>
      </c>
      <c r="O81" s="27" t="s">
        <v>165</v>
      </c>
    </row>
    <row r="82" spans="2:15" x14ac:dyDescent="0.25">
      <c r="B82" s="14" t="s">
        <v>44</v>
      </c>
      <c r="C82" s="14" t="s">
        <v>45</v>
      </c>
      <c r="D82" s="2">
        <v>24</v>
      </c>
      <c r="E82" s="14" t="s">
        <v>143</v>
      </c>
      <c r="F82" s="3">
        <v>74018</v>
      </c>
      <c r="G82" s="3"/>
      <c r="H82" s="3">
        <v>6661.62</v>
      </c>
      <c r="I82" s="3">
        <v>6661.62</v>
      </c>
      <c r="J82" s="16">
        <v>-0.24</v>
      </c>
      <c r="K82" s="17">
        <f t="shared" si="1"/>
        <v>87340.999999999985</v>
      </c>
      <c r="L82" s="17"/>
      <c r="M82" s="3"/>
      <c r="N82" s="26"/>
      <c r="O82" s="27" t="s">
        <v>166</v>
      </c>
    </row>
    <row r="83" spans="2:15" x14ac:dyDescent="0.25">
      <c r="B83" s="14" t="s">
        <v>44</v>
      </c>
      <c r="C83" s="14" t="s">
        <v>45</v>
      </c>
      <c r="D83" s="2">
        <v>25</v>
      </c>
      <c r="E83" s="14" t="s">
        <v>143</v>
      </c>
      <c r="F83" s="3">
        <v>34676</v>
      </c>
      <c r="G83" s="3"/>
      <c r="H83" s="3">
        <v>3120.84</v>
      </c>
      <c r="I83" s="3">
        <v>3120.84</v>
      </c>
      <c r="J83" s="16">
        <v>-0.68</v>
      </c>
      <c r="K83" s="17">
        <f t="shared" si="1"/>
        <v>40916.999999999993</v>
      </c>
      <c r="L83" s="17"/>
      <c r="M83" s="3"/>
      <c r="N83" s="26"/>
      <c r="O83" s="27" t="s">
        <v>166</v>
      </c>
    </row>
    <row r="84" spans="2:15" x14ac:dyDescent="0.25">
      <c r="B84" s="14" t="s">
        <v>44</v>
      </c>
      <c r="C84" s="14" t="s">
        <v>45</v>
      </c>
      <c r="D84" s="2">
        <v>26</v>
      </c>
      <c r="E84" s="14" t="s">
        <v>143</v>
      </c>
      <c r="F84" s="3">
        <v>210609</v>
      </c>
      <c r="G84" s="3"/>
      <c r="H84" s="3">
        <v>18954.810000000001</v>
      </c>
      <c r="I84" s="3">
        <v>18954.810000000001</v>
      </c>
      <c r="J84" s="16">
        <v>-0.62</v>
      </c>
      <c r="K84" s="17">
        <f t="shared" si="1"/>
        <v>248518</v>
      </c>
      <c r="L84" s="17"/>
      <c r="M84" s="3"/>
      <c r="N84" s="26"/>
      <c r="O84" s="27" t="s">
        <v>166</v>
      </c>
    </row>
    <row r="85" spans="2:15" x14ac:dyDescent="0.25">
      <c r="B85" s="14" t="s">
        <v>44</v>
      </c>
      <c r="C85" s="14" t="s">
        <v>45</v>
      </c>
      <c r="D85" s="2">
        <v>27</v>
      </c>
      <c r="E85" s="14" t="s">
        <v>143</v>
      </c>
      <c r="F85" s="3">
        <v>79999</v>
      </c>
      <c r="G85" s="3"/>
      <c r="H85" s="3">
        <v>7199.91</v>
      </c>
      <c r="I85" s="3">
        <v>7199.91</v>
      </c>
      <c r="J85" s="16">
        <v>-0.82</v>
      </c>
      <c r="K85" s="17">
        <f t="shared" si="1"/>
        <v>94398</v>
      </c>
      <c r="L85" s="17"/>
      <c r="M85" s="3"/>
      <c r="N85" s="26"/>
      <c r="O85" s="27" t="s">
        <v>166</v>
      </c>
    </row>
    <row r="86" spans="2:15" x14ac:dyDescent="0.25">
      <c r="B86" s="14" t="s">
        <v>44</v>
      </c>
      <c r="C86" s="14" t="s">
        <v>45</v>
      </c>
      <c r="D86" s="2">
        <v>28</v>
      </c>
      <c r="E86" s="14" t="s">
        <v>143</v>
      </c>
      <c r="F86" s="3">
        <v>127118</v>
      </c>
      <c r="G86" s="3"/>
      <c r="H86" s="3">
        <v>11440.62</v>
      </c>
      <c r="I86" s="3">
        <v>11440.62</v>
      </c>
      <c r="J86" s="16">
        <v>-0.24</v>
      </c>
      <c r="K86" s="30">
        <f t="shared" si="1"/>
        <v>149999</v>
      </c>
      <c r="L86" s="17">
        <f>SUM(K82:K86)</f>
        <v>621173</v>
      </c>
      <c r="M86" s="3">
        <v>550000</v>
      </c>
      <c r="N86" s="26">
        <f>L86-M86</f>
        <v>71173</v>
      </c>
      <c r="O86" s="27" t="s">
        <v>166</v>
      </c>
    </row>
    <row r="87" spans="2:15" x14ac:dyDescent="0.25">
      <c r="B87" s="14" t="s">
        <v>182</v>
      </c>
      <c r="C87" s="14" t="s">
        <v>158</v>
      </c>
      <c r="D87" s="2">
        <v>144</v>
      </c>
      <c r="E87" s="14" t="s">
        <v>17</v>
      </c>
      <c r="F87" s="3">
        <v>91000</v>
      </c>
      <c r="G87" s="3">
        <v>16380</v>
      </c>
      <c r="H87" s="3"/>
      <c r="I87" s="3"/>
      <c r="J87" s="16"/>
      <c r="K87" s="30">
        <f t="shared" si="1"/>
        <v>107380</v>
      </c>
      <c r="L87" s="17">
        <f>K87</f>
        <v>107380</v>
      </c>
      <c r="M87" s="3"/>
      <c r="N87" s="26">
        <f>L87-M87</f>
        <v>107380</v>
      </c>
      <c r="O87" s="27" t="s">
        <v>113</v>
      </c>
    </row>
    <row r="88" spans="2:15" x14ac:dyDescent="0.25">
      <c r="B88" s="14" t="s">
        <v>184</v>
      </c>
      <c r="C88" s="14" t="s">
        <v>183</v>
      </c>
      <c r="D88" s="2">
        <v>3112001575</v>
      </c>
      <c r="E88" s="14" t="s">
        <v>17</v>
      </c>
      <c r="F88" s="3">
        <v>120000</v>
      </c>
      <c r="G88" s="3">
        <v>22608</v>
      </c>
      <c r="H88" s="3"/>
      <c r="I88" s="3"/>
      <c r="J88" s="16">
        <f>4400+1200</f>
        <v>5600</v>
      </c>
      <c r="K88" s="52">
        <f t="shared" si="1"/>
        <v>148208</v>
      </c>
      <c r="L88" s="17"/>
      <c r="M88" s="3">
        <v>0</v>
      </c>
      <c r="N88" s="26">
        <f>L88-M88</f>
        <v>0</v>
      </c>
      <c r="O88" s="27" t="s">
        <v>113</v>
      </c>
    </row>
    <row r="89" spans="2:15" x14ac:dyDescent="0.25">
      <c r="B89" s="44" t="s">
        <v>186</v>
      </c>
      <c r="C89" s="14" t="s">
        <v>183</v>
      </c>
      <c r="D89" s="45">
        <v>1624</v>
      </c>
      <c r="E89" s="14" t="s">
        <v>17</v>
      </c>
      <c r="F89" s="46">
        <v>120000</v>
      </c>
      <c r="G89" s="3">
        <v>22608</v>
      </c>
      <c r="H89" s="46"/>
      <c r="I89" s="46"/>
      <c r="J89" s="47">
        <v>5600</v>
      </c>
      <c r="K89" s="51">
        <f t="shared" si="1"/>
        <v>148208</v>
      </c>
      <c r="L89" s="48">
        <f>SUM(K88:K89)</f>
        <v>296416</v>
      </c>
      <c r="M89" s="46">
        <v>150000</v>
      </c>
      <c r="N89" s="49">
        <f>L89-M89</f>
        <v>146416</v>
      </c>
      <c r="O89" s="27" t="s">
        <v>113</v>
      </c>
    </row>
    <row r="90" spans="2:15" x14ac:dyDescent="0.25">
      <c r="B90" s="14" t="s">
        <v>186</v>
      </c>
      <c r="C90" s="14" t="s">
        <v>185</v>
      </c>
      <c r="D90" s="2">
        <v>448</v>
      </c>
      <c r="E90" s="14" t="s">
        <v>159</v>
      </c>
      <c r="F90" s="3">
        <v>164000</v>
      </c>
      <c r="G90" s="3">
        <v>29520</v>
      </c>
      <c r="H90" s="3"/>
      <c r="I90" s="3"/>
      <c r="J90" s="16"/>
      <c r="K90" s="30">
        <f t="shared" si="1"/>
        <v>193520</v>
      </c>
      <c r="L90" s="17">
        <f>K90</f>
        <v>193520</v>
      </c>
      <c r="M90" s="3">
        <v>100000</v>
      </c>
      <c r="N90" s="26">
        <f>L90-M90</f>
        <v>93520</v>
      </c>
      <c r="O90" s="27" t="s">
        <v>187</v>
      </c>
    </row>
    <row r="91" spans="2:15" x14ac:dyDescent="0.25">
      <c r="B91" s="44" t="s">
        <v>189</v>
      </c>
      <c r="C91" s="44" t="s">
        <v>190</v>
      </c>
      <c r="D91" s="45">
        <v>1</v>
      </c>
      <c r="E91" s="44" t="s">
        <v>191</v>
      </c>
      <c r="F91" s="46">
        <v>501424</v>
      </c>
      <c r="G91" s="46"/>
      <c r="H91" s="46"/>
      <c r="I91" s="46"/>
      <c r="J91" s="47"/>
      <c r="K91" s="30">
        <f t="shared" si="1"/>
        <v>501424</v>
      </c>
      <c r="L91" s="17">
        <f>K91</f>
        <v>501424</v>
      </c>
      <c r="M91" s="3">
        <v>500000</v>
      </c>
      <c r="N91" s="26">
        <f>L91-M91</f>
        <v>1424</v>
      </c>
      <c r="O91" s="50" t="s">
        <v>165</v>
      </c>
    </row>
    <row r="92" spans="2:15" x14ac:dyDescent="0.25">
      <c r="B92" s="44"/>
      <c r="C92" s="14"/>
      <c r="D92" s="45"/>
      <c r="E92" s="14"/>
      <c r="F92" s="46"/>
      <c r="G92" s="46"/>
      <c r="H92" s="46"/>
      <c r="I92" s="46"/>
      <c r="J92" s="47"/>
      <c r="K92" s="48"/>
      <c r="L92" s="48"/>
      <c r="M92" s="46"/>
      <c r="N92" s="49"/>
      <c r="O92" s="50"/>
    </row>
    <row r="93" spans="2:15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6"/>
      <c r="O93" s="27"/>
    </row>
    <row r="94" spans="2:15" x14ac:dyDescent="0.25">
      <c r="B94" s="4"/>
      <c r="C94" s="4"/>
      <c r="D94" s="4"/>
      <c r="E94" s="4"/>
      <c r="F94" s="23">
        <f>SUM(F4:F93)</f>
        <v>35348705.279999994</v>
      </c>
      <c r="G94" s="23">
        <f>SUM(G4:G93)</f>
        <v>2989056.26</v>
      </c>
      <c r="H94" s="23">
        <f>SUM(H4:H93)</f>
        <v>1509720.6599999995</v>
      </c>
      <c r="I94" s="23">
        <f>SUM(I4:I93)</f>
        <v>1509720.6599999995</v>
      </c>
      <c r="J94" s="23">
        <f>SUM(J4:J93)</f>
        <v>31999.94</v>
      </c>
      <c r="K94" s="23">
        <f>SUM(K4:K93)</f>
        <v>41389202.799999997</v>
      </c>
      <c r="L94" s="23">
        <f>SUM(L4:L93)</f>
        <v>41389202.799999997</v>
      </c>
      <c r="M94" s="23">
        <f>SUM(M4:M93)</f>
        <v>29711246.600000001</v>
      </c>
      <c r="N94" s="23">
        <f>SUM(N4:N93)</f>
        <v>11677956.199999999</v>
      </c>
      <c r="O94" s="28"/>
    </row>
    <row r="97" spans="2:14" ht="15.75" x14ac:dyDescent="0.25">
      <c r="B97" s="42" t="s">
        <v>169</v>
      </c>
      <c r="C97" s="42"/>
      <c r="D97" s="42"/>
      <c r="E97" s="42"/>
      <c r="F97" s="42"/>
      <c r="G97" s="42"/>
      <c r="H97" s="42"/>
      <c r="I97" s="42"/>
      <c r="J97" s="42"/>
      <c r="K97" s="42"/>
      <c r="L97" s="33"/>
    </row>
    <row r="98" spans="2:14" x14ac:dyDescent="0.25">
      <c r="B98" s="22" t="s">
        <v>162</v>
      </c>
      <c r="C98" s="7" t="s">
        <v>84</v>
      </c>
      <c r="D98" s="7" t="s">
        <v>156</v>
      </c>
      <c r="E98" s="7" t="s">
        <v>89</v>
      </c>
      <c r="F98" s="7" t="s">
        <v>151</v>
      </c>
      <c r="G98" s="7" t="s">
        <v>148</v>
      </c>
      <c r="H98" s="7" t="s">
        <v>149</v>
      </c>
      <c r="I98" s="7" t="s">
        <v>157</v>
      </c>
      <c r="J98" s="7" t="s">
        <v>150</v>
      </c>
      <c r="K98" s="7" t="s">
        <v>88</v>
      </c>
      <c r="L98" s="7"/>
      <c r="M98" s="7" t="s">
        <v>175</v>
      </c>
      <c r="N98" s="7" t="s">
        <v>176</v>
      </c>
    </row>
    <row r="99" spans="2:14" x14ac:dyDescent="0.25">
      <c r="B99" s="20">
        <v>1</v>
      </c>
      <c r="C99" s="2" t="s">
        <v>155</v>
      </c>
      <c r="D99" s="2" t="s">
        <v>153</v>
      </c>
      <c r="E99" s="2"/>
      <c r="F99" s="3">
        <v>180000</v>
      </c>
      <c r="G99" s="3"/>
      <c r="H99" s="3">
        <v>12780</v>
      </c>
      <c r="I99" s="3">
        <v>12780</v>
      </c>
      <c r="J99" s="3"/>
      <c r="K99" s="3">
        <f t="shared" ref="K99:K103" si="3">F99+G99+H99+I99+J99</f>
        <v>205560</v>
      </c>
      <c r="L99" s="3"/>
      <c r="M99" s="3"/>
      <c r="N99" s="3"/>
    </row>
    <row r="100" spans="2:14" x14ac:dyDescent="0.25">
      <c r="B100" s="20">
        <v>2</v>
      </c>
      <c r="C100" s="2" t="s">
        <v>155</v>
      </c>
      <c r="D100" s="2" t="s">
        <v>154</v>
      </c>
      <c r="E100" s="2"/>
      <c r="F100" s="3">
        <v>644000</v>
      </c>
      <c r="G100" s="3"/>
      <c r="H100" s="3">
        <v>57960</v>
      </c>
      <c r="I100" s="3">
        <v>57960</v>
      </c>
      <c r="J100" s="3"/>
      <c r="K100" s="5">
        <f t="shared" si="3"/>
        <v>759920</v>
      </c>
      <c r="L100" s="3">
        <f>SUM(K99:K100)</f>
        <v>965480</v>
      </c>
      <c r="M100" s="3">
        <v>950000</v>
      </c>
      <c r="N100" s="3">
        <f t="shared" ref="N100:N103" si="4">L100-M100</f>
        <v>15480</v>
      </c>
    </row>
    <row r="101" spans="2:14" x14ac:dyDescent="0.25">
      <c r="B101" s="20">
        <v>3</v>
      </c>
      <c r="C101" s="2" t="s">
        <v>61</v>
      </c>
      <c r="D101" s="2"/>
      <c r="E101" s="2" t="s">
        <v>160</v>
      </c>
      <c r="F101" s="3">
        <v>975000</v>
      </c>
      <c r="G101" s="3">
        <v>0</v>
      </c>
      <c r="H101" s="3">
        <v>87750</v>
      </c>
      <c r="I101" s="3">
        <v>87750</v>
      </c>
      <c r="J101" s="3"/>
      <c r="K101" s="6">
        <f t="shared" si="3"/>
        <v>1150500</v>
      </c>
      <c r="L101" s="3">
        <f t="shared" ref="L101:L103" si="5">K101</f>
        <v>1150500</v>
      </c>
      <c r="M101" s="3">
        <v>0</v>
      </c>
      <c r="N101" s="3">
        <f t="shared" si="4"/>
        <v>1150500</v>
      </c>
    </row>
    <row r="102" spans="2:14" x14ac:dyDescent="0.25">
      <c r="B102" s="20">
        <v>4</v>
      </c>
      <c r="C102" s="2" t="s">
        <v>1</v>
      </c>
      <c r="D102" s="2"/>
      <c r="E102" s="2" t="s">
        <v>161</v>
      </c>
      <c r="F102" s="3">
        <v>2630833</v>
      </c>
      <c r="G102" s="3">
        <v>473550</v>
      </c>
      <c r="H102" s="3"/>
      <c r="I102" s="3"/>
      <c r="J102" s="3"/>
      <c r="K102" s="6">
        <f t="shared" si="3"/>
        <v>3104383</v>
      </c>
      <c r="L102" s="3">
        <f t="shared" si="5"/>
        <v>3104383</v>
      </c>
      <c r="M102" s="3">
        <v>0</v>
      </c>
      <c r="N102" s="3">
        <f t="shared" si="4"/>
        <v>3104383</v>
      </c>
    </row>
    <row r="103" spans="2:14" x14ac:dyDescent="0.25">
      <c r="B103" s="21">
        <v>5</v>
      </c>
      <c r="C103" s="4" t="s">
        <v>167</v>
      </c>
      <c r="D103" s="4"/>
      <c r="E103" s="4" t="s">
        <v>168</v>
      </c>
      <c r="F103" s="5">
        <v>2432590</v>
      </c>
      <c r="G103" s="5"/>
      <c r="H103" s="5"/>
      <c r="I103" s="5"/>
      <c r="J103" s="5"/>
      <c r="K103" s="3">
        <f t="shared" si="3"/>
        <v>2432590</v>
      </c>
      <c r="L103" s="3">
        <f t="shared" si="5"/>
        <v>2432590</v>
      </c>
      <c r="M103" s="3">
        <v>0</v>
      </c>
      <c r="N103" s="3">
        <f t="shared" si="4"/>
        <v>2432590</v>
      </c>
    </row>
    <row r="104" spans="2:14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3">
        <f>SUM(K99:K103)</f>
        <v>7652953</v>
      </c>
      <c r="L104" s="23"/>
      <c r="M104" s="23">
        <f>SUM(M99:M103)</f>
        <v>950000</v>
      </c>
      <c r="N104" s="23">
        <f>SUM(N99:N103)</f>
        <v>6702953</v>
      </c>
    </row>
    <row r="105" spans="2:14" ht="15.75" thickBot="1" x14ac:dyDescent="0.3"/>
    <row r="106" spans="2:14" ht="15.75" thickBot="1" x14ac:dyDescent="0.3">
      <c r="H106" t="s">
        <v>163</v>
      </c>
      <c r="K106" s="24">
        <f>K94+K104</f>
        <v>49042155.799999997</v>
      </c>
      <c r="L106" s="24"/>
      <c r="M106" s="29">
        <f>M94+M104</f>
        <v>30661246.600000001</v>
      </c>
      <c r="N106" s="29">
        <f>N94+N104</f>
        <v>18380909.199999999</v>
      </c>
    </row>
  </sheetData>
  <mergeCells count="2">
    <mergeCell ref="B97:K97"/>
    <mergeCell ref="B2:K2"/>
  </mergeCells>
  <pageMargins left="0.31496062992125984" right="0.31496062992125984" top="0.74803149606299213" bottom="0.74803149606299213" header="0.31496062992125984" footer="0.31496062992125984"/>
  <pageSetup paperSize="9" scale="69" orientation="landscape" r:id="rId1"/>
  <rowBreaks count="1" manualBreakCount="1">
    <brk id="96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Updated 07.07.21</vt:lpstr>
      <vt:lpstr>Sheet2!Print_Area</vt:lpstr>
      <vt:lpstr>'Updated 07.07.21'!Print_Area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2021-07-15T11:58:03Z</dcterms:modified>
</cp:coreProperties>
</file>