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P&amp; L" sheetId="1" r:id="rId1"/>
    <sheet name="EV" sheetId="2" r:id="rId2"/>
    <sheet name="Assumption" sheetId="3" r:id="rId3"/>
    <sheet name="Balance sheet" sheetId="4" r:id="rId4"/>
    <sheet name="Sheet1" sheetId="5" r:id="rId5"/>
  </sheets>
  <calcPr calcId="152511"/>
</workbook>
</file>

<file path=xl/calcChain.xml><?xml version="1.0" encoding="utf-8"?>
<calcChain xmlns="http://schemas.openxmlformats.org/spreadsheetml/2006/main">
  <c r="J45" i="1" l="1"/>
  <c r="K45" i="1"/>
  <c r="L45" i="1"/>
  <c r="M45" i="1"/>
  <c r="N45" i="1"/>
  <c r="K44" i="1"/>
  <c r="L44" i="1"/>
  <c r="M44" i="1"/>
  <c r="N44" i="1"/>
  <c r="J44" i="1"/>
  <c r="K43" i="1"/>
  <c r="L43" i="1"/>
  <c r="M43" i="1"/>
  <c r="N43" i="1"/>
  <c r="J43" i="1"/>
  <c r="E14" i="2"/>
  <c r="F14" i="2"/>
  <c r="G14" i="2"/>
  <c r="H14" i="2"/>
  <c r="I14" i="2"/>
  <c r="D14" i="2"/>
  <c r="I11" i="2"/>
  <c r="H11" i="2"/>
  <c r="E11" i="2"/>
  <c r="F11" i="2"/>
  <c r="G11" i="2"/>
  <c r="D11" i="2"/>
  <c r="E12" i="2" l="1"/>
  <c r="E13" i="2" s="1"/>
  <c r="F12" i="2"/>
  <c r="F13" i="2" s="1"/>
  <c r="G12" i="2"/>
  <c r="G13" i="2" s="1"/>
  <c r="H12" i="2"/>
  <c r="H13" i="2" s="1"/>
  <c r="I12" i="2"/>
  <c r="I13" i="2" s="1"/>
  <c r="D12" i="2"/>
  <c r="D13" i="2" s="1"/>
  <c r="E10" i="2"/>
  <c r="F10" i="2"/>
  <c r="G10" i="2"/>
  <c r="H10" i="2"/>
  <c r="I10" i="2"/>
  <c r="D10" i="2"/>
  <c r="F9" i="2"/>
  <c r="G9" i="2"/>
  <c r="H9" i="2"/>
  <c r="I9" i="2"/>
  <c r="E9" i="2"/>
  <c r="D9" i="2"/>
  <c r="J11" i="2"/>
  <c r="I8" i="2" l="1"/>
  <c r="E8" i="2"/>
  <c r="F8" i="2" s="1"/>
  <c r="G8" i="2" s="1"/>
  <c r="H8" i="2" s="1"/>
  <c r="G49" i="4" l="1"/>
  <c r="F49" i="4"/>
  <c r="F50" i="4" s="1"/>
  <c r="E49" i="4"/>
  <c r="D49" i="4"/>
  <c r="I49" i="4"/>
  <c r="H49" i="4"/>
  <c r="H50" i="4" s="1"/>
  <c r="D50" i="4"/>
  <c r="G50" i="4"/>
  <c r="E50" i="4"/>
  <c r="I50" i="4"/>
  <c r="H39" i="4"/>
  <c r="G39" i="4"/>
  <c r="F39" i="4"/>
  <c r="E39" i="4"/>
  <c r="D39" i="4"/>
  <c r="I39" i="4"/>
  <c r="D30" i="4"/>
  <c r="G30" i="4"/>
  <c r="F30" i="4"/>
  <c r="E30" i="4"/>
  <c r="I30" i="4"/>
  <c r="H30" i="4"/>
  <c r="I25" i="4"/>
  <c r="E25" i="4"/>
  <c r="F25" i="4"/>
  <c r="G25" i="4"/>
  <c r="D25" i="4"/>
  <c r="E24" i="4"/>
  <c r="F24" i="4"/>
  <c r="G24" i="4"/>
  <c r="H24" i="4"/>
  <c r="H25" i="4" s="1"/>
  <c r="I24" i="4"/>
  <c r="D24" i="4"/>
  <c r="E17" i="4"/>
  <c r="F17" i="4"/>
  <c r="G17" i="4"/>
  <c r="H17" i="4"/>
  <c r="I17" i="4"/>
  <c r="D17" i="4"/>
  <c r="E7" i="4"/>
  <c r="F7" i="4" s="1"/>
  <c r="G7" i="4" s="1"/>
  <c r="H7" i="4" s="1"/>
  <c r="I7" i="4" s="1"/>
  <c r="L56" i="1" l="1"/>
  <c r="M56" i="1" s="1"/>
  <c r="N56" i="1" s="1"/>
  <c r="K56" i="1"/>
  <c r="Q28" i="3"/>
  <c r="P29" i="3"/>
  <c r="P30" i="3" s="1"/>
  <c r="G26" i="3"/>
  <c r="M27" i="3" l="1"/>
  <c r="M29" i="3" s="1"/>
  <c r="N29" i="3" s="1"/>
  <c r="M26" i="3"/>
  <c r="K26" i="3"/>
  <c r="K24" i="3"/>
  <c r="L20" i="3"/>
  <c r="P21" i="3"/>
  <c r="O21" i="3"/>
  <c r="M28" i="3" l="1"/>
  <c r="N27" i="3"/>
  <c r="E7" i="2"/>
  <c r="F7" i="2" s="1"/>
  <c r="G7" i="2" s="1"/>
  <c r="H7" i="2" s="1"/>
  <c r="I7" i="2" s="1"/>
  <c r="D41" i="1"/>
  <c r="D54" i="1" s="1"/>
  <c r="H36" i="1"/>
  <c r="I36" i="1"/>
  <c r="G36" i="1"/>
  <c r="F36" i="1"/>
  <c r="E36" i="1"/>
  <c r="E18" i="1"/>
  <c r="F18" i="1"/>
  <c r="G18" i="1"/>
  <c r="H18" i="1"/>
  <c r="I18" i="1"/>
  <c r="E12" i="1"/>
  <c r="E43" i="1" s="1"/>
  <c r="F12" i="1"/>
  <c r="G12" i="1"/>
  <c r="H12" i="1"/>
  <c r="I12" i="1"/>
  <c r="I55" i="1" s="1"/>
  <c r="D36" i="1"/>
  <c r="D18" i="1"/>
  <c r="D12" i="1"/>
  <c r="E7" i="1"/>
  <c r="F7" i="1" s="1"/>
  <c r="G7" i="1" s="1"/>
  <c r="H7" i="1" s="1"/>
  <c r="I7" i="1" s="1"/>
  <c r="J7" i="1" s="1"/>
  <c r="J55" i="1" l="1"/>
  <c r="K55" i="1" s="1"/>
  <c r="L55" i="1" s="1"/>
  <c r="M55" i="1" s="1"/>
  <c r="N55" i="1" s="1"/>
  <c r="G43" i="1"/>
  <c r="G55" i="1"/>
  <c r="F43" i="1"/>
  <c r="F55" i="1"/>
  <c r="D43" i="1"/>
  <c r="D55" i="1"/>
  <c r="H43" i="1"/>
  <c r="H55" i="1"/>
  <c r="H56" i="1" s="1"/>
  <c r="I43" i="1"/>
  <c r="E19" i="1"/>
  <c r="E55" i="1"/>
  <c r="E56" i="1" s="1"/>
  <c r="G41" i="1"/>
  <c r="G54" i="1" s="1"/>
  <c r="E21" i="1"/>
  <c r="E44" i="1"/>
  <c r="E45" i="1" s="1"/>
  <c r="K7" i="1"/>
  <c r="J41" i="1"/>
  <c r="J54" i="1" s="1"/>
  <c r="F41" i="1"/>
  <c r="F54" i="1" s="1"/>
  <c r="D19" i="1"/>
  <c r="H41" i="1"/>
  <c r="H54" i="1" s="1"/>
  <c r="I41" i="1"/>
  <c r="I54" i="1" s="1"/>
  <c r="E41" i="1"/>
  <c r="E54" i="1" s="1"/>
  <c r="I19" i="1"/>
  <c r="H19" i="1"/>
  <c r="G19" i="1"/>
  <c r="F19" i="1"/>
  <c r="F56" i="1" l="1"/>
  <c r="G56" i="1"/>
  <c r="I56" i="1"/>
  <c r="E23" i="1"/>
  <c r="E46" i="1"/>
  <c r="E47" i="1" s="1"/>
  <c r="F21" i="1"/>
  <c r="F44" i="1"/>
  <c r="F45" i="1" s="1"/>
  <c r="I21" i="1"/>
  <c r="I44" i="1"/>
  <c r="I45" i="1" s="1"/>
  <c r="H21" i="1"/>
  <c r="H44" i="1"/>
  <c r="H45" i="1" s="1"/>
  <c r="L7" i="1"/>
  <c r="K41" i="1"/>
  <c r="K54" i="1" s="1"/>
  <c r="D21" i="1"/>
  <c r="D44" i="1"/>
  <c r="D45" i="1" s="1"/>
  <c r="G21" i="1"/>
  <c r="G44" i="1"/>
  <c r="G45" i="1" s="1"/>
  <c r="G23" i="1" l="1"/>
  <c r="G46" i="1"/>
  <c r="G47" i="1" s="1"/>
  <c r="M7" i="1"/>
  <c r="L41" i="1"/>
  <c r="L54" i="1" s="1"/>
  <c r="I23" i="1"/>
  <c r="I46" i="1"/>
  <c r="I47" i="1" s="1"/>
  <c r="E48" i="1"/>
  <c r="E49" i="1" s="1"/>
  <c r="E29" i="1"/>
  <c r="E31" i="1" s="1"/>
  <c r="H23" i="1"/>
  <c r="H46" i="1"/>
  <c r="H47" i="1" s="1"/>
  <c r="F23" i="1"/>
  <c r="F46" i="1"/>
  <c r="F47" i="1" s="1"/>
  <c r="D23" i="1"/>
  <c r="D46" i="1"/>
  <c r="D47" i="1" s="1"/>
  <c r="F29" i="1" l="1"/>
  <c r="F31" i="1" s="1"/>
  <c r="F48" i="1"/>
  <c r="F49" i="1" s="1"/>
  <c r="N7" i="1"/>
  <c r="N41" i="1" s="1"/>
  <c r="N54" i="1" s="1"/>
  <c r="M41" i="1"/>
  <c r="M54" i="1" s="1"/>
  <c r="E37" i="1"/>
  <c r="E50" i="1"/>
  <c r="E51" i="1" s="1"/>
  <c r="D29" i="1"/>
  <c r="D48" i="1"/>
  <c r="D49" i="1" s="1"/>
  <c r="H29" i="1"/>
  <c r="H31" i="1" s="1"/>
  <c r="H48" i="1"/>
  <c r="H49" i="1" s="1"/>
  <c r="I29" i="1"/>
  <c r="I31" i="1" s="1"/>
  <c r="I48" i="1"/>
  <c r="I49" i="1" s="1"/>
  <c r="G29" i="1"/>
  <c r="G31" i="1" s="1"/>
  <c r="G48" i="1"/>
  <c r="G49" i="1" s="1"/>
  <c r="I37" i="1" l="1"/>
  <c r="I50" i="1"/>
  <c r="I51" i="1" s="1"/>
  <c r="D37" i="1"/>
  <c r="D50" i="1"/>
  <c r="D51" i="1" s="1"/>
  <c r="G37" i="1"/>
  <c r="G50" i="1"/>
  <c r="G51" i="1" s="1"/>
  <c r="H37" i="1"/>
  <c r="H50" i="1"/>
  <c r="H51" i="1" s="1"/>
  <c r="F37" i="1"/>
  <c r="F50" i="1"/>
  <c r="F51" i="1" s="1"/>
</calcChain>
</file>

<file path=xl/sharedStrings.xml><?xml version="1.0" encoding="utf-8"?>
<sst xmlns="http://schemas.openxmlformats.org/spreadsheetml/2006/main" count="156" uniqueCount="142">
  <si>
    <t>CHHAPRA HAJIPUR EXPRESSWAYS LTD.</t>
  </si>
  <si>
    <t>Profit &amp; Loss Statement</t>
  </si>
  <si>
    <t>Particular</t>
  </si>
  <si>
    <t>Revenue</t>
  </si>
  <si>
    <t>Revenue From Operation</t>
  </si>
  <si>
    <t>Construction Contract Revenue</t>
  </si>
  <si>
    <t>Other Income</t>
  </si>
  <si>
    <t>Total Revenue</t>
  </si>
  <si>
    <t>EXPENSES</t>
  </si>
  <si>
    <t xml:space="preserve">REVENUE </t>
  </si>
  <si>
    <t>Construction Contract Expenses</t>
  </si>
  <si>
    <t>operating Expenses</t>
  </si>
  <si>
    <t>Employees benefit expenses</t>
  </si>
  <si>
    <t>Administration and other Expenses</t>
  </si>
  <si>
    <t>Total Expenses</t>
  </si>
  <si>
    <t>EBITDA</t>
  </si>
  <si>
    <t>Depreciation &amp; Amortization</t>
  </si>
  <si>
    <t>EBIT</t>
  </si>
  <si>
    <t>Interest Expenses</t>
  </si>
  <si>
    <t>Profit before tax</t>
  </si>
  <si>
    <t>Adjustments for previous periods</t>
  </si>
  <si>
    <t>Current tax</t>
  </si>
  <si>
    <t>MAT Credit Entitlement</t>
  </si>
  <si>
    <t>Deffered Tax</t>
  </si>
  <si>
    <t>Tax Expenses:</t>
  </si>
  <si>
    <t>PAT</t>
  </si>
  <si>
    <t>Prior Period Adjustments</t>
  </si>
  <si>
    <t>Other Comprehensive income</t>
  </si>
  <si>
    <t>Nature</t>
  </si>
  <si>
    <t>Income tax effect</t>
  </si>
  <si>
    <t>Reclassification in P&amp;L in subsequent periods</t>
  </si>
  <si>
    <t>Not Reclassification in P&amp;L in subsequent periods</t>
  </si>
  <si>
    <t>Net Income for the year</t>
  </si>
  <si>
    <t>Total Comprehensive Income for the year</t>
  </si>
  <si>
    <t>HISTORICAL  ANALYSIS</t>
  </si>
  <si>
    <t>EBITDA Margin %</t>
  </si>
  <si>
    <t>EBIT Margin %</t>
  </si>
  <si>
    <t>PBT</t>
  </si>
  <si>
    <t>PBT Margin %</t>
  </si>
  <si>
    <t>PAT Margin %</t>
  </si>
  <si>
    <t>ENTERPRISE VALUATION</t>
  </si>
  <si>
    <t xml:space="preserve">Concession Agreement </t>
  </si>
  <si>
    <t>July, 28 2010</t>
  </si>
  <si>
    <t>NHAI OTFIS Facility</t>
  </si>
  <si>
    <t>175,00,00,000</t>
  </si>
  <si>
    <t>By the way of debt</t>
  </si>
  <si>
    <t>PCOD</t>
  </si>
  <si>
    <t>Half yearly annuity</t>
  </si>
  <si>
    <t>past 790 ,days</t>
  </si>
  <si>
    <t>283,23,00,000</t>
  </si>
  <si>
    <t>Commence Half yearly annuity</t>
  </si>
  <si>
    <t>54,43,00,000</t>
  </si>
  <si>
    <t>Tripartite agreement</t>
  </si>
  <si>
    <t>april, 2017</t>
  </si>
  <si>
    <t>may achieved for which the land is available by 30,april 2017</t>
  </si>
  <si>
    <t>13, MAY 2010</t>
  </si>
  <si>
    <t>LOA ISSUE DATE</t>
  </si>
  <si>
    <t>REVIVAL PACKAGE</t>
  </si>
  <si>
    <t>OTFIS 175CR.+ Missed annuities for 790 days 283.23 cr.</t>
  </si>
  <si>
    <t>State</t>
  </si>
  <si>
    <t>Bihar</t>
  </si>
  <si>
    <t>Project Name /Promoter</t>
  </si>
  <si>
    <t>Chhapra hajipur(sbi)</t>
  </si>
  <si>
    <t>madhucon projects ltd.</t>
  </si>
  <si>
    <t xml:space="preserve">NH NO. </t>
  </si>
  <si>
    <t>Concession pereiod</t>
  </si>
  <si>
    <t>15 years(upto 21st jan 2021)</t>
  </si>
  <si>
    <t>startn date</t>
  </si>
  <si>
    <t>jan, 2011</t>
  </si>
  <si>
    <t>Likely competion</t>
  </si>
  <si>
    <t>Project Length</t>
  </si>
  <si>
    <t>Details</t>
  </si>
  <si>
    <t xml:space="preserve">Length completed </t>
  </si>
  <si>
    <t>Physical progress%</t>
  </si>
  <si>
    <t>Financial progress %</t>
  </si>
  <si>
    <t>Money drawn from escrow account</t>
  </si>
  <si>
    <t>Project  Agreement</t>
  </si>
  <si>
    <t>28/07/2010</t>
  </si>
  <si>
    <t xml:space="preserve"> for 15 year including 2.5 year of construction period</t>
  </si>
  <si>
    <t xml:space="preserve">appointment date </t>
  </si>
  <si>
    <t>27/01/2011</t>
  </si>
  <si>
    <t xml:space="preserve">Sechduled completion date was </t>
  </si>
  <si>
    <t>24/07/2013</t>
  </si>
  <si>
    <t>% Land acquisition at appointment date</t>
  </si>
  <si>
    <t>( Delay due to la hinderence , slow progress by concessionaire, due to financial problem of party)</t>
  </si>
  <si>
    <t>work stopped bt them since june , 2012</t>
  </si>
  <si>
    <t>cure period notice to concessionaire under clause 37.1 of ca was issued on 27/04/2015</t>
  </si>
  <si>
    <t>requested for financial assistance to complete the balance work in the stretch of 51.74 km within next 12 months</t>
  </si>
  <si>
    <t>Notice of Terminate</t>
  </si>
  <si>
    <t>16/11/2015</t>
  </si>
  <si>
    <t>PROJECTIONS</t>
  </si>
  <si>
    <t>% growth</t>
  </si>
  <si>
    <t>Balance Sheet</t>
  </si>
  <si>
    <t>Assets</t>
  </si>
  <si>
    <t>Property, Plant &amp; E quipment</t>
  </si>
  <si>
    <t>Intangible Assets</t>
  </si>
  <si>
    <t>Project Cost</t>
  </si>
  <si>
    <t>Financial Assets</t>
  </si>
  <si>
    <t>Security Deposits</t>
  </si>
  <si>
    <t>Deffered Tax Assets(Net)</t>
  </si>
  <si>
    <t>Other Non-Current Assets</t>
  </si>
  <si>
    <t>Current Assets</t>
  </si>
  <si>
    <t>Inventories</t>
  </si>
  <si>
    <t>Cash &amp; Bank Balances</t>
  </si>
  <si>
    <t>Loans</t>
  </si>
  <si>
    <t>Other Current Assets</t>
  </si>
  <si>
    <t>Total(A)</t>
  </si>
  <si>
    <t>Total(B)</t>
  </si>
  <si>
    <t>Shareholder's Equity and Liabilities</t>
  </si>
  <si>
    <t>Non-Current Assets</t>
  </si>
  <si>
    <t>Equity</t>
  </si>
  <si>
    <t>Equity Share Capital</t>
  </si>
  <si>
    <t>Other Equity</t>
  </si>
  <si>
    <t>Liabilities</t>
  </si>
  <si>
    <t>Non-Current Liabilities</t>
  </si>
  <si>
    <t>Financial Liabilities</t>
  </si>
  <si>
    <t>Borrowings</t>
  </si>
  <si>
    <t>Others</t>
  </si>
  <si>
    <t>Provisions</t>
  </si>
  <si>
    <t xml:space="preserve">Deffered Tax Liabilities(Net) </t>
  </si>
  <si>
    <t>Other Non-Current Liabilities</t>
  </si>
  <si>
    <t>Current Liabilities</t>
  </si>
  <si>
    <t>Trade Payables</t>
  </si>
  <si>
    <t>MESE</t>
  </si>
  <si>
    <t>Creditors</t>
  </si>
  <si>
    <t>Other Current Liabilities</t>
  </si>
  <si>
    <t>Current Tax Liabilities</t>
  </si>
  <si>
    <t>Total Assets(A+B)</t>
  </si>
  <si>
    <t>Total Equity and Liabilities(C+D+E)</t>
  </si>
  <si>
    <t>Total(C)</t>
  </si>
  <si>
    <t>Total(D)</t>
  </si>
  <si>
    <t>Total(E)</t>
  </si>
  <si>
    <t>Explicit Period</t>
  </si>
  <si>
    <t>From</t>
  </si>
  <si>
    <t>To</t>
  </si>
  <si>
    <t>Payment to NHAI</t>
  </si>
  <si>
    <t>Operatin &amp; Maintenance Cost</t>
  </si>
  <si>
    <t>Annuity from NHAI</t>
  </si>
  <si>
    <t>EBITDA MARGIN %</t>
  </si>
  <si>
    <t>Revised EPC Cost</t>
  </si>
  <si>
    <t xml:space="preserve">  </t>
  </si>
  <si>
    <t>Tax Rate @ 25%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</si>
</sst>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&quot;FY&quot;\ 0\ &quot;A&quot;"/>
    <numFmt numFmtId="165" formatCode="&quot;FY&quot;\ 0\ &quot;P&quot;"/>
    <numFmt numFmtId="166" formatCode="_(* #,##0.0_);_(* \(#,##0.0\);_(* &quot;-&quot;??_);_(@_)"/>
    <numFmt numFmtId="167" formatCode="_(* #,##0_);_(* \(#,##0\);_(* &quot;-&quot;??_);_(@_)"/>
    <numFmt numFmtId="168" formatCode="0.0%"/>
    <numFmt numFmtId="169" formatCode="0.0"/>
    <numFmt numFmtId="170" formatCode="&quot;FY&quot;\ 0\ &quot;E&quot;"/>
  </numFmts>
  <fonts count="1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rgb="FF3333CC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8">
    <xf numFmtId="0" fontId="0" fillId="0" borderId="0" xfId="0"/>
    <xf numFmtId="0" fontId="2" fillId="2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top"/>
    </xf>
    <xf numFmtId="0" fontId="4" fillId="0" borderId="0" xfId="0" applyFon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167" fontId="0" fillId="0" borderId="0" xfId="1" applyNumberFormat="1" applyFont="1"/>
    <xf numFmtId="0" fontId="4" fillId="0" borderId="0" xfId="0" applyFont="1" applyAlignment="1">
      <alignment horizontal="left" indent="2"/>
    </xf>
    <xf numFmtId="167" fontId="0" fillId="0" borderId="0" xfId="0" applyNumberFormat="1"/>
    <xf numFmtId="0" fontId="4" fillId="0" borderId="0" xfId="0" applyFont="1" applyAlignment="1">
      <alignment horizontal="left"/>
    </xf>
    <xf numFmtId="0" fontId="0" fillId="0" borderId="0" xfId="0" applyFont="1" applyAlignment="1">
      <alignment horizontal="left" indent="1"/>
    </xf>
    <xf numFmtId="167" fontId="0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167" fontId="4" fillId="0" borderId="0" xfId="0" applyNumberFormat="1" applyFont="1" applyAlignment="1">
      <alignment horizontal="right"/>
    </xf>
    <xf numFmtId="167" fontId="4" fillId="0" borderId="0" xfId="1" applyNumberFormat="1" applyFont="1" applyAlignment="1">
      <alignment horizontal="right"/>
    </xf>
    <xf numFmtId="167" fontId="0" fillId="0" borderId="0" xfId="0" applyNumberFormat="1" applyAlignment="1">
      <alignment horizontal="right"/>
    </xf>
    <xf numFmtId="0" fontId="0" fillId="0" borderId="0" xfId="0" applyFont="1" applyAlignment="1">
      <alignment horizontal="left" indent="2"/>
    </xf>
    <xf numFmtId="0" fontId="0" fillId="0" borderId="0" xfId="0" applyFont="1"/>
    <xf numFmtId="167" fontId="3" fillId="0" borderId="0" xfId="1" applyNumberFormat="1" applyFont="1" applyAlignment="1">
      <alignment horizontal="right"/>
    </xf>
    <xf numFmtId="167" fontId="7" fillId="0" borderId="0" xfId="1" applyNumberFormat="1" applyFont="1" applyAlignment="1">
      <alignment horizontal="right"/>
    </xf>
    <xf numFmtId="167" fontId="0" fillId="0" borderId="0" xfId="0" applyNumberFormat="1" applyFont="1" applyAlignment="1">
      <alignment horizontal="right"/>
    </xf>
    <xf numFmtId="43" fontId="7" fillId="0" borderId="0" xfId="1" applyFont="1" applyAlignment="1">
      <alignment horizontal="right"/>
    </xf>
    <xf numFmtId="0" fontId="0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164" fontId="5" fillId="3" borderId="0" xfId="0" applyNumberFormat="1" applyFont="1" applyFill="1" applyAlignment="1">
      <alignment horizontal="right" vertical="center"/>
    </xf>
    <xf numFmtId="165" fontId="5" fillId="3" borderId="0" xfId="0" applyNumberFormat="1" applyFont="1" applyFill="1" applyAlignment="1">
      <alignment horizontal="right" vertical="center"/>
    </xf>
    <xf numFmtId="0" fontId="9" fillId="0" borderId="0" xfId="0" applyFont="1"/>
    <xf numFmtId="9" fontId="0" fillId="0" borderId="0" xfId="0" applyNumberFormat="1"/>
    <xf numFmtId="10" fontId="0" fillId="0" borderId="0" xfId="0" applyNumberFormat="1"/>
    <xf numFmtId="10" fontId="9" fillId="0" borderId="0" xfId="0" applyNumberFormat="1" applyFont="1" applyAlignment="1">
      <alignment horizontal="right"/>
    </xf>
    <xf numFmtId="17" fontId="0" fillId="0" borderId="0" xfId="0" applyNumberFormat="1"/>
    <xf numFmtId="169" fontId="0" fillId="0" borderId="0" xfId="0" applyNumberFormat="1"/>
    <xf numFmtId="170" fontId="5" fillId="3" borderId="0" xfId="0" applyNumberFormat="1" applyFont="1" applyFill="1" applyAlignment="1">
      <alignment horizontal="right" vertical="center"/>
    </xf>
    <xf numFmtId="9" fontId="0" fillId="0" borderId="0" xfId="2" applyFont="1"/>
    <xf numFmtId="167" fontId="0" fillId="4" borderId="0" xfId="1" applyNumberFormat="1" applyFont="1" applyFill="1"/>
    <xf numFmtId="166" fontId="7" fillId="0" borderId="0" xfId="1" applyNumberFormat="1" applyFont="1" applyAlignment="1">
      <alignment horizontal="right"/>
    </xf>
    <xf numFmtId="166" fontId="0" fillId="0" borderId="0" xfId="0" applyNumberFormat="1" applyFont="1" applyAlignment="1">
      <alignment horizontal="right"/>
    </xf>
    <xf numFmtId="168" fontId="7" fillId="0" borderId="0" xfId="1" applyNumberFormat="1" applyFont="1" applyAlignment="1">
      <alignment horizontal="right"/>
    </xf>
    <xf numFmtId="167" fontId="8" fillId="0" borderId="0" xfId="1" applyNumberFormat="1" applyFont="1" applyAlignment="1">
      <alignment horizontal="right"/>
    </xf>
    <xf numFmtId="0" fontId="1" fillId="3" borderId="0" xfId="0" applyFont="1" applyFill="1" applyAlignment="1">
      <alignment vertical="center"/>
    </xf>
    <xf numFmtId="0" fontId="4" fillId="0" borderId="0" xfId="0" applyFont="1" applyAlignment="1">
      <alignment horizontal="left" indent="1"/>
    </xf>
    <xf numFmtId="164" fontId="5" fillId="3" borderId="0" xfId="0" applyNumberFormat="1" applyFont="1" applyFill="1" applyAlignment="1">
      <alignment vertical="center"/>
    </xf>
    <xf numFmtId="165" fontId="5" fillId="3" borderId="0" xfId="0" applyNumberFormat="1" applyFont="1" applyFill="1" applyAlignment="1">
      <alignment vertical="center"/>
    </xf>
    <xf numFmtId="167" fontId="0" fillId="0" borderId="0" xfId="1" applyNumberFormat="1" applyFont="1" applyAlignment="1"/>
    <xf numFmtId="167" fontId="4" fillId="0" borderId="0" xfId="1" applyNumberFormat="1" applyFont="1" applyAlignment="1"/>
    <xf numFmtId="0" fontId="1" fillId="3" borderId="0" xfId="0" applyFont="1" applyFill="1" applyAlignment="1">
      <alignment horizontal="center" vertical="center"/>
    </xf>
    <xf numFmtId="9" fontId="10" fillId="0" borderId="0" xfId="0" applyNumberFormat="1" applyFont="1"/>
    <xf numFmtId="0" fontId="11" fillId="0" borderId="0" xfId="0" applyFont="1"/>
    <xf numFmtId="10" fontId="11" fillId="0" borderId="0" xfId="0" applyNumberFormat="1" applyFont="1" applyAlignment="1">
      <alignment horizontal="right"/>
    </xf>
    <xf numFmtId="9" fontId="0" fillId="0" borderId="0" xfId="0" applyNumberFormat="1" applyAlignment="1">
      <alignment horizontal="right"/>
    </xf>
    <xf numFmtId="15" fontId="1" fillId="3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2"/>
  <sheetViews>
    <sheetView showGridLines="0" tabSelected="1" workbookViewId="0">
      <selection activeCell="A20" sqref="A20"/>
    </sheetView>
  </sheetViews>
  <sheetFormatPr defaultRowHeight="15" x14ac:dyDescent="0.25"/>
  <cols>
    <col min="1" max="1" width="3.5703125" customWidth="1"/>
    <col min="2" max="2" width="47" customWidth="1"/>
    <col min="3" max="3" width="0.28515625" hidden="1" customWidth="1"/>
    <col min="4" max="4" width="16" bestFit="1" customWidth="1"/>
    <col min="5" max="6" width="14.28515625" bestFit="1" customWidth="1"/>
    <col min="7" max="9" width="15" bestFit="1" customWidth="1"/>
    <col min="10" max="14" width="15" customWidth="1"/>
  </cols>
  <sheetData>
    <row r="2" spans="2:14" ht="15" customHeight="1" x14ac:dyDescent="0.25">
      <c r="B2" s="55" t="s">
        <v>0</v>
      </c>
      <c r="C2" s="55"/>
      <c r="D2" s="55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ht="15" customHeight="1" x14ac:dyDescent="0.25">
      <c r="B3" s="55"/>
      <c r="C3" s="55"/>
      <c r="D3" s="55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ht="15" customHeight="1" x14ac:dyDescent="0.25">
      <c r="B4" s="56" t="s">
        <v>1</v>
      </c>
      <c r="C4" s="56"/>
      <c r="D4" s="56"/>
      <c r="E4" s="2"/>
      <c r="F4" s="2"/>
      <c r="G4" s="2"/>
      <c r="H4" s="2"/>
      <c r="I4" s="2"/>
      <c r="J4" s="3"/>
      <c r="K4" s="3"/>
      <c r="L4" s="3"/>
      <c r="M4" s="3"/>
      <c r="N4" s="3"/>
    </row>
    <row r="5" spans="2:14" ht="15" customHeight="1" x14ac:dyDescent="0.25">
      <c r="B5" s="56"/>
      <c r="C5" s="56"/>
      <c r="D5" s="56"/>
      <c r="E5" s="2"/>
      <c r="F5" s="2"/>
      <c r="G5" s="2"/>
      <c r="H5" s="2"/>
      <c r="I5" s="2"/>
      <c r="J5" s="3"/>
      <c r="K5" s="3"/>
      <c r="L5" s="3"/>
      <c r="M5" s="3"/>
      <c r="N5" s="3"/>
    </row>
    <row r="7" spans="2:14" ht="20.25" customHeight="1" x14ac:dyDescent="0.25">
      <c r="B7" s="5" t="s">
        <v>2</v>
      </c>
      <c r="C7" s="6"/>
      <c r="D7" s="28">
        <v>2016</v>
      </c>
      <c r="E7" s="28">
        <f>D7+1</f>
        <v>2017</v>
      </c>
      <c r="F7" s="28">
        <f t="shared" ref="F7:I7" si="0">E7+1</f>
        <v>2018</v>
      </c>
      <c r="G7" s="28">
        <f t="shared" si="0"/>
        <v>2019</v>
      </c>
      <c r="H7" s="28">
        <f t="shared" si="0"/>
        <v>2020</v>
      </c>
      <c r="I7" s="29">
        <f t="shared" si="0"/>
        <v>2021</v>
      </c>
      <c r="J7" s="36">
        <f t="shared" ref="J7" si="1">I7+1</f>
        <v>2022</v>
      </c>
      <c r="K7" s="36">
        <f t="shared" ref="K7" si="2">J7+1</f>
        <v>2023</v>
      </c>
      <c r="L7" s="36">
        <f t="shared" ref="L7" si="3">K7+1</f>
        <v>2024</v>
      </c>
      <c r="M7" s="36">
        <f t="shared" ref="M7" si="4">L7+1</f>
        <v>2025</v>
      </c>
      <c r="N7" s="36">
        <f t="shared" ref="N7" si="5">M7+1</f>
        <v>2026</v>
      </c>
    </row>
    <row r="8" spans="2:14" ht="18" customHeight="1" x14ac:dyDescent="0.25">
      <c r="B8" s="7" t="s">
        <v>9</v>
      </c>
    </row>
    <row r="9" spans="2:14" x14ac:dyDescent="0.25">
      <c r="B9" s="9" t="s">
        <v>4</v>
      </c>
      <c r="D9" s="23">
        <v>455275684</v>
      </c>
      <c r="E9" s="23">
        <v>496728516</v>
      </c>
      <c r="F9" s="23">
        <v>405400430</v>
      </c>
      <c r="G9" s="23">
        <v>0</v>
      </c>
      <c r="H9" s="23">
        <v>0</v>
      </c>
      <c r="I9" s="23">
        <v>11971394</v>
      </c>
    </row>
    <row r="10" spans="2:14" x14ac:dyDescent="0.25">
      <c r="B10" s="9" t="s">
        <v>5</v>
      </c>
      <c r="D10" s="23">
        <v>160856536</v>
      </c>
      <c r="E10" s="23">
        <v>791320995</v>
      </c>
      <c r="F10" s="23">
        <v>1316012534</v>
      </c>
      <c r="G10" s="23">
        <v>535231920</v>
      </c>
      <c r="H10" s="23">
        <v>86029456</v>
      </c>
      <c r="I10" s="23">
        <v>670192893</v>
      </c>
    </row>
    <row r="11" spans="2:14" x14ac:dyDescent="0.25">
      <c r="B11" s="9" t="s">
        <v>6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</row>
    <row r="12" spans="2:14" ht="17.25" customHeight="1" x14ac:dyDescent="0.25">
      <c r="B12" s="11" t="s">
        <v>7</v>
      </c>
      <c r="C12" s="7"/>
      <c r="D12" s="17">
        <f>SUM(D9:D11)</f>
        <v>616132220</v>
      </c>
      <c r="E12" s="17">
        <f t="shared" ref="E12:I12" si="6">SUM(E9:E11)</f>
        <v>1288049511</v>
      </c>
      <c r="F12" s="17">
        <f t="shared" si="6"/>
        <v>1721412964</v>
      </c>
      <c r="G12" s="17">
        <f t="shared" si="6"/>
        <v>535231920</v>
      </c>
      <c r="H12" s="17">
        <f t="shared" si="6"/>
        <v>86029456</v>
      </c>
      <c r="I12" s="17">
        <f t="shared" si="6"/>
        <v>682164287</v>
      </c>
    </row>
    <row r="13" spans="2:14" ht="18" customHeight="1" x14ac:dyDescent="0.25">
      <c r="B13" s="13" t="s">
        <v>8</v>
      </c>
      <c r="D13" s="16"/>
      <c r="E13" s="16"/>
      <c r="F13" s="16"/>
      <c r="G13" s="16"/>
      <c r="H13" s="16"/>
      <c r="I13" s="16"/>
    </row>
    <row r="14" spans="2:14" x14ac:dyDescent="0.25">
      <c r="B14" s="9" t="s">
        <v>10</v>
      </c>
      <c r="D14" s="23">
        <v>160856536</v>
      </c>
      <c r="E14" s="23">
        <v>791320995</v>
      </c>
      <c r="F14" s="23">
        <v>1316012534</v>
      </c>
      <c r="G14" s="23">
        <v>535231920</v>
      </c>
      <c r="H14" s="23">
        <v>86029456</v>
      </c>
      <c r="I14" s="23">
        <v>670192893</v>
      </c>
    </row>
    <row r="15" spans="2:14" x14ac:dyDescent="0.25">
      <c r="B15" s="9" t="s">
        <v>11</v>
      </c>
      <c r="D15" s="23">
        <v>0</v>
      </c>
      <c r="E15" s="23">
        <v>0</v>
      </c>
      <c r="F15" s="23">
        <v>0</v>
      </c>
      <c r="G15" s="23">
        <v>8240970</v>
      </c>
      <c r="H15" s="23">
        <v>81945129</v>
      </c>
      <c r="I15" s="23">
        <v>11971394</v>
      </c>
    </row>
    <row r="16" spans="2:14" x14ac:dyDescent="0.25">
      <c r="B16" s="9" t="s">
        <v>12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</row>
    <row r="17" spans="2:14" x14ac:dyDescent="0.25">
      <c r="B17" s="9" t="s">
        <v>13</v>
      </c>
      <c r="D17" s="23">
        <v>307899</v>
      </c>
      <c r="E17" s="23">
        <v>156207</v>
      </c>
      <c r="F17" s="23">
        <v>302952</v>
      </c>
      <c r="G17" s="23">
        <v>68386</v>
      </c>
      <c r="H17" s="23">
        <v>14106</v>
      </c>
      <c r="I17" s="23">
        <v>128165</v>
      </c>
    </row>
    <row r="18" spans="2:14" ht="17.25" customHeight="1" x14ac:dyDescent="0.25">
      <c r="B18" s="20" t="s">
        <v>14</v>
      </c>
      <c r="C18" s="21"/>
      <c r="D18" s="24">
        <f>SUM(D14:D17)</f>
        <v>161164435</v>
      </c>
      <c r="E18" s="24">
        <f t="shared" ref="E18:I18" si="7">SUM(E14:E17)</f>
        <v>791477202</v>
      </c>
      <c r="F18" s="24">
        <f t="shared" si="7"/>
        <v>1316315486</v>
      </c>
      <c r="G18" s="24">
        <f t="shared" si="7"/>
        <v>543541276</v>
      </c>
      <c r="H18" s="24">
        <f t="shared" si="7"/>
        <v>167988691</v>
      </c>
      <c r="I18" s="24">
        <f t="shared" si="7"/>
        <v>682292452</v>
      </c>
    </row>
    <row r="19" spans="2:14" ht="18.75" customHeight="1" x14ac:dyDescent="0.25">
      <c r="B19" s="13" t="s">
        <v>15</v>
      </c>
      <c r="D19" s="18">
        <f>D12-D18</f>
        <v>454967785</v>
      </c>
      <c r="E19" s="18">
        <f t="shared" ref="E19:I19" si="8">E12-E18</f>
        <v>496572309</v>
      </c>
      <c r="F19" s="18">
        <f t="shared" si="8"/>
        <v>405097478</v>
      </c>
      <c r="G19" s="18">
        <f t="shared" si="8"/>
        <v>-8309356</v>
      </c>
      <c r="H19" s="18">
        <f t="shared" si="8"/>
        <v>-81959235</v>
      </c>
      <c r="I19" s="18">
        <f t="shared" si="8"/>
        <v>-128165</v>
      </c>
      <c r="J19" s="18"/>
      <c r="K19" s="18"/>
      <c r="L19" s="18"/>
      <c r="M19" s="18"/>
      <c r="N19" s="18"/>
    </row>
    <row r="20" spans="2:14" x14ac:dyDescent="0.25">
      <c r="B20" s="9" t="s">
        <v>16</v>
      </c>
      <c r="D20" s="23">
        <v>0</v>
      </c>
      <c r="E20" s="23">
        <v>18203</v>
      </c>
      <c r="F20" s="23">
        <v>13363</v>
      </c>
      <c r="G20" s="23">
        <v>8129</v>
      </c>
      <c r="H20" s="23">
        <v>5375</v>
      </c>
      <c r="I20" s="23">
        <v>0</v>
      </c>
    </row>
    <row r="21" spans="2:14" ht="18" customHeight="1" x14ac:dyDescent="0.25">
      <c r="B21" s="13" t="s">
        <v>17</v>
      </c>
      <c r="D21" s="17">
        <f>D19-D20</f>
        <v>454967785</v>
      </c>
      <c r="E21" s="17">
        <f>E19-E20</f>
        <v>496554106</v>
      </c>
      <c r="F21" s="17">
        <f>F19-F20</f>
        <v>405084115</v>
      </c>
      <c r="G21" s="17">
        <f t="shared" ref="G21:I21" si="9">G19-G20</f>
        <v>-8317485</v>
      </c>
      <c r="H21" s="17">
        <f t="shared" si="9"/>
        <v>-81964610</v>
      </c>
      <c r="I21" s="17">
        <f t="shared" si="9"/>
        <v>-128165</v>
      </c>
    </row>
    <row r="22" spans="2:14" x14ac:dyDescent="0.25">
      <c r="B22" s="9" t="s">
        <v>18</v>
      </c>
      <c r="D22" s="23">
        <v>767369439</v>
      </c>
      <c r="E22" s="23">
        <v>722868491</v>
      </c>
      <c r="F22" s="23">
        <v>549942712</v>
      </c>
      <c r="G22" s="23">
        <v>1888854693</v>
      </c>
      <c r="H22" s="23">
        <v>1102461746</v>
      </c>
      <c r="I22" s="23">
        <v>2350501218</v>
      </c>
    </row>
    <row r="23" spans="2:14" ht="18.75" customHeight="1" x14ac:dyDescent="0.25">
      <c r="B23" s="7" t="s">
        <v>19</v>
      </c>
      <c r="D23" s="17">
        <f>D21-D22</f>
        <v>-312401654</v>
      </c>
      <c r="E23" s="17">
        <f>E21-E22</f>
        <v>-226314385</v>
      </c>
      <c r="F23" s="17">
        <f t="shared" ref="F23:I23" si="10">F21-F22</f>
        <v>-144858597</v>
      </c>
      <c r="G23" s="17">
        <f t="shared" si="10"/>
        <v>-1897172178</v>
      </c>
      <c r="H23" s="17">
        <f t="shared" si="10"/>
        <v>-1184426356</v>
      </c>
      <c r="I23" s="17">
        <f t="shared" si="10"/>
        <v>-2350629383</v>
      </c>
    </row>
    <row r="24" spans="2:14" x14ac:dyDescent="0.25">
      <c r="B24" s="7" t="s">
        <v>24</v>
      </c>
      <c r="D24" s="16"/>
      <c r="E24" s="16"/>
      <c r="F24" s="16"/>
      <c r="G24" s="16"/>
      <c r="H24" s="16"/>
      <c r="I24" s="16"/>
    </row>
    <row r="25" spans="2:14" x14ac:dyDescent="0.25">
      <c r="B25" s="8" t="s">
        <v>21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</row>
    <row r="26" spans="2:14" x14ac:dyDescent="0.25">
      <c r="B26" s="8" t="s">
        <v>20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</row>
    <row r="27" spans="2:14" x14ac:dyDescent="0.25">
      <c r="B27" s="8" t="s">
        <v>22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</row>
    <row r="28" spans="2:14" x14ac:dyDescent="0.25">
      <c r="B28" s="8" t="s">
        <v>23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</row>
    <row r="29" spans="2:14" ht="18" customHeight="1" x14ac:dyDescent="0.25">
      <c r="B29" s="26" t="s">
        <v>25</v>
      </c>
      <c r="C29" s="21"/>
      <c r="D29" s="24">
        <f>D23-D25-D26-D27-D28</f>
        <v>-312401654</v>
      </c>
      <c r="E29" s="24">
        <f>E23-E25-E26-E27-E28</f>
        <v>-226314385</v>
      </c>
      <c r="F29" s="24">
        <f>F23-F25-F26-F27-F28</f>
        <v>-144858597</v>
      </c>
      <c r="G29" s="24">
        <f t="shared" ref="G29:I29" si="11">G23-G25-G26-G27-G28</f>
        <v>-1897172178</v>
      </c>
      <c r="H29" s="24">
        <f t="shared" si="11"/>
        <v>-1184426356</v>
      </c>
      <c r="I29" s="24">
        <f t="shared" si="11"/>
        <v>-2350629383</v>
      </c>
    </row>
    <row r="30" spans="2:14" x14ac:dyDescent="0.25">
      <c r="B30" s="8" t="s">
        <v>26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</row>
    <row r="31" spans="2:14" ht="18" customHeight="1" x14ac:dyDescent="0.25">
      <c r="B31" s="7" t="s">
        <v>32</v>
      </c>
      <c r="D31" s="18" t="s">
        <v>140</v>
      </c>
      <c r="E31" s="18">
        <f>E29-E30</f>
        <v>-226314385</v>
      </c>
      <c r="F31" s="18">
        <f t="shared" ref="F31:I31" si="12">F29-F30</f>
        <v>-144858597</v>
      </c>
      <c r="G31" s="18">
        <f t="shared" si="12"/>
        <v>-1897172178</v>
      </c>
      <c r="H31" s="18">
        <f t="shared" si="12"/>
        <v>-1184426356</v>
      </c>
      <c r="I31" s="18">
        <f t="shared" si="12"/>
        <v>-2350629383</v>
      </c>
    </row>
    <row r="32" spans="2:14" x14ac:dyDescent="0.25">
      <c r="B32" s="14" t="s">
        <v>28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</row>
    <row r="33" spans="2:14" x14ac:dyDescent="0.25">
      <c r="B33" s="14" t="s">
        <v>29</v>
      </c>
      <c r="D33" s="27"/>
      <c r="E33" s="27"/>
      <c r="F33" s="27"/>
      <c r="G33" s="27"/>
      <c r="H33" s="27"/>
      <c r="I33" s="27"/>
    </row>
    <row r="34" spans="2:14" x14ac:dyDescent="0.25">
      <c r="B34" s="9" t="s">
        <v>30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</row>
    <row r="35" spans="2:14" x14ac:dyDescent="0.25">
      <c r="B35" s="9" t="s">
        <v>31</v>
      </c>
      <c r="D35" s="23">
        <v>145726</v>
      </c>
      <c r="E35" s="23">
        <v>21099</v>
      </c>
      <c r="F35" s="23">
        <v>0</v>
      </c>
      <c r="G35" s="23">
        <v>0</v>
      </c>
      <c r="H35" s="23">
        <v>0</v>
      </c>
      <c r="I35" s="23">
        <v>0</v>
      </c>
    </row>
    <row r="36" spans="2:14" x14ac:dyDescent="0.25">
      <c r="B36" s="20" t="s">
        <v>27</v>
      </c>
      <c r="C36" s="21"/>
      <c r="D36" s="22">
        <f>D32+D34+D35</f>
        <v>145726</v>
      </c>
      <c r="E36" s="22">
        <f>E32+E34+E35</f>
        <v>21099</v>
      </c>
      <c r="F36" s="22">
        <f>F32+F34+F35</f>
        <v>0</v>
      </c>
      <c r="G36" s="22">
        <f>G32+G34+G35</f>
        <v>0</v>
      </c>
      <c r="H36" s="22">
        <f t="shared" ref="H36:I36" si="13">H32+H34+H35</f>
        <v>0</v>
      </c>
      <c r="I36" s="22">
        <f t="shared" si="13"/>
        <v>0</v>
      </c>
    </row>
    <row r="37" spans="2:14" ht="18.75" customHeight="1" x14ac:dyDescent="0.25">
      <c r="B37" s="7" t="s">
        <v>33</v>
      </c>
      <c r="D37" s="17" t="e">
        <f>D31+D36</f>
        <v>#VALUE!</v>
      </c>
      <c r="E37" s="17">
        <f>E31+E36</f>
        <v>-226293286</v>
      </c>
      <c r="F37" s="17">
        <f>F31+F36</f>
        <v>-144858597</v>
      </c>
      <c r="G37" s="17">
        <f t="shared" ref="G37:I37" si="14">G31+G36</f>
        <v>-1897172178</v>
      </c>
      <c r="H37" s="17">
        <f t="shared" si="14"/>
        <v>-1184426356</v>
      </c>
      <c r="I37" s="17">
        <f t="shared" si="14"/>
        <v>-2350629383</v>
      </c>
    </row>
    <row r="41" spans="2:14" ht="24.75" customHeight="1" x14ac:dyDescent="0.25">
      <c r="B41" s="5" t="s">
        <v>34</v>
      </c>
      <c r="C41" s="5"/>
      <c r="D41" s="28">
        <f>D7</f>
        <v>2016</v>
      </c>
      <c r="E41" s="28">
        <f t="shared" ref="E41:N41" si="15">E7</f>
        <v>2017</v>
      </c>
      <c r="F41" s="28">
        <f t="shared" si="15"/>
        <v>2018</v>
      </c>
      <c r="G41" s="28">
        <f t="shared" si="15"/>
        <v>2019</v>
      </c>
      <c r="H41" s="28">
        <f t="shared" si="15"/>
        <v>2020</v>
      </c>
      <c r="I41" s="28">
        <f t="shared" si="15"/>
        <v>2021</v>
      </c>
      <c r="J41" s="28">
        <f t="shared" si="15"/>
        <v>2022</v>
      </c>
      <c r="K41" s="28">
        <f t="shared" si="15"/>
        <v>2023</v>
      </c>
      <c r="L41" s="28">
        <f t="shared" si="15"/>
        <v>2024</v>
      </c>
      <c r="M41" s="28">
        <f t="shared" si="15"/>
        <v>2025</v>
      </c>
      <c r="N41" s="28">
        <f t="shared" si="15"/>
        <v>2026</v>
      </c>
    </row>
    <row r="42" spans="2:14" x14ac:dyDescent="0.25">
      <c r="D42" s="16"/>
      <c r="E42" s="16"/>
      <c r="F42" s="16"/>
      <c r="G42" s="16"/>
      <c r="H42" s="16"/>
      <c r="I42" s="16"/>
    </row>
    <row r="43" spans="2:14" x14ac:dyDescent="0.25">
      <c r="B43" t="s">
        <v>3</v>
      </c>
      <c r="D43" s="19">
        <f>D12</f>
        <v>616132220</v>
      </c>
      <c r="E43" s="19">
        <f t="shared" ref="E43:I43" si="16">E12</f>
        <v>1288049511</v>
      </c>
      <c r="F43" s="19">
        <f t="shared" si="16"/>
        <v>1721412964</v>
      </c>
      <c r="G43" s="19">
        <f t="shared" si="16"/>
        <v>535231920</v>
      </c>
      <c r="H43" s="19">
        <f t="shared" si="16"/>
        <v>86029456</v>
      </c>
      <c r="I43" s="19">
        <f t="shared" si="16"/>
        <v>682164287</v>
      </c>
      <c r="J43" s="12">
        <f>EV!D10</f>
        <v>899100000</v>
      </c>
      <c r="K43" s="12">
        <f>EV!E10</f>
        <v>1308600000</v>
      </c>
      <c r="L43" s="12">
        <f>EV!F10</f>
        <v>1308600000</v>
      </c>
      <c r="M43" s="12">
        <f>EV!G10</f>
        <v>1308600000</v>
      </c>
      <c r="N43" s="12">
        <f>EV!H10</f>
        <v>1308600000</v>
      </c>
    </row>
    <row r="44" spans="2:14" x14ac:dyDescent="0.25">
      <c r="B44" t="s">
        <v>15</v>
      </c>
      <c r="D44" s="19">
        <f>D19</f>
        <v>454967785</v>
      </c>
      <c r="E44" s="19">
        <f t="shared" ref="E44:I44" si="17">E19</f>
        <v>496572309</v>
      </c>
      <c r="F44" s="19">
        <f t="shared" si="17"/>
        <v>405097478</v>
      </c>
      <c r="G44" s="19">
        <f t="shared" si="17"/>
        <v>-8309356</v>
      </c>
      <c r="H44" s="19">
        <f t="shared" si="17"/>
        <v>-81959235</v>
      </c>
      <c r="I44" s="19">
        <f t="shared" si="17"/>
        <v>-128165</v>
      </c>
      <c r="J44" s="12">
        <f>EV!D12</f>
        <v>806587000</v>
      </c>
      <c r="K44" s="12">
        <f>EV!E12</f>
        <v>1216087000</v>
      </c>
      <c r="L44" s="12">
        <f>EV!F12</f>
        <v>1216087000</v>
      </c>
      <c r="M44" s="12">
        <f>EV!G12</f>
        <v>1216087000</v>
      </c>
      <c r="N44" s="12">
        <f>EV!H12</f>
        <v>846035000</v>
      </c>
    </row>
    <row r="45" spans="2:14" x14ac:dyDescent="0.25">
      <c r="B45" s="30" t="s">
        <v>35</v>
      </c>
      <c r="D45" s="33">
        <f>D44/D43</f>
        <v>0.73842556878457033</v>
      </c>
      <c r="E45" s="33">
        <f t="shared" ref="E45:N45" si="18">E44/E43</f>
        <v>0.38552268741166423</v>
      </c>
      <c r="F45" s="33">
        <f t="shared" si="18"/>
        <v>0.23532846938638485</v>
      </c>
      <c r="G45" s="33">
        <f t="shared" si="18"/>
        <v>-1.5524776623935284E-2</v>
      </c>
      <c r="H45" s="33">
        <f t="shared" si="18"/>
        <v>-0.95268805372894605</v>
      </c>
      <c r="I45" s="33">
        <f t="shared" si="18"/>
        <v>-1.8787996153190589E-4</v>
      </c>
      <c r="J45" s="33">
        <f t="shared" si="18"/>
        <v>0.8971048826604382</v>
      </c>
      <c r="K45" s="33">
        <f t="shared" si="18"/>
        <v>0.92930383616078249</v>
      </c>
      <c r="L45" s="33">
        <f t="shared" si="18"/>
        <v>0.92930383616078249</v>
      </c>
      <c r="M45" s="33">
        <f t="shared" si="18"/>
        <v>0.92930383616078249</v>
      </c>
      <c r="N45" s="33">
        <f t="shared" si="18"/>
        <v>0.64651918080391257</v>
      </c>
    </row>
    <row r="46" spans="2:14" x14ac:dyDescent="0.25">
      <c r="B46" t="s">
        <v>17</v>
      </c>
      <c r="D46" s="19">
        <f>D21</f>
        <v>454967785</v>
      </c>
      <c r="E46" s="19">
        <f t="shared" ref="E46:I46" si="19">E21</f>
        <v>496554106</v>
      </c>
      <c r="F46" s="19">
        <f t="shared" si="19"/>
        <v>405084115</v>
      </c>
      <c r="G46" s="19">
        <f t="shared" si="19"/>
        <v>-8317485</v>
      </c>
      <c r="H46" s="19">
        <f t="shared" si="19"/>
        <v>-81964610</v>
      </c>
      <c r="I46" s="19">
        <f t="shared" si="19"/>
        <v>-128165</v>
      </c>
    </row>
    <row r="47" spans="2:14" x14ac:dyDescent="0.25">
      <c r="B47" s="30" t="s">
        <v>36</v>
      </c>
      <c r="D47" s="33">
        <f>D46/D43</f>
        <v>0.73842556878457033</v>
      </c>
      <c r="E47" s="33">
        <f t="shared" ref="E47:I47" si="20">E46/E43</f>
        <v>0.38550855519093474</v>
      </c>
      <c r="F47" s="33">
        <f t="shared" si="20"/>
        <v>0.23532070657741369</v>
      </c>
      <c r="G47" s="33">
        <f t="shared" si="20"/>
        <v>-1.5539964432614557E-2</v>
      </c>
      <c r="H47" s="33">
        <f t="shared" si="20"/>
        <v>-0.95275053232929896</v>
      </c>
      <c r="I47" s="33">
        <f t="shared" si="20"/>
        <v>-1.8787996153190589E-4</v>
      </c>
    </row>
    <row r="48" spans="2:14" x14ac:dyDescent="0.25">
      <c r="B48" t="s">
        <v>37</v>
      </c>
      <c r="D48" s="19">
        <f>D23</f>
        <v>-312401654</v>
      </c>
      <c r="E48" s="19">
        <f t="shared" ref="E48:I48" si="21">E23</f>
        <v>-226314385</v>
      </c>
      <c r="F48" s="19">
        <f t="shared" si="21"/>
        <v>-144858597</v>
      </c>
      <c r="G48" s="19">
        <f t="shared" si="21"/>
        <v>-1897172178</v>
      </c>
      <c r="H48" s="19">
        <f t="shared" si="21"/>
        <v>-1184426356</v>
      </c>
      <c r="I48" s="19">
        <f t="shared" si="21"/>
        <v>-2350629383</v>
      </c>
    </row>
    <row r="49" spans="2:14" x14ac:dyDescent="0.25">
      <c r="B49" s="30" t="s">
        <v>38</v>
      </c>
      <c r="D49" s="33">
        <f>D48/D43</f>
        <v>-0.50703671039959575</v>
      </c>
      <c r="E49" s="33">
        <f t="shared" ref="E49:I49" si="22">E48/E43</f>
        <v>-0.17570317217410131</v>
      </c>
      <c r="F49" s="33">
        <f t="shared" si="22"/>
        <v>-8.4150985283273375E-2</v>
      </c>
      <c r="G49" s="33">
        <f t="shared" si="22"/>
        <v>-3.5445796618407961</v>
      </c>
      <c r="H49" s="33">
        <f t="shared" si="22"/>
        <v>-13.767683896548178</v>
      </c>
      <c r="I49" s="33">
        <f t="shared" si="22"/>
        <v>-3.4458405809215282</v>
      </c>
    </row>
    <row r="50" spans="2:14" x14ac:dyDescent="0.25">
      <c r="B50" t="s">
        <v>25</v>
      </c>
      <c r="D50" s="19" t="str">
        <f>D31</f>
        <v xml:space="preserve">  </v>
      </c>
      <c r="E50" s="19">
        <f t="shared" ref="E50:I50" si="23">E31</f>
        <v>-226314385</v>
      </c>
      <c r="F50" s="19">
        <f t="shared" si="23"/>
        <v>-144858597</v>
      </c>
      <c r="G50" s="19">
        <f t="shared" si="23"/>
        <v>-1897172178</v>
      </c>
      <c r="H50" s="19">
        <f t="shared" si="23"/>
        <v>-1184426356</v>
      </c>
      <c r="I50" s="19">
        <f t="shared" si="23"/>
        <v>-2350629383</v>
      </c>
    </row>
    <row r="51" spans="2:14" x14ac:dyDescent="0.25">
      <c r="B51" s="30" t="s">
        <v>39</v>
      </c>
      <c r="D51" s="33" t="e">
        <f>D50/D43</f>
        <v>#VALUE!</v>
      </c>
      <c r="E51" s="33">
        <f t="shared" ref="E51:I51" si="24">E50/E43</f>
        <v>-0.17570317217410131</v>
      </c>
      <c r="F51" s="33">
        <f t="shared" si="24"/>
        <v>-8.4150985283273375E-2</v>
      </c>
      <c r="G51" s="33">
        <f t="shared" si="24"/>
        <v>-3.5445796618407961</v>
      </c>
      <c r="H51" s="33">
        <f t="shared" si="24"/>
        <v>-13.767683896548178</v>
      </c>
      <c r="I51" s="33">
        <f t="shared" si="24"/>
        <v>-3.4458405809215282</v>
      </c>
    </row>
    <row r="54" spans="2:14" ht="23.25" customHeight="1" x14ac:dyDescent="0.25">
      <c r="B54" s="5" t="s">
        <v>90</v>
      </c>
      <c r="C54" s="5"/>
      <c r="D54" s="28">
        <f>D41</f>
        <v>2016</v>
      </c>
      <c r="E54" s="28">
        <f t="shared" ref="E54:N54" si="25">E41</f>
        <v>2017</v>
      </c>
      <c r="F54" s="28">
        <f t="shared" si="25"/>
        <v>2018</v>
      </c>
      <c r="G54" s="28">
        <f t="shared" si="25"/>
        <v>2019</v>
      </c>
      <c r="H54" s="28">
        <f t="shared" si="25"/>
        <v>2020</v>
      </c>
      <c r="I54" s="28">
        <f t="shared" si="25"/>
        <v>2021</v>
      </c>
      <c r="J54" s="28">
        <f t="shared" si="25"/>
        <v>2022</v>
      </c>
      <c r="K54" s="28">
        <f t="shared" si="25"/>
        <v>2023</v>
      </c>
      <c r="L54" s="28">
        <f t="shared" si="25"/>
        <v>2024</v>
      </c>
      <c r="M54" s="28">
        <f t="shared" si="25"/>
        <v>2025</v>
      </c>
      <c r="N54" s="28">
        <f t="shared" si="25"/>
        <v>2026</v>
      </c>
    </row>
    <row r="55" spans="2:14" x14ac:dyDescent="0.25">
      <c r="B55" t="s">
        <v>3</v>
      </c>
      <c r="D55" s="12">
        <f>D12</f>
        <v>616132220</v>
      </c>
      <c r="E55" s="12">
        <f t="shared" ref="E55:I55" si="26">E12</f>
        <v>1288049511</v>
      </c>
      <c r="F55" s="12">
        <f t="shared" si="26"/>
        <v>1721412964</v>
      </c>
      <c r="G55" s="12">
        <f t="shared" si="26"/>
        <v>535231920</v>
      </c>
      <c r="H55" s="12">
        <f t="shared" si="26"/>
        <v>86029456</v>
      </c>
      <c r="I55" s="12">
        <f t="shared" si="26"/>
        <v>682164287</v>
      </c>
      <c r="J55" s="38">
        <f>I55*(1+J56)</f>
        <v>955030001.79999995</v>
      </c>
      <c r="K55" s="38">
        <f t="shared" ref="K55:N55" si="27">J55*(1+K56)</f>
        <v>1337042002.5199997</v>
      </c>
      <c r="L55" s="38">
        <f t="shared" si="27"/>
        <v>1871858803.5279996</v>
      </c>
      <c r="M55" s="38">
        <f t="shared" si="27"/>
        <v>2620602324.9391994</v>
      </c>
      <c r="N55" s="38">
        <f t="shared" si="27"/>
        <v>3668843254.9148788</v>
      </c>
    </row>
    <row r="56" spans="2:14" x14ac:dyDescent="0.25">
      <c r="B56" s="30" t="s">
        <v>91</v>
      </c>
      <c r="E56" s="31">
        <f>E55/D55-1</f>
        <v>1.0905407462703378</v>
      </c>
      <c r="F56" s="31">
        <f t="shared" ref="F56:I56" si="28">F55/E55-1</f>
        <v>0.33644937504269579</v>
      </c>
      <c r="G56" s="31">
        <f t="shared" si="28"/>
        <v>-0.68907407391873221</v>
      </c>
      <c r="H56" s="31">
        <f t="shared" si="28"/>
        <v>-0.83926695552836239</v>
      </c>
      <c r="I56" s="31">
        <f t="shared" si="28"/>
        <v>6.9294269511596118</v>
      </c>
      <c r="J56" s="31">
        <v>0.4</v>
      </c>
      <c r="K56" s="31">
        <f>J56</f>
        <v>0.4</v>
      </c>
      <c r="L56" s="31">
        <f t="shared" ref="L56:N56" si="29">K56</f>
        <v>0.4</v>
      </c>
      <c r="M56" s="31">
        <f t="shared" si="29"/>
        <v>0.4</v>
      </c>
      <c r="N56" s="31">
        <f t="shared" si="29"/>
        <v>0.4</v>
      </c>
    </row>
    <row r="57" spans="2:14" x14ac:dyDescent="0.25">
      <c r="E57" s="37"/>
    </row>
    <row r="58" spans="2:14" x14ac:dyDescent="0.25">
      <c r="B58" s="30"/>
      <c r="I58" s="31"/>
    </row>
    <row r="60" spans="2:14" x14ac:dyDescent="0.25">
      <c r="B60" s="30"/>
    </row>
    <row r="61" spans="2:14" x14ac:dyDescent="0.25">
      <c r="E61" s="31"/>
      <c r="F61" s="31"/>
      <c r="G61" s="31"/>
      <c r="H61" s="31"/>
      <c r="I61" s="31"/>
    </row>
    <row r="62" spans="2:14" x14ac:dyDescent="0.25">
      <c r="B62" s="30"/>
    </row>
  </sheetData>
  <mergeCells count="2">
    <mergeCell ref="B2:D3"/>
    <mergeCell ref="B4:D5"/>
  </mergeCells>
  <pageMargins left="0.7" right="0.7" top="0.75" bottom="0.75" header="0.3" footer="0.3"/>
  <pageSetup orientation="portrait" r:id="rId1"/>
  <ignoredErrors>
    <ignoredError sqref="D45:I45 D47:I4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38"/>
  <sheetViews>
    <sheetView showGridLines="0" workbookViewId="0">
      <selection activeCell="K7" sqref="K7"/>
    </sheetView>
  </sheetViews>
  <sheetFormatPr defaultRowHeight="15" x14ac:dyDescent="0.25"/>
  <cols>
    <col min="1" max="1" width="4" customWidth="1"/>
    <col min="2" max="2" width="47" customWidth="1"/>
    <col min="3" max="3" width="9.140625" hidden="1" customWidth="1"/>
    <col min="4" max="6" width="14.28515625" customWidth="1"/>
    <col min="7" max="9" width="15" bestFit="1" customWidth="1"/>
    <col min="19" max="19" width="16.85546875" bestFit="1" customWidth="1"/>
  </cols>
  <sheetData>
    <row r="2" spans="2:19" ht="15.75" x14ac:dyDescent="0.25">
      <c r="B2" s="55" t="s">
        <v>0</v>
      </c>
      <c r="C2" s="55"/>
      <c r="D2" s="55"/>
      <c r="E2" s="1"/>
      <c r="F2" s="1"/>
      <c r="G2" s="1"/>
      <c r="H2" s="1"/>
      <c r="I2" s="1"/>
    </row>
    <row r="3" spans="2:19" ht="15.75" x14ac:dyDescent="0.25">
      <c r="B3" s="55"/>
      <c r="C3" s="55"/>
      <c r="D3" s="55"/>
      <c r="E3" s="1"/>
      <c r="F3" s="1"/>
      <c r="G3" s="1"/>
      <c r="H3" s="1"/>
      <c r="I3" s="1"/>
    </row>
    <row r="4" spans="2:19" ht="15.75" x14ac:dyDescent="0.25">
      <c r="B4" s="56" t="s">
        <v>40</v>
      </c>
      <c r="C4" s="56"/>
      <c r="D4" s="56"/>
      <c r="E4" s="57" t="s">
        <v>132</v>
      </c>
      <c r="F4" s="3"/>
      <c r="G4" s="49" t="s">
        <v>133</v>
      </c>
      <c r="H4" s="3"/>
      <c r="I4" s="49" t="s">
        <v>134</v>
      </c>
    </row>
    <row r="5" spans="2:19" ht="15.75" x14ac:dyDescent="0.25">
      <c r="B5" s="56"/>
      <c r="C5" s="56"/>
      <c r="D5" s="56"/>
      <c r="E5" s="57"/>
      <c r="F5" s="43"/>
      <c r="G5" s="54">
        <v>44531</v>
      </c>
      <c r="H5" s="3"/>
      <c r="I5" s="54">
        <v>46049</v>
      </c>
    </row>
    <row r="7" spans="2:19" ht="15.75" x14ac:dyDescent="0.25">
      <c r="B7" s="5" t="s">
        <v>2</v>
      </c>
      <c r="C7" s="6"/>
      <c r="D7" s="36">
        <v>2021</v>
      </c>
      <c r="E7" s="36">
        <f>D7+1</f>
        <v>2022</v>
      </c>
      <c r="F7" s="36">
        <f t="shared" ref="F7:I7" si="0">E7+1</f>
        <v>2023</v>
      </c>
      <c r="G7" s="36">
        <f t="shared" si="0"/>
        <v>2024</v>
      </c>
      <c r="H7" s="36">
        <f t="shared" si="0"/>
        <v>2025</v>
      </c>
      <c r="I7" s="36">
        <f t="shared" si="0"/>
        <v>2026</v>
      </c>
    </row>
    <row r="8" spans="2:19" ht="20.25" customHeight="1" x14ac:dyDescent="0.25">
      <c r="B8" s="7" t="s">
        <v>137</v>
      </c>
      <c r="D8" s="15">
        <v>2832300000</v>
      </c>
      <c r="E8" s="15">
        <f>654300000*2</f>
        <v>1308600000</v>
      </c>
      <c r="F8" s="15">
        <f>E8</f>
        <v>1308600000</v>
      </c>
      <c r="G8" s="15">
        <f t="shared" ref="G8:H8" si="1">F8</f>
        <v>1308600000</v>
      </c>
      <c r="H8" s="15">
        <f t="shared" si="1"/>
        <v>1308600000</v>
      </c>
      <c r="I8" s="15">
        <f>H8/12*9</f>
        <v>981450000</v>
      </c>
    </row>
    <row r="9" spans="2:19" ht="20.25" customHeight="1" x14ac:dyDescent="0.25">
      <c r="B9" s="7" t="s">
        <v>135</v>
      </c>
      <c r="D9" s="15">
        <f>1750000000+183200000</f>
        <v>1933200000</v>
      </c>
      <c r="E9" s="15">
        <f>0</f>
        <v>0</v>
      </c>
      <c r="F9" s="15">
        <f>0</f>
        <v>0</v>
      </c>
      <c r="G9" s="15">
        <f>0</f>
        <v>0</v>
      </c>
      <c r="H9" s="15">
        <f>0</f>
        <v>0</v>
      </c>
      <c r="I9" s="15">
        <f>0</f>
        <v>0</v>
      </c>
    </row>
    <row r="10" spans="2:19" ht="20.25" customHeight="1" x14ac:dyDescent="0.25">
      <c r="B10" s="7" t="s">
        <v>7</v>
      </c>
      <c r="D10" s="19">
        <f>D8-D9</f>
        <v>899100000</v>
      </c>
      <c r="E10" s="19">
        <f t="shared" ref="E10:I10" si="2">E8-E9</f>
        <v>1308600000</v>
      </c>
      <c r="F10" s="19">
        <f t="shared" si="2"/>
        <v>1308600000</v>
      </c>
      <c r="G10" s="19">
        <f t="shared" si="2"/>
        <v>1308600000</v>
      </c>
      <c r="H10" s="19">
        <f t="shared" si="2"/>
        <v>1308600000</v>
      </c>
      <c r="I10" s="19">
        <f t="shared" si="2"/>
        <v>981450000</v>
      </c>
    </row>
    <row r="11" spans="2:19" ht="19.5" customHeight="1" x14ac:dyDescent="0.25">
      <c r="B11" s="13" t="s">
        <v>136</v>
      </c>
      <c r="D11" s="42">
        <f>$S$11*$J$11</f>
        <v>92513000</v>
      </c>
      <c r="E11" s="42">
        <f t="shared" ref="E11:G11" si="3">$S$11*$J$11</f>
        <v>92513000</v>
      </c>
      <c r="F11" s="42">
        <f t="shared" si="3"/>
        <v>92513000</v>
      </c>
      <c r="G11" s="42">
        <f t="shared" si="3"/>
        <v>92513000</v>
      </c>
      <c r="H11" s="42">
        <f>$S$11*$K$11</f>
        <v>462565000</v>
      </c>
      <c r="I11" s="42">
        <f>$S$11*$J$11</f>
        <v>92513000</v>
      </c>
      <c r="J11" s="50">
        <f>1%</f>
        <v>0.01</v>
      </c>
      <c r="K11" s="50">
        <v>0.05</v>
      </c>
      <c r="Q11" t="s">
        <v>139</v>
      </c>
      <c r="S11" s="10">
        <v>9251300000</v>
      </c>
    </row>
    <row r="12" spans="2:19" ht="21" customHeight="1" x14ac:dyDescent="0.25">
      <c r="B12" s="13" t="s">
        <v>15</v>
      </c>
      <c r="D12" s="42">
        <f>D10-D11</f>
        <v>806587000</v>
      </c>
      <c r="E12" s="42">
        <f t="shared" ref="E12:I12" si="4">E10-E11</f>
        <v>1216087000</v>
      </c>
      <c r="F12" s="42">
        <f t="shared" si="4"/>
        <v>1216087000</v>
      </c>
      <c r="G12" s="42">
        <f t="shared" si="4"/>
        <v>1216087000</v>
      </c>
      <c r="H12" s="42">
        <f t="shared" si="4"/>
        <v>846035000</v>
      </c>
      <c r="I12" s="42">
        <f t="shared" si="4"/>
        <v>888937000</v>
      </c>
    </row>
    <row r="13" spans="2:19" ht="15.75" customHeight="1" x14ac:dyDescent="0.25">
      <c r="B13" s="51" t="s">
        <v>138</v>
      </c>
      <c r="D13" s="52">
        <f>D12/D10</f>
        <v>0.8971048826604382</v>
      </c>
      <c r="E13" s="52">
        <f t="shared" ref="E13:I13" si="5">E12/E10</f>
        <v>0.92930383616078249</v>
      </c>
      <c r="F13" s="52">
        <f t="shared" si="5"/>
        <v>0.92930383616078249</v>
      </c>
      <c r="G13" s="52">
        <f t="shared" si="5"/>
        <v>0.92930383616078249</v>
      </c>
      <c r="H13" s="52">
        <f t="shared" si="5"/>
        <v>0.64651918080391257</v>
      </c>
      <c r="I13" s="52">
        <f t="shared" si="5"/>
        <v>0.90573844821437666</v>
      </c>
    </row>
    <row r="14" spans="2:19" x14ac:dyDescent="0.25">
      <c r="B14" s="13" t="s">
        <v>141</v>
      </c>
      <c r="D14" s="53">
        <f>25%</f>
        <v>0.25</v>
      </c>
      <c r="E14" s="53">
        <f>25%</f>
        <v>0.25</v>
      </c>
      <c r="F14" s="53">
        <f>25%</f>
        <v>0.25</v>
      </c>
      <c r="G14" s="53">
        <f>25%</f>
        <v>0.25</v>
      </c>
      <c r="H14" s="53">
        <f>25%</f>
        <v>0.25</v>
      </c>
      <c r="I14" s="53">
        <f>25%</f>
        <v>0.25</v>
      </c>
    </row>
    <row r="15" spans="2:19" x14ac:dyDescent="0.25">
      <c r="B15" s="9"/>
      <c r="D15" s="23"/>
      <c r="E15" s="23"/>
      <c r="F15" s="23"/>
      <c r="G15" s="23"/>
      <c r="H15" s="23"/>
      <c r="I15" s="23"/>
    </row>
    <row r="16" spans="2:19" x14ac:dyDescent="0.25">
      <c r="B16" s="9"/>
      <c r="D16" s="23"/>
      <c r="E16" s="23"/>
      <c r="F16" s="23"/>
      <c r="G16" s="23"/>
      <c r="H16" s="23"/>
      <c r="I16" s="23"/>
    </row>
    <row r="17" spans="2:9" x14ac:dyDescent="0.25">
      <c r="B17" s="9"/>
      <c r="D17" s="23"/>
      <c r="E17" s="23"/>
      <c r="F17" s="23"/>
      <c r="G17" s="23"/>
      <c r="H17" s="23"/>
      <c r="I17" s="23"/>
    </row>
    <row r="18" spans="2:9" x14ac:dyDescent="0.25">
      <c r="B18" s="9"/>
      <c r="D18" s="23"/>
      <c r="E18" s="23"/>
      <c r="F18" s="39"/>
      <c r="G18" s="23"/>
      <c r="H18" s="23"/>
      <c r="I18" s="23"/>
    </row>
    <row r="19" spans="2:9" x14ac:dyDescent="0.25">
      <c r="B19" s="20"/>
      <c r="C19" s="21"/>
      <c r="D19" s="24"/>
      <c r="E19" s="24"/>
      <c r="F19" s="40"/>
      <c r="G19" s="24"/>
      <c r="H19" s="24"/>
      <c r="I19" s="24"/>
    </row>
    <row r="20" spans="2:9" x14ac:dyDescent="0.25">
      <c r="B20" s="13"/>
      <c r="D20" s="18"/>
      <c r="E20" s="18"/>
      <c r="F20" s="18"/>
      <c r="G20" s="18"/>
      <c r="H20" s="18"/>
      <c r="I20" s="18"/>
    </row>
    <row r="21" spans="2:9" x14ac:dyDescent="0.25">
      <c r="B21" s="9"/>
      <c r="D21" s="23"/>
      <c r="E21" s="23"/>
      <c r="F21" s="41"/>
      <c r="G21" s="23"/>
      <c r="H21" s="23"/>
      <c r="I21" s="23"/>
    </row>
    <row r="22" spans="2:9" x14ac:dyDescent="0.25">
      <c r="B22" s="13"/>
      <c r="D22" s="17"/>
      <c r="E22" s="17"/>
      <c r="F22" s="17"/>
      <c r="G22" s="17"/>
      <c r="H22" s="17"/>
      <c r="I22" s="17"/>
    </row>
    <row r="23" spans="2:9" x14ac:dyDescent="0.25">
      <c r="B23" s="9"/>
      <c r="D23" s="23"/>
      <c r="E23" s="23"/>
      <c r="F23" s="23"/>
      <c r="G23" s="23"/>
      <c r="H23" s="23"/>
      <c r="I23" s="23"/>
    </row>
    <row r="24" spans="2:9" x14ac:dyDescent="0.25">
      <c r="B24" s="7"/>
      <c r="D24" s="17"/>
      <c r="E24" s="17"/>
      <c r="F24" s="17"/>
      <c r="G24" s="17"/>
      <c r="H24" s="17"/>
      <c r="I24" s="17"/>
    </row>
    <row r="25" spans="2:9" x14ac:dyDescent="0.25">
      <c r="B25" s="7"/>
      <c r="D25" s="16"/>
      <c r="E25" s="16"/>
      <c r="F25" s="16"/>
      <c r="G25" s="16"/>
      <c r="H25" s="16"/>
      <c r="I25" s="16"/>
    </row>
    <row r="26" spans="2:9" x14ac:dyDescent="0.25">
      <c r="B26" s="8"/>
      <c r="D26" s="25"/>
      <c r="E26" s="25"/>
      <c r="F26" s="25"/>
      <c r="G26" s="25"/>
      <c r="H26" s="25"/>
      <c r="I26" s="25"/>
    </row>
    <row r="27" spans="2:9" x14ac:dyDescent="0.25">
      <c r="B27" s="8"/>
      <c r="D27" s="25"/>
      <c r="E27" s="25"/>
      <c r="F27" s="25"/>
      <c r="G27" s="25"/>
      <c r="H27" s="25"/>
      <c r="I27" s="25"/>
    </row>
    <row r="28" spans="2:9" x14ac:dyDescent="0.25">
      <c r="B28" s="8"/>
      <c r="D28" s="25"/>
      <c r="E28" s="25"/>
      <c r="F28" s="25"/>
      <c r="G28" s="25"/>
      <c r="H28" s="25"/>
      <c r="I28" s="25"/>
    </row>
    <row r="29" spans="2:9" x14ac:dyDescent="0.25">
      <c r="B29" s="8"/>
      <c r="D29" s="25"/>
      <c r="E29" s="25"/>
      <c r="F29" s="25"/>
      <c r="G29" s="25"/>
      <c r="H29" s="25"/>
      <c r="I29" s="25"/>
    </row>
    <row r="30" spans="2:9" x14ac:dyDescent="0.25">
      <c r="B30" s="26"/>
      <c r="C30" s="21"/>
      <c r="D30" s="24"/>
      <c r="E30" s="24"/>
      <c r="F30" s="24"/>
      <c r="G30" s="24"/>
      <c r="H30" s="24"/>
      <c r="I30" s="24"/>
    </row>
    <row r="31" spans="2:9" x14ac:dyDescent="0.25">
      <c r="B31" s="8"/>
      <c r="D31" s="25"/>
      <c r="E31" s="25"/>
      <c r="F31" s="25"/>
      <c r="G31" s="25"/>
      <c r="H31" s="25"/>
      <c r="I31" s="25"/>
    </row>
    <row r="32" spans="2:9" x14ac:dyDescent="0.25">
      <c r="B32" s="7"/>
      <c r="D32" s="18"/>
      <c r="E32" s="18"/>
      <c r="F32" s="18"/>
      <c r="G32" s="18"/>
      <c r="H32" s="18"/>
      <c r="I32" s="18"/>
    </row>
    <row r="33" spans="2:9" x14ac:dyDescent="0.25">
      <c r="B33" s="14"/>
      <c r="D33" s="25"/>
      <c r="E33" s="25"/>
      <c r="F33" s="25"/>
      <c r="G33" s="25"/>
      <c r="H33" s="25"/>
      <c r="I33" s="25"/>
    </row>
    <row r="34" spans="2:9" x14ac:dyDescent="0.25">
      <c r="B34" s="14"/>
      <c r="D34" s="27"/>
      <c r="E34" s="27"/>
      <c r="F34" s="27"/>
      <c r="G34" s="27"/>
      <c r="H34" s="27"/>
      <c r="I34" s="27"/>
    </row>
    <row r="35" spans="2:9" x14ac:dyDescent="0.25">
      <c r="B35" s="9"/>
      <c r="D35" s="25"/>
      <c r="E35" s="25"/>
      <c r="F35" s="25"/>
      <c r="G35" s="25"/>
      <c r="H35" s="25"/>
      <c r="I35" s="25"/>
    </row>
    <row r="36" spans="2:9" x14ac:dyDescent="0.25">
      <c r="B36" s="9"/>
      <c r="D36" s="23"/>
      <c r="E36" s="23"/>
      <c r="F36" s="23"/>
      <c r="G36" s="23"/>
      <c r="H36" s="23"/>
      <c r="I36" s="23"/>
    </row>
    <row r="37" spans="2:9" x14ac:dyDescent="0.25">
      <c r="B37" s="20"/>
      <c r="C37" s="21"/>
      <c r="D37" s="22"/>
      <c r="E37" s="22"/>
      <c r="F37" s="22"/>
      <c r="G37" s="22"/>
      <c r="H37" s="22"/>
      <c r="I37" s="22"/>
    </row>
    <row r="38" spans="2:9" x14ac:dyDescent="0.25">
      <c r="B38" s="7"/>
      <c r="D38" s="17"/>
      <c r="E38" s="17"/>
      <c r="F38" s="17"/>
      <c r="G38" s="17"/>
      <c r="H38" s="17"/>
      <c r="I38" s="17"/>
    </row>
  </sheetData>
  <mergeCells count="3">
    <mergeCell ref="B2:D3"/>
    <mergeCell ref="B4:D5"/>
    <mergeCell ref="E4:E5"/>
  </mergeCells>
  <pageMargins left="0.7" right="0.7" top="0.75" bottom="0.75" header="0.3" footer="0.3"/>
  <pageSetup orientation="portrait" r:id="rId1"/>
  <ignoredErrors>
    <ignoredError sqref="D11:K1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38"/>
  <sheetViews>
    <sheetView workbookViewId="0">
      <selection activeCell="P30" sqref="P30"/>
    </sheetView>
  </sheetViews>
  <sheetFormatPr defaultRowHeight="15" x14ac:dyDescent="0.25"/>
  <cols>
    <col min="3" max="3" width="22.28515625" bestFit="1" customWidth="1"/>
    <col min="6" max="6" width="9" customWidth="1"/>
    <col min="12" max="12" width="10.5703125" bestFit="1" customWidth="1"/>
    <col min="16" max="16" width="15.28515625" bestFit="1" customWidth="1"/>
    <col min="17" max="17" width="12.5703125" bestFit="1" customWidth="1"/>
  </cols>
  <sheetData>
    <row r="1" spans="3:8" x14ac:dyDescent="0.25">
      <c r="C1" s="7" t="s">
        <v>52</v>
      </c>
    </row>
    <row r="3" spans="3:8" x14ac:dyDescent="0.25">
      <c r="C3" t="s">
        <v>41</v>
      </c>
      <c r="F3" t="s">
        <v>42</v>
      </c>
    </row>
    <row r="4" spans="3:8" x14ac:dyDescent="0.25">
      <c r="C4" t="s">
        <v>56</v>
      </c>
      <c r="F4" t="s">
        <v>55</v>
      </c>
    </row>
    <row r="5" spans="3:8" x14ac:dyDescent="0.25">
      <c r="C5" t="s">
        <v>43</v>
      </c>
      <c r="F5" t="s">
        <v>44</v>
      </c>
      <c r="H5" t="s">
        <v>45</v>
      </c>
    </row>
    <row r="8" spans="3:8" x14ac:dyDescent="0.25">
      <c r="C8" t="s">
        <v>46</v>
      </c>
      <c r="F8" t="s">
        <v>53</v>
      </c>
      <c r="H8" t="s">
        <v>54</v>
      </c>
    </row>
    <row r="10" spans="3:8" x14ac:dyDescent="0.25">
      <c r="C10" t="s">
        <v>47</v>
      </c>
      <c r="F10" t="s">
        <v>49</v>
      </c>
      <c r="H10" t="s">
        <v>48</v>
      </c>
    </row>
    <row r="12" spans="3:8" x14ac:dyDescent="0.25">
      <c r="C12" t="s">
        <v>50</v>
      </c>
      <c r="F12" t="s">
        <v>51</v>
      </c>
    </row>
    <row r="15" spans="3:8" x14ac:dyDescent="0.25">
      <c r="C15" t="s">
        <v>57</v>
      </c>
      <c r="F15" t="s">
        <v>58</v>
      </c>
    </row>
    <row r="18" spans="3:17" x14ac:dyDescent="0.25">
      <c r="C18" s="7" t="s">
        <v>71</v>
      </c>
      <c r="O18">
        <v>100</v>
      </c>
    </row>
    <row r="19" spans="3:17" x14ac:dyDescent="0.25">
      <c r="C19" t="s">
        <v>59</v>
      </c>
      <c r="F19" t="s">
        <v>60</v>
      </c>
      <c r="O19" s="31">
        <v>0.1</v>
      </c>
      <c r="P19" s="31">
        <v>0.08</v>
      </c>
    </row>
    <row r="20" spans="3:17" x14ac:dyDescent="0.25">
      <c r="C20" t="s">
        <v>61</v>
      </c>
      <c r="F20" t="s">
        <v>62</v>
      </c>
      <c r="H20" t="s">
        <v>63</v>
      </c>
      <c r="L20" s="35">
        <f>910/365</f>
        <v>2.493150684931507</v>
      </c>
    </row>
    <row r="21" spans="3:17" x14ac:dyDescent="0.25">
      <c r="C21" t="s">
        <v>64</v>
      </c>
      <c r="F21">
        <v>19</v>
      </c>
      <c r="O21">
        <f>O18/(1+O19)</f>
        <v>90.909090909090907</v>
      </c>
      <c r="P21">
        <f>O18/(1+P19)</f>
        <v>92.592592592592581</v>
      </c>
    </row>
    <row r="22" spans="3:17" x14ac:dyDescent="0.25">
      <c r="C22" t="s">
        <v>65</v>
      </c>
      <c r="F22" t="s">
        <v>66</v>
      </c>
    </row>
    <row r="23" spans="3:17" x14ac:dyDescent="0.25">
      <c r="C23" t="s">
        <v>67</v>
      </c>
      <c r="F23" t="s">
        <v>68</v>
      </c>
    </row>
    <row r="24" spans="3:17" x14ac:dyDescent="0.25">
      <c r="C24" t="s">
        <v>69</v>
      </c>
      <c r="F24" s="34">
        <v>42826</v>
      </c>
      <c r="K24">
        <f>209.94</f>
        <v>209.94</v>
      </c>
    </row>
    <row r="25" spans="3:17" x14ac:dyDescent="0.25">
      <c r="C25" t="s">
        <v>70</v>
      </c>
      <c r="F25">
        <v>66.739999999999995</v>
      </c>
      <c r="K25">
        <v>143.19999999999999</v>
      </c>
    </row>
    <row r="26" spans="3:17" x14ac:dyDescent="0.25">
      <c r="C26" t="s">
        <v>72</v>
      </c>
      <c r="F26">
        <v>14.8</v>
      </c>
      <c r="G26">
        <f>F25-F26</f>
        <v>51.94</v>
      </c>
      <c r="K26">
        <f>K24-K25</f>
        <v>66.740000000000009</v>
      </c>
      <c r="M26">
        <f>65.43*2</f>
        <v>130.86000000000001</v>
      </c>
    </row>
    <row r="27" spans="3:17" x14ac:dyDescent="0.25">
      <c r="C27" t="s">
        <v>73</v>
      </c>
      <c r="F27" s="32">
        <v>0.52700000000000002</v>
      </c>
      <c r="M27">
        <f>M26/12</f>
        <v>10.905000000000001</v>
      </c>
      <c r="N27">
        <f>M27*12</f>
        <v>130.86000000000001</v>
      </c>
    </row>
    <row r="28" spans="3:17" x14ac:dyDescent="0.25">
      <c r="C28" t="s">
        <v>74</v>
      </c>
      <c r="F28">
        <v>107.5</v>
      </c>
      <c r="M28">
        <f>M27*4</f>
        <v>43.620000000000005</v>
      </c>
      <c r="P28" s="10">
        <v>654300000</v>
      </c>
      <c r="Q28" s="12">
        <f>P28/4</f>
        <v>163575000</v>
      </c>
    </row>
    <row r="29" spans="3:17" x14ac:dyDescent="0.25">
      <c r="C29" t="s">
        <v>75</v>
      </c>
      <c r="F29">
        <v>873.12</v>
      </c>
      <c r="M29">
        <f>M27*6</f>
        <v>65.430000000000007</v>
      </c>
      <c r="N29">
        <f>M29*6</f>
        <v>392.58000000000004</v>
      </c>
      <c r="P29" s="12">
        <f>P28/12</f>
        <v>54525000</v>
      </c>
    </row>
    <row r="30" spans="3:17" x14ac:dyDescent="0.25">
      <c r="C30" t="s">
        <v>83</v>
      </c>
      <c r="F30">
        <v>21.65</v>
      </c>
      <c r="P30" s="12">
        <f>P29*4</f>
        <v>218100000</v>
      </c>
    </row>
    <row r="32" spans="3:17" x14ac:dyDescent="0.25">
      <c r="C32" s="7" t="s">
        <v>76</v>
      </c>
      <c r="F32" s="7" t="s">
        <v>77</v>
      </c>
      <c r="G32" t="s">
        <v>78</v>
      </c>
    </row>
    <row r="33" spans="3:7" x14ac:dyDescent="0.25">
      <c r="C33" s="7" t="s">
        <v>79</v>
      </c>
      <c r="F33" s="7" t="s">
        <v>80</v>
      </c>
    </row>
    <row r="34" spans="3:7" x14ac:dyDescent="0.25">
      <c r="C34" s="7" t="s">
        <v>81</v>
      </c>
      <c r="F34" s="7" t="s">
        <v>82</v>
      </c>
      <c r="G34" t="s">
        <v>84</v>
      </c>
    </row>
    <row r="35" spans="3:7" x14ac:dyDescent="0.25">
      <c r="F35" s="7" t="s">
        <v>85</v>
      </c>
    </row>
    <row r="36" spans="3:7" x14ac:dyDescent="0.25">
      <c r="F36" s="7" t="s">
        <v>86</v>
      </c>
    </row>
    <row r="37" spans="3:7" x14ac:dyDescent="0.25">
      <c r="F37" s="7" t="s">
        <v>87</v>
      </c>
    </row>
    <row r="38" spans="3:7" x14ac:dyDescent="0.25">
      <c r="C38" t="s">
        <v>88</v>
      </c>
      <c r="F38" s="7" t="s">
        <v>89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0"/>
  <sheetViews>
    <sheetView showGridLines="0" topLeftCell="A46" workbookViewId="0">
      <selection activeCell="G10" sqref="G10"/>
    </sheetView>
  </sheetViews>
  <sheetFormatPr defaultRowHeight="15" x14ac:dyDescent="0.25"/>
  <cols>
    <col min="1" max="1" width="3" customWidth="1"/>
    <col min="2" max="2" width="42" customWidth="1"/>
    <col min="3" max="3" width="9.140625" hidden="1" customWidth="1"/>
    <col min="4" max="7" width="12.7109375" customWidth="1"/>
    <col min="8" max="8" width="15.28515625" bestFit="1" customWidth="1"/>
    <col min="9" max="9" width="17.7109375" bestFit="1" customWidth="1"/>
  </cols>
  <sheetData>
    <row r="2" spans="1:9" ht="15.75" x14ac:dyDescent="0.25">
      <c r="B2" s="55" t="s">
        <v>0</v>
      </c>
      <c r="C2" s="55"/>
      <c r="D2" s="55"/>
      <c r="E2" s="1"/>
      <c r="F2" s="1"/>
      <c r="G2" s="1"/>
      <c r="H2" s="1"/>
      <c r="I2" s="1"/>
    </row>
    <row r="3" spans="1:9" ht="15.75" x14ac:dyDescent="0.25">
      <c r="B3" s="55"/>
      <c r="C3" s="55"/>
      <c r="D3" s="55"/>
      <c r="E3" s="1"/>
      <c r="F3" s="1"/>
      <c r="G3" s="1"/>
      <c r="H3" s="1"/>
      <c r="I3" s="1"/>
    </row>
    <row r="4" spans="1:9" ht="15.75" x14ac:dyDescent="0.25">
      <c r="B4" s="56" t="s">
        <v>92</v>
      </c>
      <c r="C4" s="56"/>
      <c r="D4" s="56"/>
      <c r="E4" s="4"/>
      <c r="F4" s="4"/>
      <c r="G4" s="4"/>
      <c r="H4" s="4"/>
      <c r="I4" s="4"/>
    </row>
    <row r="5" spans="1:9" ht="15.75" x14ac:dyDescent="0.25">
      <c r="B5" s="56"/>
      <c r="C5" s="56"/>
      <c r="D5" s="56"/>
      <c r="E5" s="4"/>
      <c r="F5" s="4"/>
      <c r="G5" s="4"/>
      <c r="H5" s="4"/>
      <c r="I5" s="4"/>
    </row>
    <row r="7" spans="1:9" ht="15.75" x14ac:dyDescent="0.25">
      <c r="B7" s="5" t="s">
        <v>2</v>
      </c>
      <c r="C7" s="6"/>
      <c r="D7" s="45">
        <v>2016</v>
      </c>
      <c r="E7" s="45">
        <f>D7+1</f>
        <v>2017</v>
      </c>
      <c r="F7" s="45">
        <f t="shared" ref="F7:I7" si="0">E7+1</f>
        <v>2018</v>
      </c>
      <c r="G7" s="45">
        <f t="shared" si="0"/>
        <v>2019</v>
      </c>
      <c r="H7" s="45">
        <f t="shared" si="0"/>
        <v>2020</v>
      </c>
      <c r="I7" s="46">
        <f t="shared" si="0"/>
        <v>2021</v>
      </c>
    </row>
    <row r="8" spans="1:9" ht="18.75" customHeight="1" x14ac:dyDescent="0.25">
      <c r="B8" s="7" t="s">
        <v>93</v>
      </c>
      <c r="D8" s="47"/>
      <c r="E8" s="47"/>
      <c r="F8" s="47"/>
      <c r="G8" s="47"/>
      <c r="H8" s="47"/>
      <c r="I8" s="47"/>
    </row>
    <row r="9" spans="1:9" x14ac:dyDescent="0.25">
      <c r="A9" s="7">
        <v>1</v>
      </c>
      <c r="B9" s="44" t="s">
        <v>109</v>
      </c>
      <c r="D9" s="47"/>
      <c r="E9" s="47"/>
      <c r="F9" s="47"/>
      <c r="G9" s="47"/>
      <c r="H9" s="47"/>
      <c r="I9" s="47"/>
    </row>
    <row r="10" spans="1:9" x14ac:dyDescent="0.25">
      <c r="B10" s="8" t="s">
        <v>94</v>
      </c>
      <c r="D10" s="47"/>
      <c r="E10" s="47"/>
      <c r="F10" s="47"/>
      <c r="G10" s="47"/>
      <c r="H10" s="47">
        <v>1798626</v>
      </c>
      <c r="I10" s="47">
        <v>1794700</v>
      </c>
    </row>
    <row r="11" spans="1:9" x14ac:dyDescent="0.25">
      <c r="B11" s="8" t="s">
        <v>95</v>
      </c>
      <c r="D11" s="47"/>
      <c r="E11" s="47"/>
      <c r="F11" s="47"/>
      <c r="G11" s="47"/>
      <c r="H11" s="47">
        <v>0</v>
      </c>
      <c r="I11" s="47">
        <v>0</v>
      </c>
    </row>
    <row r="12" spans="1:9" x14ac:dyDescent="0.25">
      <c r="B12" s="8" t="s">
        <v>96</v>
      </c>
      <c r="D12" s="47"/>
      <c r="E12" s="47"/>
      <c r="F12" s="47"/>
      <c r="G12" s="47"/>
      <c r="H12" s="47">
        <v>7692893372</v>
      </c>
      <c r="I12" s="47">
        <v>6073722580</v>
      </c>
    </row>
    <row r="13" spans="1:9" x14ac:dyDescent="0.25">
      <c r="B13" s="8" t="s">
        <v>97</v>
      </c>
      <c r="D13" s="47"/>
      <c r="E13" s="47"/>
      <c r="F13" s="47"/>
      <c r="G13" s="47"/>
      <c r="H13" s="47"/>
    </row>
    <row r="14" spans="1:9" x14ac:dyDescent="0.25">
      <c r="B14" s="9" t="s">
        <v>98</v>
      </c>
      <c r="D14" s="47"/>
      <c r="E14" s="47"/>
      <c r="F14" s="47"/>
      <c r="G14" s="47"/>
      <c r="H14" s="47">
        <v>170445</v>
      </c>
      <c r="I14" s="47">
        <v>104600</v>
      </c>
    </row>
    <row r="15" spans="1:9" x14ac:dyDescent="0.25">
      <c r="B15" s="8" t="s">
        <v>99</v>
      </c>
      <c r="D15" s="47"/>
      <c r="E15" s="47"/>
      <c r="F15" s="47"/>
      <c r="G15" s="47"/>
      <c r="H15" s="47">
        <v>0</v>
      </c>
      <c r="I15" s="47">
        <v>0</v>
      </c>
    </row>
    <row r="16" spans="1:9" x14ac:dyDescent="0.25">
      <c r="B16" s="8" t="s">
        <v>100</v>
      </c>
      <c r="D16" s="47"/>
      <c r="E16" s="47"/>
      <c r="F16" s="47"/>
      <c r="G16" s="47"/>
      <c r="H16" s="47">
        <v>17752312</v>
      </c>
      <c r="I16" s="47">
        <v>26916514</v>
      </c>
    </row>
    <row r="17" spans="1:9" ht="18.75" customHeight="1" x14ac:dyDescent="0.25">
      <c r="B17" s="44" t="s">
        <v>106</v>
      </c>
      <c r="D17" s="48">
        <f>SUM(D10:D16)</f>
        <v>0</v>
      </c>
      <c r="E17" s="48">
        <f t="shared" ref="E17:I17" si="1">SUM(E10:E16)</f>
        <v>0</v>
      </c>
      <c r="F17" s="48">
        <f t="shared" si="1"/>
        <v>0</v>
      </c>
      <c r="G17" s="48">
        <f t="shared" si="1"/>
        <v>0</v>
      </c>
      <c r="H17" s="48">
        <f t="shared" si="1"/>
        <v>7712614755</v>
      </c>
      <c r="I17" s="48">
        <f t="shared" si="1"/>
        <v>6102538394</v>
      </c>
    </row>
    <row r="18" spans="1:9" x14ac:dyDescent="0.25">
      <c r="A18" s="7">
        <v>2</v>
      </c>
      <c r="B18" s="44" t="s">
        <v>101</v>
      </c>
      <c r="D18" s="47"/>
      <c r="E18" s="47"/>
      <c r="F18" s="47"/>
      <c r="G18" s="47"/>
      <c r="H18" s="47"/>
      <c r="I18" s="47"/>
    </row>
    <row r="19" spans="1:9" x14ac:dyDescent="0.25">
      <c r="B19" s="8" t="s">
        <v>102</v>
      </c>
      <c r="D19" s="47"/>
      <c r="E19" s="47"/>
      <c r="F19" s="47"/>
      <c r="G19" s="47"/>
      <c r="H19" s="47">
        <v>0</v>
      </c>
      <c r="I19" s="47">
        <v>0</v>
      </c>
    </row>
    <row r="20" spans="1:9" x14ac:dyDescent="0.25">
      <c r="B20" s="8" t="s">
        <v>97</v>
      </c>
      <c r="D20" s="47"/>
      <c r="E20" s="47"/>
      <c r="F20" s="47"/>
      <c r="G20" s="47"/>
      <c r="H20" s="47"/>
      <c r="I20" s="47"/>
    </row>
    <row r="21" spans="1:9" x14ac:dyDescent="0.25">
      <c r="B21" s="9" t="s">
        <v>103</v>
      </c>
      <c r="D21" s="47"/>
      <c r="E21" s="47"/>
      <c r="F21" s="47"/>
      <c r="G21" s="47"/>
      <c r="H21" s="47">
        <v>200215981</v>
      </c>
      <c r="I21" s="47">
        <v>53157686</v>
      </c>
    </row>
    <row r="22" spans="1:9" x14ac:dyDescent="0.25">
      <c r="B22" s="9" t="s">
        <v>104</v>
      </c>
      <c r="D22" s="47"/>
      <c r="E22" s="47"/>
      <c r="F22" s="47"/>
      <c r="G22" s="47"/>
      <c r="H22" s="47">
        <v>0</v>
      </c>
      <c r="I22" s="47">
        <v>0</v>
      </c>
    </row>
    <row r="23" spans="1:9" x14ac:dyDescent="0.25">
      <c r="B23" s="8" t="s">
        <v>105</v>
      </c>
      <c r="D23" s="47"/>
      <c r="E23" s="47"/>
      <c r="F23" s="47"/>
      <c r="G23" s="47"/>
      <c r="H23" s="47">
        <v>53844871</v>
      </c>
      <c r="I23" s="47">
        <v>37405336</v>
      </c>
    </row>
    <row r="24" spans="1:9" ht="19.5" customHeight="1" x14ac:dyDescent="0.25">
      <c r="B24" s="44" t="s">
        <v>107</v>
      </c>
      <c r="D24" s="48">
        <f>SUM(D19:D23)</f>
        <v>0</v>
      </c>
      <c r="E24" s="48">
        <f t="shared" ref="E24:I24" si="2">SUM(E19:E23)</f>
        <v>0</v>
      </c>
      <c r="F24" s="48">
        <f t="shared" si="2"/>
        <v>0</v>
      </c>
      <c r="G24" s="48">
        <f t="shared" si="2"/>
        <v>0</v>
      </c>
      <c r="H24" s="48">
        <f t="shared" si="2"/>
        <v>254060852</v>
      </c>
      <c r="I24" s="48">
        <f t="shared" si="2"/>
        <v>90563022</v>
      </c>
    </row>
    <row r="25" spans="1:9" ht="19.5" customHeight="1" x14ac:dyDescent="0.25">
      <c r="B25" s="44" t="s">
        <v>127</v>
      </c>
      <c r="D25" s="48">
        <f>SUM(D17+D24)</f>
        <v>0</v>
      </c>
      <c r="E25" s="48">
        <f t="shared" ref="E25:H25" si="3">SUM(E17+E24)</f>
        <v>0</v>
      </c>
      <c r="F25" s="48">
        <f t="shared" si="3"/>
        <v>0</v>
      </c>
      <c r="G25" s="48">
        <f t="shared" si="3"/>
        <v>0</v>
      </c>
      <c r="H25" s="48">
        <f t="shared" si="3"/>
        <v>7966675607</v>
      </c>
      <c r="I25" s="48">
        <f>SUM(I17+I24)</f>
        <v>6193101416</v>
      </c>
    </row>
    <row r="26" spans="1:9" ht="22.5" customHeight="1" x14ac:dyDescent="0.25">
      <c r="B26" s="7" t="s">
        <v>108</v>
      </c>
      <c r="D26" s="47"/>
      <c r="E26" s="47"/>
      <c r="F26" s="47"/>
      <c r="G26" s="47"/>
      <c r="H26" s="47"/>
      <c r="I26" s="47"/>
    </row>
    <row r="27" spans="1:9" x14ac:dyDescent="0.25">
      <c r="B27" s="44" t="s">
        <v>110</v>
      </c>
      <c r="D27" s="47"/>
      <c r="E27" s="47"/>
      <c r="F27" s="47"/>
      <c r="G27" s="47"/>
      <c r="H27" s="47"/>
      <c r="I27" s="47"/>
    </row>
    <row r="28" spans="1:9" x14ac:dyDescent="0.25">
      <c r="B28" s="8" t="s">
        <v>111</v>
      </c>
      <c r="D28" s="47"/>
      <c r="E28" s="47"/>
      <c r="F28" s="47"/>
      <c r="G28" s="47"/>
      <c r="H28" s="47">
        <v>641838000</v>
      </c>
      <c r="I28" s="47">
        <v>641838000</v>
      </c>
    </row>
    <row r="29" spans="1:9" x14ac:dyDescent="0.25">
      <c r="B29" s="8" t="s">
        <v>112</v>
      </c>
      <c r="D29" s="47"/>
      <c r="E29" s="47"/>
      <c r="F29" s="47"/>
      <c r="G29" s="47"/>
      <c r="H29" s="47">
        <v>-4835775234</v>
      </c>
      <c r="I29" s="10">
        <v>-7186404617</v>
      </c>
    </row>
    <row r="30" spans="1:9" x14ac:dyDescent="0.25">
      <c r="B30" s="44" t="s">
        <v>129</v>
      </c>
      <c r="D30" s="48">
        <f>SUM(D28:D29)</f>
        <v>0</v>
      </c>
      <c r="E30" s="48">
        <f t="shared" ref="E30:G30" si="4">SUM(E28:E29)</f>
        <v>0</v>
      </c>
      <c r="F30" s="48">
        <f t="shared" si="4"/>
        <v>0</v>
      </c>
      <c r="G30" s="48">
        <f t="shared" si="4"/>
        <v>0</v>
      </c>
      <c r="H30" s="48">
        <f>SUM(H28:H29)</f>
        <v>-4193937234</v>
      </c>
      <c r="I30" s="48">
        <f>SUM(I28:I29)</f>
        <v>-6544566617</v>
      </c>
    </row>
    <row r="31" spans="1:9" ht="18" customHeight="1" x14ac:dyDescent="0.25">
      <c r="B31" s="7" t="s">
        <v>113</v>
      </c>
      <c r="D31" s="47"/>
      <c r="E31" s="47"/>
      <c r="F31" s="47"/>
      <c r="G31" s="47"/>
      <c r="H31" s="47"/>
      <c r="I31" s="47"/>
    </row>
    <row r="32" spans="1:9" x14ac:dyDescent="0.25">
      <c r="A32" s="7">
        <v>1</v>
      </c>
      <c r="B32" s="7" t="s">
        <v>114</v>
      </c>
      <c r="D32" s="47"/>
      <c r="E32" s="47"/>
      <c r="F32" s="47"/>
      <c r="G32" s="47"/>
      <c r="H32" s="47"/>
      <c r="I32" s="47"/>
    </row>
    <row r="33" spans="1:9" x14ac:dyDescent="0.25">
      <c r="B33" t="s">
        <v>115</v>
      </c>
      <c r="D33" s="47"/>
      <c r="E33" s="47"/>
      <c r="F33" s="47"/>
      <c r="G33" s="47"/>
      <c r="H33" s="47"/>
      <c r="I33" s="47"/>
    </row>
    <row r="34" spans="1:9" x14ac:dyDescent="0.25">
      <c r="B34" s="8" t="s">
        <v>116</v>
      </c>
      <c r="D34" s="47"/>
      <c r="E34" s="47"/>
      <c r="F34" s="47"/>
      <c r="G34" s="47"/>
      <c r="H34" s="47">
        <v>11742179390</v>
      </c>
      <c r="I34" s="47">
        <v>12591287085</v>
      </c>
    </row>
    <row r="35" spans="1:9" x14ac:dyDescent="0.25">
      <c r="B35" s="8" t="s">
        <v>117</v>
      </c>
      <c r="D35" s="47"/>
      <c r="E35" s="47"/>
      <c r="F35" s="47"/>
      <c r="G35" s="47"/>
      <c r="H35" s="47">
        <v>36163</v>
      </c>
      <c r="I35" s="47">
        <v>14793105</v>
      </c>
    </row>
    <row r="36" spans="1:9" x14ac:dyDescent="0.25">
      <c r="B36" t="s">
        <v>118</v>
      </c>
      <c r="D36" s="47"/>
      <c r="E36" s="47"/>
      <c r="F36" s="47"/>
      <c r="G36" s="47"/>
      <c r="H36" s="47">
        <v>413420</v>
      </c>
      <c r="I36" s="47">
        <v>2579837</v>
      </c>
    </row>
    <row r="37" spans="1:9" x14ac:dyDescent="0.25">
      <c r="B37" t="s">
        <v>119</v>
      </c>
      <c r="D37" s="47"/>
      <c r="E37" s="47"/>
      <c r="F37" s="47"/>
      <c r="G37" s="47"/>
      <c r="H37" s="47">
        <v>0</v>
      </c>
      <c r="I37" s="47">
        <v>0</v>
      </c>
    </row>
    <row r="38" spans="1:9" x14ac:dyDescent="0.25">
      <c r="B38" t="s">
        <v>120</v>
      </c>
      <c r="D38" s="47"/>
      <c r="E38" s="47"/>
      <c r="F38" s="47"/>
      <c r="G38" s="47"/>
      <c r="H38" s="47">
        <v>0</v>
      </c>
      <c r="I38" s="47">
        <v>0</v>
      </c>
    </row>
    <row r="39" spans="1:9" x14ac:dyDescent="0.25">
      <c r="B39" s="7" t="s">
        <v>130</v>
      </c>
      <c r="D39" s="48">
        <f t="shared" ref="D39:H39" si="5">SUM(D34:D38)</f>
        <v>0</v>
      </c>
      <c r="E39" s="48">
        <f t="shared" si="5"/>
        <v>0</v>
      </c>
      <c r="F39" s="48">
        <f t="shared" si="5"/>
        <v>0</v>
      </c>
      <c r="G39" s="48">
        <f t="shared" si="5"/>
        <v>0</v>
      </c>
      <c r="H39" s="48">
        <f t="shared" si="5"/>
        <v>11742628973</v>
      </c>
      <c r="I39" s="48">
        <f>SUM(I34:I38)</f>
        <v>12608660027</v>
      </c>
    </row>
    <row r="40" spans="1:9" x14ac:dyDescent="0.25">
      <c r="A40" s="7">
        <v>2</v>
      </c>
      <c r="B40" s="7" t="s">
        <v>121</v>
      </c>
      <c r="D40" s="47"/>
      <c r="E40" s="47"/>
      <c r="F40" s="47"/>
      <c r="G40" s="47"/>
      <c r="H40" s="47"/>
      <c r="I40" s="47"/>
    </row>
    <row r="41" spans="1:9" x14ac:dyDescent="0.25">
      <c r="B41" t="s">
        <v>115</v>
      </c>
      <c r="D41" s="47"/>
      <c r="E41" s="47"/>
      <c r="F41" s="47"/>
      <c r="G41" s="47"/>
      <c r="H41" s="47"/>
      <c r="I41" s="47"/>
    </row>
    <row r="42" spans="1:9" x14ac:dyDescent="0.25">
      <c r="B42" s="8" t="s">
        <v>122</v>
      </c>
      <c r="D42" s="47"/>
      <c r="E42" s="47"/>
      <c r="F42" s="47"/>
      <c r="G42" s="47"/>
      <c r="H42" s="47">
        <v>15591618</v>
      </c>
      <c r="I42" s="47">
        <v>0</v>
      </c>
    </row>
    <row r="43" spans="1:9" x14ac:dyDescent="0.25">
      <c r="B43" s="9" t="s">
        <v>123</v>
      </c>
      <c r="D43" s="47"/>
      <c r="E43" s="47"/>
      <c r="F43" s="47"/>
      <c r="G43" s="47"/>
      <c r="H43" s="47">
        <v>0</v>
      </c>
      <c r="I43" s="47">
        <v>0</v>
      </c>
    </row>
    <row r="44" spans="1:9" x14ac:dyDescent="0.25">
      <c r="B44" s="9" t="s">
        <v>124</v>
      </c>
      <c r="D44" s="47"/>
      <c r="E44" s="47"/>
      <c r="F44" s="47"/>
      <c r="G44" s="47"/>
      <c r="H44" s="47">
        <v>0</v>
      </c>
      <c r="I44" s="47">
        <v>0</v>
      </c>
    </row>
    <row r="45" spans="1:9" x14ac:dyDescent="0.25">
      <c r="B45" s="8" t="s">
        <v>117</v>
      </c>
      <c r="D45" s="47"/>
      <c r="E45" s="47"/>
      <c r="F45" s="47"/>
      <c r="G45" s="47"/>
      <c r="H45" s="47">
        <v>23232867</v>
      </c>
      <c r="I45" s="47">
        <v>15522538</v>
      </c>
    </row>
    <row r="46" spans="1:9" x14ac:dyDescent="0.25">
      <c r="B46" s="8" t="s">
        <v>125</v>
      </c>
      <c r="D46" s="47"/>
      <c r="E46" s="47"/>
      <c r="F46" s="47"/>
      <c r="G46" s="47"/>
      <c r="H46" s="47">
        <v>379159383</v>
      </c>
      <c r="I46" s="47">
        <v>113485468</v>
      </c>
    </row>
    <row r="47" spans="1:9" x14ac:dyDescent="0.25">
      <c r="B47" s="8" t="s">
        <v>118</v>
      </c>
      <c r="D47" s="47"/>
      <c r="E47" s="47"/>
      <c r="F47" s="47"/>
      <c r="G47" s="47"/>
      <c r="H47" s="47"/>
      <c r="I47" s="47">
        <v>0</v>
      </c>
    </row>
    <row r="48" spans="1:9" x14ac:dyDescent="0.25">
      <c r="B48" s="8" t="s">
        <v>126</v>
      </c>
      <c r="D48" s="47"/>
      <c r="E48" s="47"/>
      <c r="F48" s="47"/>
      <c r="G48" s="47"/>
      <c r="H48" s="47"/>
      <c r="I48" s="47">
        <v>0</v>
      </c>
    </row>
    <row r="49" spans="2:9" x14ac:dyDescent="0.25">
      <c r="B49" s="44" t="s">
        <v>131</v>
      </c>
      <c r="D49" s="48">
        <f t="shared" ref="D49:G49" si="6">SUM(D42:D48)</f>
        <v>0</v>
      </c>
      <c r="E49" s="48">
        <f t="shared" si="6"/>
        <v>0</v>
      </c>
      <c r="F49" s="48">
        <f t="shared" si="6"/>
        <v>0</v>
      </c>
      <c r="G49" s="48">
        <f t="shared" si="6"/>
        <v>0</v>
      </c>
      <c r="H49" s="48">
        <f>SUM(H42:H48)</f>
        <v>417983868</v>
      </c>
      <c r="I49" s="48">
        <f>SUM(I42:I48)</f>
        <v>129008006</v>
      </c>
    </row>
    <row r="50" spans="2:9" x14ac:dyDescent="0.25">
      <c r="B50" s="44" t="s">
        <v>128</v>
      </c>
      <c r="D50" s="48">
        <f t="shared" ref="D50:G50" si="7">D30+D39+D49</f>
        <v>0</v>
      </c>
      <c r="E50" s="48">
        <f t="shared" si="7"/>
        <v>0</v>
      </c>
      <c r="F50" s="48">
        <f t="shared" si="7"/>
        <v>0</v>
      </c>
      <c r="G50" s="48">
        <f t="shared" si="7"/>
        <v>0</v>
      </c>
      <c r="H50" s="48">
        <f>H30+H39+H49</f>
        <v>7966675607</v>
      </c>
      <c r="I50" s="48">
        <f>I30+I39+I49</f>
        <v>6193101416</v>
      </c>
    </row>
  </sheetData>
  <mergeCells count="2">
    <mergeCell ref="B2:D3"/>
    <mergeCell ref="B4:D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P&amp; L</vt:lpstr>
      <vt:lpstr>EV</vt:lpstr>
      <vt:lpstr>Assumption</vt:lpstr>
      <vt:lpstr>Balance sheet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2021-08-16T10:25:23Z</dcterms:modified>
</cp:coreProperties>
</file>