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ngineer3\Desktop\Fabtech Sugar\"/>
    </mc:Choice>
  </mc:AlternateContent>
  <bookViews>
    <workbookView xWindow="0" yWindow="0" windowWidth="20490" windowHeight="7455" activeTab="1"/>
  </bookViews>
  <sheets>
    <sheet name="Sheet1" sheetId="1" r:id="rId1"/>
    <sheet name="Sheet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5" i="2" l="1"/>
  <c r="AB34" i="2"/>
  <c r="AB33" i="2"/>
  <c r="AB37" i="2" l="1"/>
  <c r="J12" i="2"/>
  <c r="P8" i="2"/>
  <c r="P9" i="2" l="1"/>
  <c r="I24" i="1"/>
  <c r="I21" i="1"/>
  <c r="K21" i="1" s="1"/>
  <c r="I22" i="1"/>
  <c r="I18" i="1"/>
  <c r="K18" i="1"/>
  <c r="I19" i="1"/>
  <c r="K16" i="1"/>
  <c r="K28" i="1"/>
  <c r="K27" i="1"/>
  <c r="K26" i="1"/>
  <c r="K25" i="1"/>
  <c r="K24" i="1"/>
  <c r="K23" i="1"/>
  <c r="K22" i="1"/>
  <c r="K20" i="1"/>
  <c r="K19" i="1"/>
  <c r="K17" i="1"/>
  <c r="K15" i="1"/>
  <c r="K14" i="1"/>
  <c r="K13" i="1"/>
  <c r="K12" i="1"/>
  <c r="K11" i="1"/>
  <c r="K10" i="1"/>
  <c r="K9" i="1"/>
  <c r="K8" i="1"/>
  <c r="J8" i="1"/>
  <c r="J28" i="1"/>
  <c r="J27" i="1"/>
  <c r="J26" i="1"/>
  <c r="J25" i="1"/>
  <c r="J24" i="1"/>
  <c r="J23" i="1"/>
  <c r="J22" i="1"/>
  <c r="J21" i="1"/>
  <c r="J20" i="1"/>
  <c r="J19" i="1"/>
  <c r="J18" i="1"/>
  <c r="J17" i="1"/>
  <c r="J16" i="1"/>
  <c r="J15" i="1"/>
  <c r="J14" i="1"/>
  <c r="J12" i="1"/>
  <c r="J11" i="1"/>
  <c r="J10" i="1"/>
  <c r="J9" i="1"/>
  <c r="P13" i="2" l="1"/>
  <c r="I32" i="1" l="1"/>
  <c r="M12" i="2" l="1"/>
  <c r="Q12" i="2" s="1"/>
  <c r="R12" i="2" s="1"/>
  <c r="T12" i="2" s="1"/>
  <c r="O13" i="2" l="1"/>
  <c r="N13" i="2"/>
  <c r="M11" i="2"/>
  <c r="M10" i="2"/>
  <c r="M9" i="2"/>
  <c r="M8" i="2"/>
  <c r="J11" i="2"/>
  <c r="J10" i="2"/>
  <c r="J9" i="2"/>
  <c r="Q9" i="2" s="1"/>
  <c r="J8" i="2"/>
  <c r="Q8" i="2" l="1"/>
  <c r="R8" i="2" s="1"/>
  <c r="T8" i="2" s="1"/>
  <c r="R9" i="2"/>
  <c r="T9" i="2" s="1"/>
  <c r="Q10" i="2"/>
  <c r="R10" i="2" s="1"/>
  <c r="T10" i="2" s="1"/>
  <c r="Q11" i="2"/>
  <c r="R11" i="2" s="1"/>
  <c r="T11" i="2" s="1"/>
  <c r="N29" i="1"/>
  <c r="T13" i="2" l="1"/>
  <c r="W13" i="2" s="1"/>
  <c r="R13" i="2"/>
  <c r="Q13" i="2"/>
</calcChain>
</file>

<file path=xl/sharedStrings.xml><?xml version="1.0" encoding="utf-8"?>
<sst xmlns="http://schemas.openxmlformats.org/spreadsheetml/2006/main" count="111" uniqueCount="77">
  <si>
    <t>Amount Captioned for Setup</t>
  </si>
  <si>
    <t>Plant Section</t>
  </si>
  <si>
    <r>
      <t xml:space="preserve">Other Plant Capacity
</t>
    </r>
    <r>
      <rPr>
        <i/>
        <sz val="11"/>
        <color theme="0"/>
        <rFont val="Calibri"/>
        <family val="2"/>
        <scheme val="minor"/>
      </rPr>
      <t>(MT/MW)</t>
    </r>
  </si>
  <si>
    <r>
      <t xml:space="preserve">Concast Plant Capacity
</t>
    </r>
    <r>
      <rPr>
        <i/>
        <sz val="11"/>
        <color theme="0"/>
        <rFont val="Calibri"/>
        <family val="2"/>
        <scheme val="minor"/>
      </rPr>
      <t>(MT/MW)</t>
    </r>
  </si>
  <si>
    <t>Per MT/MW Cost</t>
  </si>
  <si>
    <t>Replacement Cost to Concast Steel Plant Machinery</t>
  </si>
  <si>
    <t>Total</t>
  </si>
  <si>
    <t>Per MT/MW Amount to Setup Plant with same Capacity of Concast</t>
  </si>
  <si>
    <t>Industry Name</t>
  </si>
  <si>
    <t xml:space="preserve">Sr. No. </t>
  </si>
  <si>
    <t>Captive Power Plant 
(CPP)</t>
  </si>
  <si>
    <t>Commercial Operation Date
(COD)</t>
  </si>
  <si>
    <t xml:space="preserve">Date of Valuation </t>
  </si>
  <si>
    <t>Salvage Value</t>
  </si>
  <si>
    <t>Depreciation factor</t>
  </si>
  <si>
    <r>
      <t xml:space="preserve">Economic Life
</t>
    </r>
    <r>
      <rPr>
        <i/>
        <sz val="10"/>
        <rFont val="Calibri"/>
        <family val="2"/>
        <scheme val="minor"/>
      </rPr>
      <t>(in year)</t>
    </r>
  </si>
  <si>
    <r>
      <t xml:space="preserve">Gross Block Value
</t>
    </r>
    <r>
      <rPr>
        <i/>
        <sz val="10"/>
        <rFont val="Calibri"/>
        <family val="2"/>
        <scheme val="minor"/>
      </rPr>
      <t>(In INR)</t>
    </r>
  </si>
  <si>
    <r>
      <t xml:space="preserve">Net Block Value 
</t>
    </r>
    <r>
      <rPr>
        <i/>
        <sz val="10"/>
        <rFont val="Calibri"/>
        <family val="2"/>
        <scheme val="minor"/>
      </rPr>
      <t>(in INR)</t>
    </r>
  </si>
  <si>
    <r>
      <t xml:space="preserve">Estimated Replacement Cost of the project 
</t>
    </r>
    <r>
      <rPr>
        <i/>
        <sz val="10"/>
        <rFont val="Calibri"/>
        <family val="2"/>
        <scheme val="minor"/>
      </rPr>
      <t>(As per information available on public domain)</t>
    </r>
  </si>
  <si>
    <t>Depreciation</t>
  </si>
  <si>
    <t>Depreciated Value</t>
  </si>
  <si>
    <t>Obselence Factor</t>
  </si>
  <si>
    <r>
      <t xml:space="preserve">Life Consumed by Plant &amp; Machines
</t>
    </r>
    <r>
      <rPr>
        <i/>
        <sz val="10"/>
        <rFont val="Calibri"/>
        <family val="2"/>
        <scheme val="minor"/>
      </rPr>
      <t>(in Year)</t>
    </r>
  </si>
  <si>
    <t>Current Depreciated Replacement Value</t>
  </si>
  <si>
    <t>Notes:</t>
  </si>
  <si>
    <t>14. Final valuation includes Design, erection, procurement, installation &amp; commissioning charges as well.</t>
  </si>
  <si>
    <t>9. We have also taken different discounting factor on different section for adjusting physical &amp; functional obsolescence and deterioration factor on Depreciated value of section for arriving the Current Depreciated Value of each section of plant accordingly.</t>
  </si>
  <si>
    <t>Sugar Cane Crushing Unit</t>
  </si>
  <si>
    <t>Distillery Plant</t>
  </si>
  <si>
    <t>Capacity</t>
  </si>
  <si>
    <t>Switchyard</t>
  </si>
  <si>
    <t>20 MW</t>
  </si>
  <si>
    <t>5000 TCD</t>
  </si>
  <si>
    <t>65 KLPD</t>
  </si>
  <si>
    <t>10 MW</t>
  </si>
  <si>
    <t>2 MW</t>
  </si>
  <si>
    <t>M/s. Sagar Sugars And Allied Products Limited</t>
  </si>
  <si>
    <t>Setup Year</t>
  </si>
  <si>
    <t>M/s. The Jeypore Sugar Company Limited</t>
  </si>
  <si>
    <t>M/s. Sudalagunta Sugars Limited</t>
  </si>
  <si>
    <t>Krishnaveni Sugar Ltd</t>
  </si>
  <si>
    <t>NCS Sugars</t>
  </si>
  <si>
    <t>Maurya Sugar</t>
  </si>
  <si>
    <t>Harinagar Sugar Mill Limited</t>
  </si>
  <si>
    <t>New Swadeshi Sugar Mill</t>
  </si>
  <si>
    <t>Tirupati Sugar</t>
  </si>
  <si>
    <t>Shahabad Coperative Sugar Ltd</t>
  </si>
  <si>
    <t>Naraingarh Sugar Mills Ltd</t>
  </si>
  <si>
    <t>Placcadlly Agro Industries Ltd.</t>
  </si>
  <si>
    <t>inflation</t>
  </si>
  <si>
    <t>Tyre</t>
  </si>
  <si>
    <t>Tractor Trolley</t>
  </si>
  <si>
    <t>Item</t>
  </si>
  <si>
    <t>Quantity</t>
  </si>
  <si>
    <r>
      <t xml:space="preserve">Estimated Replacement Cost of the Item 
</t>
    </r>
    <r>
      <rPr>
        <i/>
        <sz val="10"/>
        <rFont val="Calibri"/>
        <family val="2"/>
        <scheme val="minor"/>
      </rPr>
      <t>(As per information available on public domain)</t>
    </r>
  </si>
  <si>
    <t>Secondary Market Rate per item</t>
  </si>
  <si>
    <t>Condition</t>
  </si>
  <si>
    <t>Average</t>
  </si>
  <si>
    <t>Scrap</t>
  </si>
  <si>
    <t>Below Average</t>
  </si>
  <si>
    <t>Furniture &amp; Fixtures</t>
  </si>
  <si>
    <t>Fair Market Value</t>
  </si>
  <si>
    <t>S.No</t>
  </si>
  <si>
    <t>Tractor Trolley erb Weght 900 Kg)</t>
  </si>
  <si>
    <t>LumpSum Value</t>
  </si>
  <si>
    <t>VALUATION OF OTHRE ASSETS OF M/S. FABTECH SUGAR LIMITED | DISTRICT-SOLAPUR, MAHARASHTRA</t>
  </si>
  <si>
    <t>1. Asset items pertaining to M/S. Fabtech Sugar Limited situated at Solapur, Maharashtra is only considered in this report.</t>
  </si>
  <si>
    <t>2. In the provided FAR to us Asset items of different classes are grouped together and there is no biffurcation is provided for the same.</t>
  </si>
  <si>
    <t>4. The replacement cost of the Plant &amp; Machinery has been taken on the basis of recently approved integrated sugar plants in India based on their Pre- feasibility report as there is no detaild biffercation &amp; no technical specification of the sections of the plant provided to us by the RP.</t>
  </si>
  <si>
    <t>5. The Replacement cost of the plant does not include replacement value machine wise. Due to unavailability of detailed fixed assets register, we have considered the total lumpsum cost for the each section based on the market research and data available on public domain. This is only done for calculation purpose and replacement cost shouldn’t be construed for individual machine but should be considered on lump sum basis for the overall section of Plant &amp; Machinery.</t>
  </si>
  <si>
    <t xml:space="preserve">6. The economical life of the described section has been taken on the basis of companies act-2013 and also the life of old inhabitant sugar plant in India. </t>
  </si>
  <si>
    <t xml:space="preserve">7. The economical life of the described section has been taken on the basis of companies act-2013 and also the life of old inhabitant sugar plant in India. </t>
  </si>
  <si>
    <t>8. The economic life of the assets of each sections of sugar plant has been taken on the basis of Companies Act- 2013 i.e. 20 years as a whole except captive power plant (CPP). The economical life of the CPP has been taken on the basis of CERC Act i.e. 25-years.</t>
  </si>
  <si>
    <t>10. During our site visit we came to know that the plant was not in operation since Feb-2020 and there is no maintenance has been since then.</t>
  </si>
  <si>
    <t>11. Engineering team visited all the sections and manually inspected the machines and equipments on the basis of their physical existence and not based on their technical expidency. Plant was not found maintained during the site visit.</t>
  </si>
  <si>
    <t>VALUATION OF PLANT &amp; MACHINERY OF M/S. FABTECH SUGAR LIMITED | DISTRICT-SOLAPUR, MAHARASHTRA</t>
  </si>
  <si>
    <t>3. RP has provided us the Fixed Asset Register (FAR) for the purpose of Valuation. In the provided FAR, no detail assets/ item's description provided to us inspite of our request. Therefore,  for the Valuation purpose we have not considered the provided FAR Value and for the assessment of current depreciated Value, we have done the market survey and take the referenes from the Project feasibility Report of various sugarplants proposed for establishment. Asset wise original purchase cost and capitalisation date was not available to us.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</si>
</sst>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quot;₹&quot;\ * #,##0.00_ ;_ &quot;₹&quot;\ * \-#,##0.00_ ;_ &quot;₹&quot;\ * &quot;-&quot;??_ ;_ @_ "/>
    <numFmt numFmtId="43" formatCode="_ * #,##0.00_ ;_ * \-#,##0.00_ ;_ * &quot;-&quot;??_ ;_ @_ "/>
    <numFmt numFmtId="164" formatCode="_ * #,##0_ ;_ * \-#,##0_ ;_ * &quot;-&quot;??_ ;_ @_ "/>
    <numFmt numFmtId="165" formatCode="_ [$₹-4009]\ * #,##0.00_ ;_ [$₹-4009]\ * \-#,##0.00_ ;_ [$₹-4009]\ * &quot;-&quot;??_ ;_ @_ "/>
    <numFmt numFmtId="166" formatCode="_ [$₹-4009]\ * #,##0_ ;_ [$₹-4009]\ * \-#,##0_ ;_ [$₹-4009]\ * &quot;-&quot;??_ ;_ @_ "/>
    <numFmt numFmtId="167" formatCode="_ &quot;₹&quot;\ * #,##0_ ;_ &quot;₹&quot;\ * \-#,##0_ ;_ &quot;₹&quot;\ * &quot;-&quot;??_ ;_ @_ "/>
    <numFmt numFmtId="168" formatCode="0.000"/>
  </numFmts>
  <fonts count="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0"/>
      <name val="Calibri"/>
      <family val="2"/>
      <scheme val="minor"/>
    </font>
    <font>
      <b/>
      <sz val="11"/>
      <name val="Calibri"/>
      <family val="2"/>
      <scheme val="minor"/>
    </font>
    <font>
      <i/>
      <sz val="10"/>
      <name val="Calibri"/>
      <family val="2"/>
      <scheme val="minor"/>
    </font>
    <font>
      <b/>
      <i/>
      <sz val="11"/>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166" fontId="0" fillId="0" borderId="1" xfId="1" applyNumberFormat="1" applyFont="1" applyBorder="1"/>
    <xf numFmtId="164" fontId="0" fillId="0" borderId="1" xfId="1" applyNumberFormat="1" applyFont="1" applyBorder="1"/>
    <xf numFmtId="0" fontId="2" fillId="2" borderId="1" xfId="0" applyFont="1" applyFill="1" applyBorder="1" applyAlignment="1">
      <alignment horizontal="center" vertical="center" wrapText="1"/>
    </xf>
    <xf numFmtId="166" fontId="0" fillId="0" borderId="0" xfId="0" applyNumberFormat="1"/>
    <xf numFmtId="165" fontId="0" fillId="0" borderId="0" xfId="0" applyNumberFormat="1"/>
    <xf numFmtId="0" fontId="3" fillId="0" borderId="0" xfId="0" applyFont="1"/>
    <xf numFmtId="166" fontId="3" fillId="0" borderId="1" xfId="0" applyNumberFormat="1" applyFont="1" applyBorder="1"/>
    <xf numFmtId="0" fontId="3" fillId="0" borderId="1" xfId="0" applyFont="1" applyBorder="1" applyAlignment="1">
      <alignment horizontal="center" vertical="center" wrapText="1"/>
    </xf>
    <xf numFmtId="43" fontId="0" fillId="0" borderId="0" xfId="1" applyFont="1"/>
    <xf numFmtId="43" fontId="0" fillId="0" borderId="0" xfId="0" applyNumberFormat="1"/>
    <xf numFmtId="166" fontId="0" fillId="0" borderId="1" xfId="1" applyNumberFormat="1" applyFont="1" applyBorder="1" applyAlignment="1">
      <alignment horizontal="center" vertical="center"/>
    </xf>
    <xf numFmtId="0" fontId="0" fillId="0" borderId="1" xfId="0" applyBorder="1" applyAlignment="1">
      <alignment horizontal="center" vertical="center"/>
    </xf>
    <xf numFmtId="0" fontId="5"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2" fontId="0" fillId="0" borderId="1" xfId="0" applyNumberFormat="1" applyFont="1" applyBorder="1" applyAlignment="1">
      <alignment horizontal="center" vertical="center" wrapText="1"/>
    </xf>
    <xf numFmtId="9" fontId="0" fillId="0" borderId="1" xfId="0" applyNumberFormat="1" applyFont="1" applyBorder="1" applyAlignment="1">
      <alignment horizontal="center" vertical="center" wrapText="1"/>
    </xf>
    <xf numFmtId="167" fontId="3" fillId="3" borderId="1" xfId="2" applyNumberFormat="1" applyFont="1" applyFill="1" applyBorder="1" applyAlignment="1">
      <alignment horizontal="center" vertical="center" wrapText="1"/>
    </xf>
    <xf numFmtId="44" fontId="3" fillId="3" borderId="1" xfId="2" applyFont="1" applyFill="1" applyBorder="1" applyAlignment="1">
      <alignment horizontal="center" vertical="center" wrapText="1"/>
    </xf>
    <xf numFmtId="165" fontId="3" fillId="0" borderId="1" xfId="0" applyNumberFormat="1" applyFont="1" applyFill="1" applyBorder="1" applyAlignment="1">
      <alignment vertical="center"/>
    </xf>
    <xf numFmtId="10" fontId="0" fillId="0" borderId="1" xfId="3" applyNumberFormat="1" applyFont="1" applyBorder="1" applyAlignment="1">
      <alignment horizontal="center" vertical="center"/>
    </xf>
    <xf numFmtId="166" fontId="3" fillId="0" borderId="1" xfId="0" applyNumberFormat="1" applyFont="1" applyFill="1" applyBorder="1" applyAlignment="1">
      <alignment vertical="center"/>
    </xf>
    <xf numFmtId="166" fontId="0" fillId="0" borderId="1" xfId="1" applyNumberFormat="1" applyFont="1" applyBorder="1" applyAlignment="1">
      <alignment vertical="center"/>
    </xf>
    <xf numFmtId="167" fontId="0" fillId="0" borderId="1" xfId="2" applyNumberFormat="1" applyFont="1" applyFill="1" applyBorder="1" applyAlignment="1">
      <alignment horizontal="center" vertical="center" wrapText="1"/>
    </xf>
    <xf numFmtId="9" fontId="0" fillId="0" borderId="0" xfId="3" applyFont="1"/>
    <xf numFmtId="43" fontId="0" fillId="0" borderId="0" xfId="1" applyFont="1" applyAlignment="1">
      <alignment horizontal="center" vertical="center"/>
    </xf>
    <xf numFmtId="43" fontId="0" fillId="0" borderId="0" xfId="0" applyNumberFormat="1" applyAlignment="1">
      <alignment horizontal="center" vertical="center"/>
    </xf>
    <xf numFmtId="166" fontId="0" fillId="0" borderId="1" xfId="1" applyNumberFormat="1" applyFont="1" applyBorder="1" applyAlignment="1">
      <alignment horizontal="center" vertical="center"/>
    </xf>
    <xf numFmtId="164" fontId="0" fillId="0" borderId="1" xfId="1" applyNumberFormat="1" applyFont="1" applyBorder="1" applyAlignment="1">
      <alignment horizontal="center" vertical="center"/>
    </xf>
    <xf numFmtId="0" fontId="0" fillId="0" borderId="1" xfId="1" applyNumberFormat="1" applyFont="1" applyBorder="1" applyAlignment="1">
      <alignment vertical="center"/>
    </xf>
    <xf numFmtId="166" fontId="0" fillId="0" borderId="1" xfId="0" applyNumberFormat="1" applyBorder="1" applyAlignment="1">
      <alignment vertical="center"/>
    </xf>
    <xf numFmtId="0" fontId="0" fillId="0" borderId="0" xfId="0" applyAlignment="1">
      <alignment horizontal="center" vertical="center"/>
    </xf>
    <xf numFmtId="0" fontId="3" fillId="0" borderId="0" xfId="0" applyFont="1" applyBorder="1" applyAlignment="1">
      <alignment horizontal="center" vertical="center" wrapText="1"/>
    </xf>
    <xf numFmtId="166" fontId="0" fillId="0" borderId="2" xfId="1" applyNumberFormat="1" applyFont="1" applyBorder="1" applyAlignment="1">
      <alignment horizontal="center" vertical="center"/>
    </xf>
    <xf numFmtId="9" fontId="0" fillId="0" borderId="1" xfId="3" applyFont="1" applyBorder="1"/>
    <xf numFmtId="166" fontId="0" fillId="0" borderId="2" xfId="1" applyNumberFormat="1" applyFont="1" applyBorder="1" applyAlignment="1">
      <alignment vertical="center"/>
    </xf>
    <xf numFmtId="166" fontId="0" fillId="0" borderId="8" xfId="1" applyNumberFormat="1" applyFont="1" applyBorder="1" applyAlignment="1">
      <alignment vertical="center"/>
    </xf>
    <xf numFmtId="166" fontId="0" fillId="0" borderId="3" xfId="1" applyNumberFormat="1" applyFont="1" applyBorder="1" applyAlignment="1">
      <alignment vertical="center"/>
    </xf>
    <xf numFmtId="168" fontId="0" fillId="0" borderId="1" xfId="0" applyNumberFormat="1" applyFont="1" applyBorder="1" applyAlignment="1">
      <alignment horizontal="center" vertical="center" wrapText="1"/>
    </xf>
    <xf numFmtId="0" fontId="0" fillId="0" borderId="1" xfId="0" applyBorder="1" applyAlignment="1">
      <alignment horizontal="left" vertical="top"/>
    </xf>
    <xf numFmtId="9" fontId="0" fillId="0" borderId="1" xfId="3" applyFont="1" applyBorder="1" applyAlignment="1">
      <alignment horizontal="left" vertical="top"/>
    </xf>
    <xf numFmtId="0" fontId="0" fillId="0" borderId="1" xfId="0" applyNumberFormat="1" applyBorder="1" applyAlignment="1">
      <alignment horizontal="center" vertical="top"/>
    </xf>
    <xf numFmtId="0" fontId="0" fillId="0" borderId="1" xfId="0" applyBorder="1" applyAlignment="1">
      <alignment horizontal="center" vertical="top"/>
    </xf>
    <xf numFmtId="166" fontId="0" fillId="0" borderId="1" xfId="0" applyNumberFormat="1" applyBorder="1" applyAlignment="1">
      <alignment horizontal="center" vertical="top"/>
    </xf>
    <xf numFmtId="0" fontId="0" fillId="0" borderId="1" xfId="0" applyBorder="1" applyAlignment="1">
      <alignment horizontal="center" vertical="top" wrapText="1"/>
    </xf>
    <xf numFmtId="166" fontId="3" fillId="0" borderId="0" xfId="0" applyNumberFormat="1" applyFont="1"/>
    <xf numFmtId="0" fontId="3" fillId="0" borderId="1" xfId="0" applyFont="1" applyFill="1" applyBorder="1" applyAlignment="1">
      <alignment horizontal="center" vertical="center"/>
    </xf>
    <xf numFmtId="0" fontId="3" fillId="0" borderId="1" xfId="0" applyFont="1" applyBorder="1" applyAlignment="1">
      <alignment horizontal="center"/>
    </xf>
    <xf numFmtId="166" fontId="0" fillId="0" borderId="4" xfId="0" applyNumberFormat="1" applyBorder="1" applyAlignment="1">
      <alignment horizontal="center" vertical="top"/>
    </xf>
    <xf numFmtId="166" fontId="0" fillId="0" borderId="6" xfId="0" applyNumberFormat="1" applyBorder="1" applyAlignment="1">
      <alignment horizontal="center" vertical="top"/>
    </xf>
    <xf numFmtId="0" fontId="2" fillId="2" borderId="7" xfId="0" applyFont="1" applyFill="1" applyBorder="1" applyAlignment="1">
      <alignment horizontal="center"/>
    </xf>
    <xf numFmtId="166" fontId="0" fillId="0" borderId="2" xfId="0" applyNumberFormat="1" applyFont="1" applyBorder="1" applyAlignment="1">
      <alignment horizontal="center" vertical="center" wrapText="1"/>
    </xf>
    <xf numFmtId="166" fontId="0" fillId="0" borderId="3" xfId="0" applyNumberFormat="1" applyFont="1" applyBorder="1" applyAlignment="1">
      <alignment horizontal="center" vertical="center" wrapText="1"/>
    </xf>
    <xf numFmtId="0" fontId="2" fillId="2" borderId="7" xfId="0" applyFont="1" applyFill="1" applyBorder="1" applyAlignment="1"/>
    <xf numFmtId="0" fontId="8" fillId="0" borderId="5" xfId="0" applyFont="1" applyBorder="1" applyAlignment="1">
      <alignment vertical="center" wrapText="1"/>
    </xf>
    <xf numFmtId="0" fontId="8" fillId="0" borderId="6" xfId="0" applyFont="1" applyBorder="1" applyAlignment="1">
      <alignment vertical="center" wrapText="1"/>
    </xf>
    <xf numFmtId="0" fontId="8" fillId="4" borderId="5" xfId="0" applyFont="1" applyFill="1" applyBorder="1" applyAlignment="1">
      <alignment vertical="center" wrapText="1"/>
    </xf>
    <xf numFmtId="0" fontId="8" fillId="4" borderId="6" xfId="0" applyFont="1" applyFill="1" applyBorder="1" applyAlignment="1">
      <alignment vertical="center" wrapText="1"/>
    </xf>
    <xf numFmtId="0" fontId="8" fillId="0" borderId="5" xfId="0" applyFont="1" applyFill="1" applyBorder="1" applyAlignment="1">
      <alignment vertical="center" wrapText="1"/>
    </xf>
    <xf numFmtId="0" fontId="8" fillId="0" borderId="6" xfId="0" applyFont="1" applyFill="1" applyBorder="1" applyAlignment="1">
      <alignment vertical="center" wrapText="1"/>
    </xf>
    <xf numFmtId="0" fontId="7" fillId="0" borderId="5" xfId="0" applyFont="1" applyBorder="1" applyAlignment="1">
      <alignment vertical="center"/>
    </xf>
    <xf numFmtId="0" fontId="7" fillId="0" borderId="6" xfId="0" applyFont="1" applyBorder="1" applyAlignment="1">
      <alignment vertical="center"/>
    </xf>
    <xf numFmtId="0" fontId="7" fillId="0" borderId="1" xfId="0" applyFont="1" applyBorder="1" applyAlignment="1">
      <alignment horizontal="left" vertical="center"/>
    </xf>
    <xf numFmtId="0" fontId="8" fillId="0" borderId="1" xfId="0" applyFont="1" applyBorder="1" applyAlignment="1">
      <alignment horizontal="left" vertical="center" wrapText="1"/>
    </xf>
    <xf numFmtId="0" fontId="8" fillId="4" borderId="1" xfId="0" applyFont="1" applyFill="1" applyBorder="1" applyAlignment="1">
      <alignment horizontal="left" vertical="center" wrapText="1"/>
    </xf>
    <xf numFmtId="0" fontId="8" fillId="0" borderId="1" xfId="0" applyFont="1" applyFill="1" applyBorder="1" applyAlignment="1">
      <alignment horizontal="left" vertic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X50"/>
  <sheetViews>
    <sheetView topLeftCell="A7" workbookViewId="0">
      <pane xSplit="4" ySplit="1" topLeftCell="E22" activePane="bottomRight" state="frozen"/>
      <selection activeCell="A7" sqref="A7"/>
      <selection pane="topRight" activeCell="E7" sqref="E7"/>
      <selection pane="bottomLeft" activeCell="A8" sqref="A8"/>
      <selection pane="bottomRight" activeCell="K28" sqref="K28"/>
    </sheetView>
  </sheetViews>
  <sheetFormatPr defaultRowHeight="15" x14ac:dyDescent="0.25"/>
  <cols>
    <col min="2" max="2" width="15.28515625" bestFit="1" customWidth="1"/>
    <col min="4" max="4" width="12.5703125" bestFit="1" customWidth="1"/>
    <col min="5" max="5" width="15" customWidth="1"/>
    <col min="6" max="6" width="20.28515625" customWidth="1"/>
    <col min="7" max="7" width="10.5703125" style="32" bestFit="1" customWidth="1"/>
    <col min="8" max="8" width="11.140625" bestFit="1" customWidth="1"/>
    <col min="9" max="9" width="15.85546875" bestFit="1" customWidth="1"/>
    <col min="10" max="10" width="15.85546875" customWidth="1"/>
    <col min="11" max="11" width="15.85546875" bestFit="1" customWidth="1"/>
    <col min="12" max="12" width="16.85546875" customWidth="1"/>
    <col min="13" max="13" width="12.85546875" bestFit="1" customWidth="1"/>
    <col min="14" max="14" width="17.28515625" bestFit="1" customWidth="1"/>
    <col min="16" max="23" width="5" bestFit="1" customWidth="1"/>
  </cols>
  <sheetData>
    <row r="7" spans="2:17" ht="75" x14ac:dyDescent="0.25">
      <c r="E7" s="3" t="s">
        <v>1</v>
      </c>
      <c r="F7" s="3" t="s">
        <v>8</v>
      </c>
      <c r="G7" s="3" t="s">
        <v>37</v>
      </c>
      <c r="H7" s="3" t="s">
        <v>2</v>
      </c>
      <c r="I7" s="3" t="s">
        <v>0</v>
      </c>
      <c r="J7" s="3" t="s">
        <v>49</v>
      </c>
      <c r="K7" s="3" t="s">
        <v>4</v>
      </c>
      <c r="L7" s="3" t="s">
        <v>7</v>
      </c>
      <c r="M7" s="3" t="s">
        <v>3</v>
      </c>
      <c r="N7" s="3" t="s">
        <v>5</v>
      </c>
    </row>
    <row r="8" spans="2:17" ht="30" x14ac:dyDescent="0.25">
      <c r="E8" s="14" t="s">
        <v>27</v>
      </c>
      <c r="F8" s="8"/>
      <c r="G8" s="8">
        <v>2010</v>
      </c>
      <c r="H8" s="2">
        <v>4500</v>
      </c>
      <c r="I8" s="1">
        <v>131200000</v>
      </c>
      <c r="J8" s="35">
        <f>HLOOKUP(G8,$H$39:$W$40,2,0)</f>
        <v>0.33805129859654742</v>
      </c>
      <c r="K8" s="28">
        <f>(I8*(1+J8))/H8</f>
        <v>39011.628972414888</v>
      </c>
      <c r="L8" s="23"/>
      <c r="M8" s="30"/>
      <c r="N8" s="31"/>
      <c r="Q8" s="9"/>
    </row>
    <row r="9" spans="2:17" ht="30" x14ac:dyDescent="0.25">
      <c r="E9" s="14" t="s">
        <v>28</v>
      </c>
      <c r="F9" s="8" t="s">
        <v>39</v>
      </c>
      <c r="G9" s="8">
        <v>2010</v>
      </c>
      <c r="H9" s="2">
        <v>120</v>
      </c>
      <c r="I9" s="1">
        <v>565700000</v>
      </c>
      <c r="J9" s="35">
        <f>HLOOKUP(G9,$H$39:$W$40,2,0)</f>
        <v>0.33805129859654742</v>
      </c>
      <c r="K9" s="28">
        <f t="shared" ref="K9:K28" si="0">(I9*(1+J9))/H9</f>
        <v>6307796.8301338898</v>
      </c>
      <c r="L9" s="23"/>
      <c r="M9" s="30"/>
      <c r="N9" s="31"/>
      <c r="Q9" s="9"/>
    </row>
    <row r="10" spans="2:17" ht="45" x14ac:dyDescent="0.25">
      <c r="E10" s="14" t="s">
        <v>28</v>
      </c>
      <c r="F10" s="8" t="s">
        <v>36</v>
      </c>
      <c r="G10" s="8">
        <v>2017</v>
      </c>
      <c r="H10" s="29">
        <v>70</v>
      </c>
      <c r="I10" s="28">
        <v>275265586</v>
      </c>
      <c r="J10" s="35">
        <f t="shared" ref="J10:J28" si="1">HLOOKUP(G10,$H$39:$W$40,2,0)</f>
        <v>6.5088757396449565E-2</v>
      </c>
      <c r="K10" s="28">
        <f t="shared" si="0"/>
        <v>4188318.2992392215</v>
      </c>
      <c r="L10" s="23"/>
      <c r="M10" s="30"/>
      <c r="N10" s="31"/>
      <c r="O10" s="4"/>
      <c r="P10" s="5"/>
    </row>
    <row r="11" spans="2:17" ht="30" x14ac:dyDescent="0.25">
      <c r="E11" s="14" t="s">
        <v>28</v>
      </c>
      <c r="F11" s="8" t="s">
        <v>44</v>
      </c>
      <c r="G11" s="33">
        <v>2008</v>
      </c>
      <c r="H11" s="29">
        <v>70</v>
      </c>
      <c r="I11" s="34">
        <v>360700000</v>
      </c>
      <c r="J11" s="35">
        <f t="shared" si="1"/>
        <v>0.42849909584086765</v>
      </c>
      <c r="K11" s="28">
        <f t="shared" si="0"/>
        <v>7360851.7695685858</v>
      </c>
      <c r="L11" s="23"/>
      <c r="M11" s="30"/>
      <c r="N11" s="31"/>
      <c r="O11" s="4"/>
      <c r="P11" s="5"/>
    </row>
    <row r="12" spans="2:17" ht="30" x14ac:dyDescent="0.25">
      <c r="E12" s="14" t="s">
        <v>28</v>
      </c>
      <c r="F12" s="8" t="s">
        <v>43</v>
      </c>
      <c r="G12" s="33">
        <v>2007</v>
      </c>
      <c r="H12" s="29">
        <v>45</v>
      </c>
      <c r="I12" s="34">
        <v>221000000</v>
      </c>
      <c r="J12" s="35">
        <f t="shared" si="1"/>
        <v>0.51859758330281913</v>
      </c>
      <c r="K12" s="28">
        <f t="shared" si="0"/>
        <v>7458001.4646649556</v>
      </c>
      <c r="L12" s="23"/>
      <c r="M12" s="30"/>
      <c r="N12" s="31"/>
      <c r="O12" s="4"/>
      <c r="P12" s="5"/>
    </row>
    <row r="13" spans="2:17" ht="30" x14ac:dyDescent="0.25">
      <c r="B13" s="9"/>
      <c r="D13" s="10"/>
      <c r="E13" s="14" t="s">
        <v>28</v>
      </c>
      <c r="F13" s="8" t="s">
        <v>46</v>
      </c>
      <c r="G13" s="33">
        <v>2005</v>
      </c>
      <c r="H13" s="29">
        <v>45</v>
      </c>
      <c r="I13" s="34">
        <v>220000000</v>
      </c>
      <c r="J13" s="35">
        <v>0.5</v>
      </c>
      <c r="K13" s="28">
        <f t="shared" si="0"/>
        <v>7333333.333333333</v>
      </c>
      <c r="L13" s="23"/>
      <c r="M13" s="30"/>
      <c r="N13" s="31"/>
      <c r="O13" s="4"/>
      <c r="P13" s="5"/>
    </row>
    <row r="14" spans="2:17" ht="30" x14ac:dyDescent="0.25">
      <c r="B14" s="9"/>
      <c r="D14" s="10"/>
      <c r="E14" s="14" t="s">
        <v>28</v>
      </c>
      <c r="F14" s="8" t="s">
        <v>48</v>
      </c>
      <c r="G14" s="33">
        <v>2014</v>
      </c>
      <c r="H14" s="29">
        <v>60</v>
      </c>
      <c r="I14" s="34">
        <v>201700000</v>
      </c>
      <c r="J14" s="35">
        <f t="shared" si="1"/>
        <v>0.17209302325581355</v>
      </c>
      <c r="K14" s="28">
        <f t="shared" si="0"/>
        <v>3940186.0465116268</v>
      </c>
      <c r="L14" s="23"/>
      <c r="M14" s="30"/>
      <c r="N14" s="31"/>
      <c r="O14" s="4"/>
      <c r="P14" s="5"/>
    </row>
    <row r="15" spans="2:17" ht="30" x14ac:dyDescent="0.25">
      <c r="B15" s="9"/>
      <c r="D15" s="10"/>
      <c r="E15" s="14" t="s">
        <v>28</v>
      </c>
      <c r="F15" s="8" t="s">
        <v>48</v>
      </c>
      <c r="G15" s="33">
        <v>2014</v>
      </c>
      <c r="H15" s="29">
        <v>30</v>
      </c>
      <c r="I15" s="34">
        <v>150000000</v>
      </c>
      <c r="J15" s="35">
        <f t="shared" si="1"/>
        <v>0.17209302325581355</v>
      </c>
      <c r="K15" s="28">
        <f t="shared" si="0"/>
        <v>5860465.1162790675</v>
      </c>
      <c r="L15" s="23"/>
      <c r="M15" s="30"/>
      <c r="N15" s="31"/>
      <c r="O15" s="4"/>
      <c r="P15" s="5"/>
    </row>
    <row r="16" spans="2:17" ht="45" x14ac:dyDescent="0.25">
      <c r="B16" s="9"/>
      <c r="D16" s="10"/>
      <c r="E16" s="14" t="s">
        <v>28</v>
      </c>
      <c r="F16" s="8" t="s">
        <v>38</v>
      </c>
      <c r="G16" s="32">
        <v>2014</v>
      </c>
      <c r="H16" s="8">
        <v>120</v>
      </c>
      <c r="I16" s="36">
        <v>2130000000</v>
      </c>
      <c r="J16" s="35">
        <f t="shared" si="1"/>
        <v>0.17209302325581355</v>
      </c>
      <c r="K16" s="28">
        <f t="shared" si="0"/>
        <v>20804651.162790693</v>
      </c>
      <c r="L16" s="23"/>
      <c r="M16" s="30"/>
      <c r="N16" s="31"/>
      <c r="O16" s="4"/>
      <c r="P16" s="5"/>
    </row>
    <row r="17" spans="5:16" ht="45" x14ac:dyDescent="0.25">
      <c r="E17" s="14" t="s">
        <v>10</v>
      </c>
      <c r="F17" s="8" t="s">
        <v>38</v>
      </c>
      <c r="G17" s="32">
        <v>2014</v>
      </c>
      <c r="H17" s="29">
        <v>8</v>
      </c>
      <c r="I17" s="37">
        <v>500000000</v>
      </c>
      <c r="J17" s="35">
        <f t="shared" si="1"/>
        <v>0.17209302325581355</v>
      </c>
      <c r="K17" s="28">
        <f t="shared" si="0"/>
        <v>73255813.95348835</v>
      </c>
      <c r="L17" s="23"/>
      <c r="M17" s="30"/>
      <c r="N17" s="31"/>
      <c r="O17" s="4"/>
      <c r="P17" s="5"/>
    </row>
    <row r="18" spans="5:16" ht="30" x14ac:dyDescent="0.25">
      <c r="E18" s="14" t="s">
        <v>27</v>
      </c>
      <c r="F18" s="8" t="s">
        <v>40</v>
      </c>
      <c r="G18" s="32">
        <v>2007</v>
      </c>
      <c r="H18" s="29">
        <v>7500</v>
      </c>
      <c r="I18" s="36">
        <f>4250000000-I19-I20</f>
        <v>2230800000</v>
      </c>
      <c r="J18" s="35">
        <f t="shared" si="1"/>
        <v>0.51859758330281913</v>
      </c>
      <c r="K18" s="28">
        <f t="shared" si="0"/>
        <v>451691.6651775905</v>
      </c>
      <c r="L18" s="23"/>
      <c r="M18" s="30"/>
      <c r="N18" s="31"/>
      <c r="O18" s="4"/>
      <c r="P18" s="5"/>
    </row>
    <row r="19" spans="5:16" x14ac:dyDescent="0.25">
      <c r="E19" s="14" t="s">
        <v>28</v>
      </c>
      <c r="F19" s="8" t="s">
        <v>40</v>
      </c>
      <c r="G19" s="32">
        <v>2007</v>
      </c>
      <c r="H19" s="29">
        <v>120</v>
      </c>
      <c r="I19" s="38">
        <f>160000*H19</f>
        <v>19200000</v>
      </c>
      <c r="J19" s="35">
        <f t="shared" si="1"/>
        <v>0.51859758330281913</v>
      </c>
      <c r="K19" s="28">
        <f t="shared" si="0"/>
        <v>242975.61332845109</v>
      </c>
      <c r="L19" s="23"/>
      <c r="M19" s="30"/>
      <c r="N19" s="31"/>
      <c r="O19" s="4"/>
      <c r="P19" s="5"/>
    </row>
    <row r="20" spans="5:16" ht="45" x14ac:dyDescent="0.25">
      <c r="E20" s="14" t="s">
        <v>10</v>
      </c>
      <c r="F20" s="8" t="s">
        <v>40</v>
      </c>
      <c r="G20" s="32">
        <v>2007</v>
      </c>
      <c r="H20" s="29">
        <v>40</v>
      </c>
      <c r="I20" s="37">
        <v>2000000000</v>
      </c>
      <c r="J20" s="35">
        <f t="shared" si="1"/>
        <v>0.51859758330281913</v>
      </c>
      <c r="K20" s="28">
        <f t="shared" si="0"/>
        <v>75929879.165140957</v>
      </c>
      <c r="L20" s="23"/>
      <c r="M20" s="30"/>
      <c r="N20" s="31"/>
      <c r="O20" s="4"/>
      <c r="P20" s="5"/>
    </row>
    <row r="21" spans="5:16" ht="30" x14ac:dyDescent="0.25">
      <c r="E21" s="14" t="s">
        <v>27</v>
      </c>
      <c r="F21" s="8" t="s">
        <v>42</v>
      </c>
      <c r="G21" s="32">
        <v>2009</v>
      </c>
      <c r="H21" s="29">
        <v>7500</v>
      </c>
      <c r="I21" s="36">
        <f>3200000000-I22-I23</f>
        <v>2180800000</v>
      </c>
      <c r="J21" s="35">
        <f t="shared" si="1"/>
        <v>0.34075486947385397</v>
      </c>
      <c r="K21" s="28">
        <f t="shared" si="0"/>
        <v>389855.76257981081</v>
      </c>
      <c r="L21" s="23"/>
      <c r="M21" s="30"/>
      <c r="N21" s="31"/>
      <c r="O21" s="4"/>
      <c r="P21" s="5"/>
    </row>
    <row r="22" spans="5:16" x14ac:dyDescent="0.25">
      <c r="E22" s="14" t="s">
        <v>28</v>
      </c>
      <c r="F22" s="8" t="s">
        <v>42</v>
      </c>
      <c r="G22" s="32">
        <v>2009</v>
      </c>
      <c r="H22" s="29">
        <v>120</v>
      </c>
      <c r="I22" s="38">
        <f>H22*160000</f>
        <v>19200000</v>
      </c>
      <c r="J22" s="35">
        <f t="shared" si="1"/>
        <v>0.34075486947385397</v>
      </c>
      <c r="K22" s="28">
        <f t="shared" si="0"/>
        <v>214520.77911581664</v>
      </c>
      <c r="L22" s="23"/>
      <c r="M22" s="30"/>
      <c r="N22" s="31"/>
      <c r="O22" s="4"/>
      <c r="P22" s="5"/>
    </row>
    <row r="23" spans="5:16" ht="45" x14ac:dyDescent="0.25">
      <c r="E23" s="14" t="s">
        <v>10</v>
      </c>
      <c r="F23" s="8" t="s">
        <v>42</v>
      </c>
      <c r="G23" s="32">
        <v>2009</v>
      </c>
      <c r="H23" s="29">
        <v>25</v>
      </c>
      <c r="I23" s="37">
        <v>1000000000</v>
      </c>
      <c r="J23" s="35">
        <f t="shared" si="1"/>
        <v>0.34075486947385397</v>
      </c>
      <c r="K23" s="28">
        <f t="shared" si="0"/>
        <v>53630194.778954163</v>
      </c>
      <c r="L23" s="23"/>
      <c r="M23" s="30"/>
      <c r="N23" s="31"/>
      <c r="O23" s="4"/>
      <c r="P23" s="5"/>
    </row>
    <row r="24" spans="5:16" ht="30" x14ac:dyDescent="0.25">
      <c r="E24" s="14" t="s">
        <v>27</v>
      </c>
      <c r="F24" s="8" t="s">
        <v>45</v>
      </c>
      <c r="G24" s="32">
        <v>2012</v>
      </c>
      <c r="H24" s="32">
        <v>4500</v>
      </c>
      <c r="I24" s="36">
        <f>1017800000-I25</f>
        <v>567800000</v>
      </c>
      <c r="J24" s="35">
        <f t="shared" si="1"/>
        <v>0.25999999999999968</v>
      </c>
      <c r="K24" s="28">
        <f t="shared" si="0"/>
        <v>158983.99999999997</v>
      </c>
      <c r="L24" s="23"/>
      <c r="M24" s="30"/>
      <c r="N24" s="31"/>
      <c r="O24" s="4"/>
      <c r="P24" s="5"/>
    </row>
    <row r="25" spans="5:16" ht="45" x14ac:dyDescent="0.25">
      <c r="E25" s="14" t="s">
        <v>10</v>
      </c>
      <c r="F25" s="8" t="s">
        <v>45</v>
      </c>
      <c r="G25" s="32">
        <v>2012</v>
      </c>
      <c r="H25" s="29">
        <v>9</v>
      </c>
      <c r="I25" s="37">
        <v>450000000</v>
      </c>
      <c r="J25" s="35">
        <f t="shared" si="1"/>
        <v>0.25999999999999968</v>
      </c>
      <c r="K25" s="28">
        <f t="shared" si="0"/>
        <v>62999999.999999985</v>
      </c>
      <c r="L25" s="23"/>
      <c r="M25" s="30"/>
      <c r="N25" s="31"/>
      <c r="O25" s="4"/>
      <c r="P25" s="5"/>
    </row>
    <row r="26" spans="5:16" ht="30" x14ac:dyDescent="0.25">
      <c r="E26" s="14" t="s">
        <v>27</v>
      </c>
      <c r="F26" s="8" t="s">
        <v>47</v>
      </c>
      <c r="G26" s="32">
        <v>2015</v>
      </c>
      <c r="H26" s="29">
        <v>3000</v>
      </c>
      <c r="I26" s="36">
        <v>440000000</v>
      </c>
      <c r="J26" s="35">
        <f t="shared" si="1"/>
        <v>0.12802148612354486</v>
      </c>
      <c r="K26" s="28">
        <f t="shared" si="0"/>
        <v>165443.15129811992</v>
      </c>
      <c r="L26" s="23"/>
      <c r="M26" s="30"/>
      <c r="N26" s="31"/>
      <c r="O26" s="4"/>
      <c r="P26" s="5"/>
    </row>
    <row r="27" spans="5:16" ht="45" x14ac:dyDescent="0.25">
      <c r="E27" s="14" t="s">
        <v>10</v>
      </c>
      <c r="F27" s="8" t="s">
        <v>47</v>
      </c>
      <c r="G27" s="32">
        <v>2015</v>
      </c>
      <c r="H27" s="29">
        <v>25</v>
      </c>
      <c r="I27" s="37">
        <v>1000000000</v>
      </c>
      <c r="J27" s="35">
        <f t="shared" si="1"/>
        <v>0.12802148612354486</v>
      </c>
      <c r="K27" s="28">
        <f t="shared" si="0"/>
        <v>45120859.444941796</v>
      </c>
      <c r="L27" s="23"/>
      <c r="M27" s="30"/>
      <c r="N27" s="31"/>
      <c r="O27" s="4"/>
      <c r="P27" s="5"/>
    </row>
    <row r="28" spans="5:16" ht="45" x14ac:dyDescent="0.25">
      <c r="E28" s="14" t="s">
        <v>10</v>
      </c>
      <c r="F28" s="8" t="s">
        <v>41</v>
      </c>
      <c r="G28" s="8">
        <v>2007</v>
      </c>
      <c r="H28" s="2">
        <v>20</v>
      </c>
      <c r="I28" s="1">
        <v>800000000</v>
      </c>
      <c r="J28" s="35">
        <f t="shared" si="1"/>
        <v>0.51859758330281913</v>
      </c>
      <c r="K28" s="28">
        <f t="shared" si="0"/>
        <v>60743903.332112767</v>
      </c>
      <c r="L28" s="23"/>
      <c r="M28" s="30"/>
      <c r="N28" s="31"/>
    </row>
    <row r="29" spans="5:16" s="6" customFormat="1" x14ac:dyDescent="0.25">
      <c r="E29" s="47" t="s">
        <v>6</v>
      </c>
      <c r="F29" s="47"/>
      <c r="G29" s="47"/>
      <c r="H29" s="47"/>
      <c r="I29" s="47"/>
      <c r="J29" s="47"/>
      <c r="K29" s="47"/>
      <c r="L29" s="47"/>
      <c r="M29" s="47"/>
      <c r="N29" s="7" t="e">
        <f>SUM(#REF!+#REF!+#REF!+#REF!)</f>
        <v>#REF!</v>
      </c>
    </row>
    <row r="32" spans="5:16" x14ac:dyDescent="0.25">
      <c r="H32">
        <v>2390</v>
      </c>
      <c r="I32">
        <f>H32*120</f>
        <v>286800</v>
      </c>
      <c r="L32" s="9"/>
      <c r="M32" s="10"/>
    </row>
    <row r="35" spans="8:24" x14ac:dyDescent="0.25">
      <c r="I35" s="25"/>
      <c r="J35" s="25"/>
      <c r="K35" s="25"/>
      <c r="L35" s="25"/>
      <c r="M35" s="25"/>
      <c r="N35" s="25"/>
      <c r="O35" s="25"/>
      <c r="P35" s="25"/>
      <c r="Q35" s="25"/>
      <c r="R35" s="25"/>
      <c r="S35" s="25"/>
      <c r="T35" s="25"/>
      <c r="U35" s="25"/>
      <c r="V35" s="25"/>
      <c r="W35" s="25"/>
      <c r="X35" s="25"/>
    </row>
    <row r="36" spans="8:24" x14ac:dyDescent="0.25">
      <c r="H36" s="25"/>
    </row>
    <row r="37" spans="8:24" x14ac:dyDescent="0.25">
      <c r="H37" s="25"/>
    </row>
    <row r="38" spans="8:24" x14ac:dyDescent="0.25">
      <c r="H38" s="25"/>
    </row>
    <row r="39" spans="8:24" x14ac:dyDescent="0.25">
      <c r="H39">
        <v>2006</v>
      </c>
      <c r="I39">
        <v>2007</v>
      </c>
      <c r="K39">
        <v>2008</v>
      </c>
      <c r="L39">
        <v>2009</v>
      </c>
      <c r="M39">
        <v>2010</v>
      </c>
      <c r="N39">
        <v>2011</v>
      </c>
      <c r="O39">
        <v>2012</v>
      </c>
      <c r="P39">
        <v>2013</v>
      </c>
      <c r="Q39">
        <v>2014</v>
      </c>
      <c r="R39">
        <v>2015</v>
      </c>
      <c r="S39">
        <v>2016</v>
      </c>
      <c r="T39">
        <v>2017</v>
      </c>
      <c r="U39">
        <v>2018</v>
      </c>
      <c r="V39">
        <v>2019</v>
      </c>
      <c r="W39">
        <v>2020</v>
      </c>
    </row>
    <row r="40" spans="8:24" x14ac:dyDescent="0.25">
      <c r="H40" s="25">
        <v>0.58459833795013805</v>
      </c>
      <c r="I40" s="25">
        <v>0.51859758330281913</v>
      </c>
      <c r="J40" s="25"/>
      <c r="K40" s="25">
        <v>0.42849909584086765</v>
      </c>
      <c r="L40" s="25">
        <v>0.34075486947385397</v>
      </c>
      <c r="M40" s="25">
        <v>0.33805129859654742</v>
      </c>
      <c r="N40" s="25">
        <v>0.29937808412312955</v>
      </c>
      <c r="O40" s="25">
        <v>0.25999999999999968</v>
      </c>
      <c r="P40" s="25">
        <v>0.18198874296435241</v>
      </c>
      <c r="Q40" s="25">
        <v>0.17209302325581355</v>
      </c>
      <c r="R40" s="25">
        <v>0.12802148612354486</v>
      </c>
      <c r="S40" s="25">
        <v>9.3749999999999806E-2</v>
      </c>
      <c r="T40" s="25">
        <v>6.5088757396449565E-2</v>
      </c>
      <c r="U40" s="25">
        <v>2.5223759153783526E-2</v>
      </c>
      <c r="V40" s="25">
        <v>0</v>
      </c>
      <c r="W40" s="25">
        <v>-1.0989010989011044E-2</v>
      </c>
    </row>
    <row r="41" spans="8:24" x14ac:dyDescent="0.25">
      <c r="H41" s="25"/>
    </row>
    <row r="42" spans="8:24" x14ac:dyDescent="0.25">
      <c r="H42" s="25"/>
    </row>
    <row r="43" spans="8:24" x14ac:dyDescent="0.25">
      <c r="H43" s="25"/>
    </row>
    <row r="44" spans="8:24" x14ac:dyDescent="0.25">
      <c r="H44" s="25"/>
    </row>
    <row r="45" spans="8:24" x14ac:dyDescent="0.25">
      <c r="H45" s="25"/>
    </row>
    <row r="46" spans="8:24" x14ac:dyDescent="0.25">
      <c r="H46" s="25"/>
    </row>
    <row r="47" spans="8:24" x14ac:dyDescent="0.25">
      <c r="H47" s="25"/>
    </row>
    <row r="48" spans="8:24" x14ac:dyDescent="0.25">
      <c r="H48" s="25"/>
    </row>
    <row r="49" spans="8:8" x14ac:dyDescent="0.25">
      <c r="H49" s="25"/>
    </row>
    <row r="50" spans="8:8" x14ac:dyDescent="0.25">
      <c r="H50" s="25"/>
    </row>
  </sheetData>
  <mergeCells count="1">
    <mergeCell ref="E29:M2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6:AB37"/>
  <sheetViews>
    <sheetView tabSelected="1" topLeftCell="D15" workbookViewId="0">
      <selection activeCell="E14" sqref="E14:O26"/>
    </sheetView>
  </sheetViews>
  <sheetFormatPr defaultRowHeight="15" x14ac:dyDescent="0.25"/>
  <cols>
    <col min="6" max="6" width="19.5703125" customWidth="1"/>
    <col min="7" max="7" width="17.28515625" customWidth="1"/>
    <col min="8" max="8" width="14.7109375" customWidth="1"/>
    <col min="9" max="9" width="10.42578125" customWidth="1"/>
    <col min="10" max="10" width="14.28515625" customWidth="1"/>
    <col min="11" max="11" width="9.42578125" customWidth="1"/>
    <col min="12" max="12" width="7.7109375" customWidth="1"/>
    <col min="13" max="13" width="12.42578125" customWidth="1"/>
    <col min="14" max="14" width="17.42578125" customWidth="1"/>
    <col min="15" max="15" width="15.85546875" customWidth="1"/>
    <col min="16" max="16" width="22.85546875" customWidth="1"/>
    <col min="17" max="18" width="15.85546875" customWidth="1"/>
    <col min="19" max="19" width="10.85546875" customWidth="1"/>
    <col min="20" max="20" width="19.85546875" customWidth="1"/>
    <col min="21" max="21" width="15.28515625" bestFit="1" customWidth="1"/>
    <col min="22" max="22" width="5.5703125" bestFit="1" customWidth="1"/>
    <col min="23" max="23" width="29.7109375" bestFit="1" customWidth="1"/>
    <col min="25" max="25" width="10.5703125" customWidth="1"/>
    <col min="26" max="26" width="23.28515625" customWidth="1"/>
    <col min="27" max="27" width="11.85546875" bestFit="1" customWidth="1"/>
    <col min="28" max="28" width="13.28515625" bestFit="1" customWidth="1"/>
  </cols>
  <sheetData>
    <row r="6" spans="5:23" x14ac:dyDescent="0.25">
      <c r="E6" s="51" t="s">
        <v>75</v>
      </c>
      <c r="F6" s="51"/>
      <c r="G6" s="51"/>
      <c r="H6" s="51"/>
      <c r="I6" s="51"/>
      <c r="J6" s="51"/>
      <c r="K6" s="51"/>
      <c r="L6" s="51"/>
      <c r="M6" s="51"/>
      <c r="N6" s="51"/>
      <c r="O6" s="51"/>
      <c r="P6" s="54"/>
      <c r="Q6" s="54"/>
      <c r="R6" s="54"/>
      <c r="S6" s="54"/>
      <c r="T6" s="54"/>
    </row>
    <row r="7" spans="5:23" ht="68.25" x14ac:dyDescent="0.25">
      <c r="E7" s="13" t="s">
        <v>9</v>
      </c>
      <c r="F7" s="13" t="s">
        <v>1</v>
      </c>
      <c r="G7" s="13" t="s">
        <v>29</v>
      </c>
      <c r="H7" s="13" t="s">
        <v>11</v>
      </c>
      <c r="I7" s="13" t="s">
        <v>12</v>
      </c>
      <c r="J7" s="13" t="s">
        <v>22</v>
      </c>
      <c r="K7" s="13" t="s">
        <v>15</v>
      </c>
      <c r="L7" s="13" t="s">
        <v>13</v>
      </c>
      <c r="M7" s="13" t="s">
        <v>14</v>
      </c>
      <c r="N7" s="13" t="s">
        <v>16</v>
      </c>
      <c r="O7" s="13" t="s">
        <v>17</v>
      </c>
      <c r="P7" s="13" t="s">
        <v>18</v>
      </c>
      <c r="Q7" s="18" t="s">
        <v>19</v>
      </c>
      <c r="R7" s="18" t="s">
        <v>20</v>
      </c>
      <c r="S7" s="19" t="s">
        <v>21</v>
      </c>
      <c r="T7" s="18" t="s">
        <v>23</v>
      </c>
    </row>
    <row r="8" spans="5:23" ht="30" x14ac:dyDescent="0.25">
      <c r="E8" s="12">
        <v>1</v>
      </c>
      <c r="F8" s="14" t="s">
        <v>27</v>
      </c>
      <c r="G8" s="14" t="s">
        <v>32</v>
      </c>
      <c r="H8" s="14">
        <v>2013</v>
      </c>
      <c r="I8" s="15">
        <v>44329</v>
      </c>
      <c r="J8" s="16">
        <f>YEAR(I8)-H8</f>
        <v>8</v>
      </c>
      <c r="K8" s="16">
        <v>20</v>
      </c>
      <c r="L8" s="17">
        <v>0.05</v>
      </c>
      <c r="M8" s="39">
        <f>(1-L8)/K8</f>
        <v>4.7500000000000001E-2</v>
      </c>
      <c r="N8" s="52">
        <v>2517614644</v>
      </c>
      <c r="O8" s="52">
        <v>1756694137</v>
      </c>
      <c r="P8" s="23">
        <f>5000*250000</f>
        <v>1250000000</v>
      </c>
      <c r="Q8" s="11">
        <f>P8*M8*J8</f>
        <v>475000000</v>
      </c>
      <c r="R8" s="11">
        <f>MAX(P8-Q8,0)</f>
        <v>775000000</v>
      </c>
      <c r="S8" s="21">
        <v>0.1</v>
      </c>
      <c r="T8" s="11">
        <f>R8*(1-S8)</f>
        <v>697500000</v>
      </c>
      <c r="U8" s="26"/>
    </row>
    <row r="9" spans="5:23" x14ac:dyDescent="0.25">
      <c r="E9" s="12">
        <v>2</v>
      </c>
      <c r="F9" s="14" t="s">
        <v>28</v>
      </c>
      <c r="G9" s="14" t="s">
        <v>33</v>
      </c>
      <c r="H9" s="14">
        <v>2015</v>
      </c>
      <c r="I9" s="15">
        <v>44329</v>
      </c>
      <c r="J9" s="16">
        <f t="shared" ref="J9:J12" si="0">YEAR(I9)-H9</f>
        <v>6</v>
      </c>
      <c r="K9" s="16">
        <v>20</v>
      </c>
      <c r="L9" s="17">
        <v>0.05</v>
      </c>
      <c r="M9" s="39">
        <f t="shared" ref="M9:M11" si="1">(1-L9)/K9</f>
        <v>4.7500000000000001E-2</v>
      </c>
      <c r="N9" s="53"/>
      <c r="O9" s="53"/>
      <c r="P9" s="23">
        <f>65*7500000</f>
        <v>487500000</v>
      </c>
      <c r="Q9" s="11">
        <f>P9*M9*J9</f>
        <v>138937500</v>
      </c>
      <c r="R9" s="11">
        <f t="shared" ref="R9:R11" si="2">MAX(P9-Q9,0)</f>
        <v>348562500</v>
      </c>
      <c r="S9" s="21">
        <v>0.4</v>
      </c>
      <c r="T9" s="11">
        <f t="shared" ref="T9:T11" si="3">R9*(1-S9)</f>
        <v>209137500</v>
      </c>
      <c r="U9" s="26"/>
    </row>
    <row r="10" spans="5:23" ht="30" x14ac:dyDescent="0.25">
      <c r="E10" s="12">
        <v>3</v>
      </c>
      <c r="F10" s="14" t="s">
        <v>10</v>
      </c>
      <c r="G10" s="14" t="s">
        <v>34</v>
      </c>
      <c r="H10" s="14">
        <v>2015</v>
      </c>
      <c r="I10" s="15">
        <v>44329</v>
      </c>
      <c r="J10" s="16">
        <f t="shared" si="0"/>
        <v>6</v>
      </c>
      <c r="K10" s="16">
        <v>25</v>
      </c>
      <c r="L10" s="17">
        <v>0.05</v>
      </c>
      <c r="M10" s="39">
        <f t="shared" si="1"/>
        <v>3.7999999999999999E-2</v>
      </c>
      <c r="N10" s="53"/>
      <c r="O10" s="53"/>
      <c r="P10" s="23">
        <v>450000000</v>
      </c>
      <c r="Q10" s="11">
        <f t="shared" ref="Q9:Q11" si="4">P10*M10*J10</f>
        <v>102600000</v>
      </c>
      <c r="R10" s="11">
        <f t="shared" si="2"/>
        <v>347400000</v>
      </c>
      <c r="S10" s="21">
        <v>0.15</v>
      </c>
      <c r="T10" s="11">
        <f t="shared" si="3"/>
        <v>295290000</v>
      </c>
      <c r="U10" s="26"/>
    </row>
    <row r="11" spans="5:23" ht="30" x14ac:dyDescent="0.25">
      <c r="E11" s="12">
        <v>4</v>
      </c>
      <c r="F11" s="14" t="s">
        <v>10</v>
      </c>
      <c r="G11" s="14" t="s">
        <v>35</v>
      </c>
      <c r="H11" s="14">
        <v>2015</v>
      </c>
      <c r="I11" s="15">
        <v>44329</v>
      </c>
      <c r="J11" s="16">
        <f t="shared" si="0"/>
        <v>6</v>
      </c>
      <c r="K11" s="16">
        <v>25</v>
      </c>
      <c r="L11" s="17">
        <v>0.05</v>
      </c>
      <c r="M11" s="39">
        <f t="shared" si="1"/>
        <v>3.7999999999999999E-2</v>
      </c>
      <c r="N11" s="53"/>
      <c r="O11" s="53"/>
      <c r="P11" s="23">
        <v>90000000</v>
      </c>
      <c r="Q11" s="11">
        <f t="shared" si="4"/>
        <v>20520000</v>
      </c>
      <c r="R11" s="11">
        <f t="shared" si="2"/>
        <v>69480000</v>
      </c>
      <c r="S11" s="21">
        <v>0.25</v>
      </c>
      <c r="T11" s="11">
        <f t="shared" si="3"/>
        <v>52110000</v>
      </c>
      <c r="U11" s="26"/>
    </row>
    <row r="12" spans="5:23" x14ac:dyDescent="0.25">
      <c r="E12" s="12">
        <v>5</v>
      </c>
      <c r="F12" s="14" t="s">
        <v>30</v>
      </c>
      <c r="G12" s="14" t="s">
        <v>31</v>
      </c>
      <c r="H12" s="14">
        <v>2016</v>
      </c>
      <c r="I12" s="15">
        <v>44329</v>
      </c>
      <c r="J12" s="16">
        <f t="shared" si="0"/>
        <v>5</v>
      </c>
      <c r="K12" s="16">
        <v>40</v>
      </c>
      <c r="L12" s="17">
        <v>0.05</v>
      </c>
      <c r="M12" s="39">
        <f t="shared" ref="M12" si="5">(1-L12)/K12</f>
        <v>2.375E-2</v>
      </c>
      <c r="N12" s="53"/>
      <c r="O12" s="53"/>
      <c r="P12" s="24">
        <v>120000000</v>
      </c>
      <c r="Q12" s="28">
        <f t="shared" ref="Q12" si="6">P12*M12*J12</f>
        <v>14250000</v>
      </c>
      <c r="R12" s="28">
        <f t="shared" ref="R12" si="7">MAX(P12-Q12,0)</f>
        <v>105750000</v>
      </c>
      <c r="S12" s="21">
        <v>0.3</v>
      </c>
      <c r="T12" s="28">
        <f t="shared" ref="T12" si="8">R12*(1-S12)</f>
        <v>74025000</v>
      </c>
      <c r="U12" s="26"/>
      <c r="V12" s="27"/>
    </row>
    <row r="13" spans="5:23" s="6" customFormat="1" x14ac:dyDescent="0.25">
      <c r="E13" s="47" t="s">
        <v>6</v>
      </c>
      <c r="F13" s="47"/>
      <c r="G13" s="47"/>
      <c r="H13" s="47"/>
      <c r="I13" s="47"/>
      <c r="J13" s="47"/>
      <c r="K13" s="47"/>
      <c r="L13" s="47"/>
      <c r="M13" s="47"/>
      <c r="N13" s="22">
        <f>SUM(N8)</f>
        <v>2517614644</v>
      </c>
      <c r="O13" s="22">
        <f>SUM(O8)</f>
        <v>1756694137</v>
      </c>
      <c r="P13" s="22">
        <f>SUM(P8:P12)</f>
        <v>2397500000</v>
      </c>
      <c r="Q13" s="22">
        <f>SUM(Q8:Q12)</f>
        <v>751307500</v>
      </c>
      <c r="R13" s="22">
        <f>SUM(R8:R12)</f>
        <v>1646192500</v>
      </c>
      <c r="S13" s="20"/>
      <c r="T13" s="22">
        <f>SUM(T8:T12)</f>
        <v>1328062500</v>
      </c>
      <c r="W13" s="46">
        <f>T13+AB37</f>
        <v>1350382500</v>
      </c>
    </row>
    <row r="14" spans="5:23" x14ac:dyDescent="0.25">
      <c r="E14" s="63" t="s">
        <v>24</v>
      </c>
      <c r="F14" s="63"/>
      <c r="G14" s="63"/>
      <c r="H14" s="63"/>
      <c r="I14" s="63"/>
      <c r="J14" s="63"/>
      <c r="K14" s="63"/>
      <c r="L14" s="63"/>
      <c r="M14" s="63"/>
      <c r="N14" s="63"/>
      <c r="O14" s="63"/>
      <c r="P14" s="61"/>
      <c r="Q14" s="61"/>
      <c r="R14" s="61"/>
      <c r="S14" s="62"/>
    </row>
    <row r="15" spans="5:23" ht="15" customHeight="1" x14ac:dyDescent="0.25">
      <c r="E15" s="64" t="s">
        <v>66</v>
      </c>
      <c r="F15" s="64"/>
      <c r="G15" s="64"/>
      <c r="H15" s="64"/>
      <c r="I15" s="64"/>
      <c r="J15" s="64"/>
      <c r="K15" s="64"/>
      <c r="L15" s="64"/>
      <c r="M15" s="64"/>
      <c r="N15" s="64"/>
      <c r="O15" s="64"/>
      <c r="P15" s="55"/>
      <c r="Q15" s="55"/>
      <c r="R15" s="55"/>
      <c r="S15" s="56"/>
    </row>
    <row r="16" spans="5:23" x14ac:dyDescent="0.25">
      <c r="E16" s="64" t="s">
        <v>67</v>
      </c>
      <c r="F16" s="64"/>
      <c r="G16" s="64"/>
      <c r="H16" s="64"/>
      <c r="I16" s="64"/>
      <c r="J16" s="64"/>
      <c r="K16" s="64"/>
      <c r="L16" s="64"/>
      <c r="M16" s="64"/>
      <c r="N16" s="64"/>
      <c r="O16" s="64"/>
      <c r="P16" s="55"/>
      <c r="Q16" s="55"/>
      <c r="R16" s="55"/>
      <c r="S16" s="56"/>
    </row>
    <row r="17" spans="5:28" ht="60" customHeight="1" x14ac:dyDescent="0.25">
      <c r="E17" s="64" t="s">
        <v>76</v>
      </c>
      <c r="F17" s="64"/>
      <c r="G17" s="64"/>
      <c r="H17" s="64"/>
      <c r="I17" s="64"/>
      <c r="J17" s="64"/>
      <c r="K17" s="64"/>
      <c r="L17" s="64"/>
      <c r="M17" s="64"/>
      <c r="N17" s="64"/>
      <c r="O17" s="64"/>
      <c r="P17" s="55"/>
      <c r="Q17" s="55"/>
      <c r="R17" s="55"/>
      <c r="S17" s="56"/>
    </row>
    <row r="18" spans="5:28" ht="36.75" customHeight="1" x14ac:dyDescent="0.25">
      <c r="E18" s="65" t="s">
        <v>68</v>
      </c>
      <c r="F18" s="65"/>
      <c r="G18" s="65"/>
      <c r="H18" s="65"/>
      <c r="I18" s="65"/>
      <c r="J18" s="65"/>
      <c r="K18" s="65"/>
      <c r="L18" s="65"/>
      <c r="M18" s="65"/>
      <c r="N18" s="65"/>
      <c r="O18" s="65"/>
      <c r="P18" s="57"/>
      <c r="Q18" s="57"/>
      <c r="R18" s="57"/>
      <c r="S18" s="58"/>
    </row>
    <row r="19" spans="5:28" ht="50.25" customHeight="1" x14ac:dyDescent="0.25">
      <c r="E19" s="65" t="s">
        <v>69</v>
      </c>
      <c r="F19" s="65"/>
      <c r="G19" s="65"/>
      <c r="H19" s="65"/>
      <c r="I19" s="65"/>
      <c r="J19" s="65"/>
      <c r="K19" s="65"/>
      <c r="L19" s="65"/>
      <c r="M19" s="65"/>
      <c r="N19" s="65"/>
      <c r="O19" s="65"/>
      <c r="P19" s="57"/>
      <c r="Q19" s="57"/>
      <c r="R19" s="57"/>
      <c r="S19" s="58"/>
    </row>
    <row r="20" spans="5:28" x14ac:dyDescent="0.25">
      <c r="E20" s="64" t="s">
        <v>70</v>
      </c>
      <c r="F20" s="64"/>
      <c r="G20" s="64"/>
      <c r="H20" s="64"/>
      <c r="I20" s="64"/>
      <c r="J20" s="64"/>
      <c r="K20" s="64"/>
      <c r="L20" s="64"/>
      <c r="M20" s="64"/>
      <c r="N20" s="64"/>
      <c r="O20" s="64"/>
      <c r="P20" s="55"/>
      <c r="Q20" s="55"/>
      <c r="R20" s="55"/>
      <c r="S20" s="56"/>
    </row>
    <row r="21" spans="5:28" x14ac:dyDescent="0.25">
      <c r="E21" s="64" t="s">
        <v>71</v>
      </c>
      <c r="F21" s="64"/>
      <c r="G21" s="64"/>
      <c r="H21" s="64"/>
      <c r="I21" s="64"/>
      <c r="J21" s="64"/>
      <c r="K21" s="64"/>
      <c r="L21" s="64"/>
      <c r="M21" s="64"/>
      <c r="N21" s="64"/>
      <c r="O21" s="64"/>
      <c r="P21" s="55"/>
      <c r="Q21" s="55"/>
      <c r="R21" s="55"/>
      <c r="S21" s="56"/>
    </row>
    <row r="22" spans="5:28" ht="33.75" customHeight="1" x14ac:dyDescent="0.25">
      <c r="E22" s="64" t="s">
        <v>72</v>
      </c>
      <c r="F22" s="64"/>
      <c r="G22" s="64"/>
      <c r="H22" s="64"/>
      <c r="I22" s="64"/>
      <c r="J22" s="64"/>
      <c r="K22" s="64"/>
      <c r="L22" s="64"/>
      <c r="M22" s="64"/>
      <c r="N22" s="64"/>
      <c r="O22" s="64"/>
      <c r="P22" s="55"/>
      <c r="Q22" s="55"/>
      <c r="R22" s="55"/>
      <c r="S22" s="56"/>
    </row>
    <row r="23" spans="5:28" ht="34.5" customHeight="1" x14ac:dyDescent="0.25">
      <c r="E23" s="65" t="s">
        <v>26</v>
      </c>
      <c r="F23" s="65"/>
      <c r="G23" s="65"/>
      <c r="H23" s="65"/>
      <c r="I23" s="65"/>
      <c r="J23" s="65"/>
      <c r="K23" s="65"/>
      <c r="L23" s="65"/>
      <c r="M23" s="65"/>
      <c r="N23" s="65"/>
      <c r="O23" s="65"/>
      <c r="P23" s="57"/>
      <c r="Q23" s="57"/>
      <c r="R23" s="57"/>
      <c r="S23" s="58"/>
    </row>
    <row r="24" spans="5:28" x14ac:dyDescent="0.25">
      <c r="E24" s="65" t="s">
        <v>73</v>
      </c>
      <c r="F24" s="65"/>
      <c r="G24" s="65"/>
      <c r="H24" s="65"/>
      <c r="I24" s="65"/>
      <c r="J24" s="65"/>
      <c r="K24" s="65"/>
      <c r="L24" s="65"/>
      <c r="M24" s="65"/>
      <c r="N24" s="65"/>
      <c r="O24" s="65"/>
      <c r="P24" s="57"/>
      <c r="Q24" s="57"/>
      <c r="R24" s="57"/>
      <c r="S24" s="58"/>
    </row>
    <row r="25" spans="5:28" ht="30.75" customHeight="1" x14ac:dyDescent="0.25">
      <c r="E25" s="66" t="s">
        <v>74</v>
      </c>
      <c r="F25" s="66"/>
      <c r="G25" s="66"/>
      <c r="H25" s="66"/>
      <c r="I25" s="66"/>
      <c r="J25" s="66"/>
      <c r="K25" s="66"/>
      <c r="L25" s="66"/>
      <c r="M25" s="66"/>
      <c r="N25" s="66"/>
      <c r="O25" s="66"/>
      <c r="P25" s="59"/>
      <c r="Q25" s="59"/>
      <c r="R25" s="59"/>
      <c r="S25" s="60"/>
    </row>
    <row r="26" spans="5:28" ht="15" customHeight="1" x14ac:dyDescent="0.25">
      <c r="E26" s="65" t="s">
        <v>25</v>
      </c>
      <c r="F26" s="65"/>
      <c r="G26" s="65"/>
      <c r="H26" s="65"/>
      <c r="I26" s="65"/>
      <c r="J26" s="65"/>
      <c r="K26" s="65"/>
      <c r="L26" s="65"/>
      <c r="M26" s="65"/>
      <c r="N26" s="65"/>
      <c r="O26" s="65"/>
      <c r="P26" s="57"/>
      <c r="Q26" s="57"/>
      <c r="R26" s="57"/>
      <c r="S26" s="58"/>
    </row>
    <row r="31" spans="5:28" x14ac:dyDescent="0.25">
      <c r="V31" s="51" t="s">
        <v>65</v>
      </c>
      <c r="W31" s="51"/>
      <c r="X31" s="51"/>
      <c r="Y31" s="51"/>
      <c r="Z31" s="51"/>
      <c r="AA31" s="51"/>
      <c r="AB31" s="51"/>
    </row>
    <row r="32" spans="5:28" ht="55.5" x14ac:dyDescent="0.25">
      <c r="V32" s="18" t="s">
        <v>62</v>
      </c>
      <c r="W32" s="13" t="s">
        <v>52</v>
      </c>
      <c r="X32" s="13" t="s">
        <v>53</v>
      </c>
      <c r="Y32" s="13" t="s">
        <v>56</v>
      </c>
      <c r="Z32" s="13" t="s">
        <v>54</v>
      </c>
      <c r="AA32" s="13" t="s">
        <v>55</v>
      </c>
      <c r="AB32" s="13" t="s">
        <v>61</v>
      </c>
    </row>
    <row r="33" spans="22:28" x14ac:dyDescent="0.25">
      <c r="V33" s="42">
        <v>1</v>
      </c>
      <c r="W33" s="40" t="s">
        <v>51</v>
      </c>
      <c r="X33" s="43">
        <v>342</v>
      </c>
      <c r="Y33" s="43" t="s">
        <v>57</v>
      </c>
      <c r="Z33" s="44">
        <v>200000</v>
      </c>
      <c r="AA33" s="44">
        <v>60000</v>
      </c>
      <c r="AB33" s="44">
        <f>AA33*X33</f>
        <v>20520000</v>
      </c>
    </row>
    <row r="34" spans="22:28" x14ac:dyDescent="0.25">
      <c r="V34" s="42">
        <v>2</v>
      </c>
      <c r="W34" s="41" t="s">
        <v>63</v>
      </c>
      <c r="X34" s="43">
        <v>40</v>
      </c>
      <c r="Y34" s="43" t="s">
        <v>58</v>
      </c>
      <c r="Z34" s="44">
        <v>200000</v>
      </c>
      <c r="AA34" s="44">
        <v>20</v>
      </c>
      <c r="AB34" s="44">
        <f>AA34*X34*900</f>
        <v>720000</v>
      </c>
    </row>
    <row r="35" spans="22:28" ht="30" x14ac:dyDescent="0.25">
      <c r="V35" s="42">
        <v>3</v>
      </c>
      <c r="W35" s="40" t="s">
        <v>50</v>
      </c>
      <c r="X35" s="43">
        <v>440</v>
      </c>
      <c r="Y35" s="45" t="s">
        <v>59</v>
      </c>
      <c r="Z35" s="44">
        <v>18000</v>
      </c>
      <c r="AA35" s="44">
        <v>2000</v>
      </c>
      <c r="AB35" s="44">
        <f>AA35*X35</f>
        <v>880000</v>
      </c>
    </row>
    <row r="36" spans="22:28" x14ac:dyDescent="0.25">
      <c r="V36" s="42">
        <v>4</v>
      </c>
      <c r="W36" s="40" t="s">
        <v>60</v>
      </c>
      <c r="X36" s="43"/>
      <c r="Y36" s="43" t="s">
        <v>57</v>
      </c>
      <c r="Z36" s="49" t="s">
        <v>64</v>
      </c>
      <c r="AA36" s="50"/>
      <c r="AB36" s="44">
        <v>200000</v>
      </c>
    </row>
    <row r="37" spans="22:28" s="6" customFormat="1" x14ac:dyDescent="0.25">
      <c r="V37" s="48" t="s">
        <v>6</v>
      </c>
      <c r="W37" s="48"/>
      <c r="X37" s="48"/>
      <c r="Y37" s="48"/>
      <c r="Z37" s="48"/>
      <c r="AA37" s="48"/>
      <c r="AB37" s="7">
        <f>SUM(AB33:AB36)</f>
        <v>22320000</v>
      </c>
    </row>
  </sheetData>
  <mergeCells count="20">
    <mergeCell ref="E14:O14"/>
    <mergeCell ref="Z36:AA36"/>
    <mergeCell ref="V31:AB31"/>
    <mergeCell ref="E13:M13"/>
    <mergeCell ref="N8:N12"/>
    <mergeCell ref="O8:O12"/>
    <mergeCell ref="E6:O6"/>
    <mergeCell ref="E15:O15"/>
    <mergeCell ref="E16:O16"/>
    <mergeCell ref="E17:O17"/>
    <mergeCell ref="E18:O18"/>
    <mergeCell ref="E19:O19"/>
    <mergeCell ref="E20:O20"/>
    <mergeCell ref="E21:O21"/>
    <mergeCell ref="E22:O22"/>
    <mergeCell ref="E23:O23"/>
    <mergeCell ref="V37:AA37"/>
    <mergeCell ref="E24:O24"/>
    <mergeCell ref="E25:O25"/>
    <mergeCell ref="E26:O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Inderjeet  Rathi</dc:creator>
  <cp:lastModifiedBy>Inderjeet  Rathi</cp:lastModifiedBy>
  <dcterms:created xsi:type="dcterms:W3CDTF">2021-04-13T06:19:29Z</dcterms:created>
  <dcterms:modified xsi:type="dcterms:W3CDTF">2021-09-10T08:28:19Z</dcterms:modified>
</cp:coreProperties>
</file>