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kambari\sAKAMBARI dOCUMENTS\"/>
    </mc:Choice>
  </mc:AlternateContent>
  <bookViews>
    <workbookView minimized="1" xWindow="-120" yWindow="-120" windowWidth="20730" windowHeight="11160" firstSheet="2" activeTab="2"/>
  </bookViews>
  <sheets>
    <sheet name="Assets Pur. after 31.03.2017" sheetId="5" state="hidden" r:id="rId1"/>
    <sheet name="Sheet1" sheetId="6" state="hidden" r:id="rId2"/>
    <sheet name="DEP Sheet With Dummy Figure (2)" sheetId="10" r:id="rId3"/>
    <sheet name="00 Assets Pur. after 31.03.2017" sheetId="7" r:id="rId4"/>
    <sheet name="FA as per BS 21" sheetId="11" r:id="rId5"/>
    <sheet name="Sheet1 (2)" sheetId="8" state="hidden" r:id="rId6"/>
    <sheet name="Deferred" sheetId="9" r:id="rId7"/>
  </sheets>
  <externalReferences>
    <externalReference r:id="rId8"/>
  </externalReferences>
  <definedNames>
    <definedName name="_xlnm.Print_Area" localSheetId="3">'00 Assets Pur. after 31.03.2017'!$A$1:$J$71</definedName>
    <definedName name="_xlnm.Print_Area" localSheetId="0">'Assets Pur. after 31.03.2017'!$A$1:$J$37</definedName>
    <definedName name="_xlnm.Print_Area" localSheetId="6">Deferred!$A$1:$J$23</definedName>
    <definedName name="_xlnm.Print_Area" localSheetId="2">'DEP Sheet With Dummy Figure (2)'!$A$1:$O$107</definedName>
  </definedNames>
  <calcPr calcId="181029"/>
</workbook>
</file>

<file path=xl/calcChain.xml><?xml version="1.0" encoding="utf-8"?>
<calcChain xmlns="http://schemas.openxmlformats.org/spreadsheetml/2006/main">
  <c r="L24" i="11" l="1"/>
  <c r="H24" i="11"/>
  <c r="G24" i="11"/>
  <c r="C24" i="11"/>
  <c r="J23" i="11"/>
  <c r="F23" i="11"/>
  <c r="K23" i="11" s="1"/>
  <c r="K21" i="11"/>
  <c r="J21" i="11"/>
  <c r="F21" i="11"/>
  <c r="J19" i="11"/>
  <c r="K19" i="11" s="1"/>
  <c r="F19" i="11"/>
  <c r="J17" i="11"/>
  <c r="F17" i="11"/>
  <c r="K17" i="11" s="1"/>
  <c r="D17" i="11"/>
  <c r="I15" i="11"/>
  <c r="J15" i="11" s="1"/>
  <c r="F15" i="11"/>
  <c r="K15" i="11" s="1"/>
  <c r="J13" i="11"/>
  <c r="F13" i="11"/>
  <c r="K13" i="11" s="1"/>
  <c r="J11" i="11"/>
  <c r="J24" i="11" s="1"/>
  <c r="D11" i="11"/>
  <c r="F11" i="11" s="1"/>
  <c r="K11" i="11" s="1"/>
  <c r="F9" i="11"/>
  <c r="F24" i="11" l="1"/>
  <c r="D24" i="11"/>
  <c r="K9" i="11"/>
  <c r="K24" i="11" s="1"/>
  <c r="P105" i="10"/>
  <c r="P90" i="10"/>
  <c r="I71" i="7"/>
  <c r="I69" i="7"/>
  <c r="I68" i="7"/>
  <c r="I67" i="7"/>
  <c r="I66" i="7"/>
  <c r="I65" i="7"/>
  <c r="I64" i="7"/>
  <c r="I63" i="7"/>
  <c r="I62" i="7"/>
  <c r="I61" i="7"/>
  <c r="I60" i="7"/>
  <c r="I59" i="7"/>
  <c r="I57" i="7"/>
  <c r="I56" i="7"/>
  <c r="I55" i="7"/>
  <c r="I54" i="7"/>
  <c r="I53" i="7"/>
  <c r="I52" i="7"/>
  <c r="I51" i="7"/>
  <c r="P28" i="10" s="1"/>
  <c r="I50" i="7"/>
  <c r="I49" i="7"/>
  <c r="I46" i="7"/>
  <c r="I45" i="7"/>
  <c r="I44" i="7"/>
  <c r="I43" i="7"/>
  <c r="I42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4" i="7"/>
  <c r="I13" i="7"/>
  <c r="I12" i="7"/>
  <c r="I11" i="7"/>
  <c r="P79" i="10" s="1"/>
  <c r="I10" i="7"/>
  <c r="I9" i="7"/>
  <c r="O107" i="10"/>
  <c r="P93" i="10"/>
  <c r="M107" i="10"/>
  <c r="D107" i="10"/>
  <c r="C107" i="10"/>
  <c r="M105" i="10"/>
  <c r="H40" i="7"/>
  <c r="G40" i="7"/>
  <c r="J40" i="7" s="1"/>
  <c r="E40" i="7"/>
  <c r="F40" i="7" s="1"/>
  <c r="H39" i="7"/>
  <c r="E39" i="7"/>
  <c r="G39" i="7" s="1"/>
  <c r="H38" i="7"/>
  <c r="G38" i="7"/>
  <c r="E38" i="7"/>
  <c r="F38" i="7" s="1"/>
  <c r="H37" i="7"/>
  <c r="E37" i="7"/>
  <c r="G37" i="7" s="1"/>
  <c r="H36" i="7"/>
  <c r="G36" i="7"/>
  <c r="J36" i="7" s="1"/>
  <c r="E36" i="7"/>
  <c r="F36" i="7" s="1"/>
  <c r="H35" i="7"/>
  <c r="E35" i="7"/>
  <c r="G35" i="7" s="1"/>
  <c r="J35" i="7" s="1"/>
  <c r="H34" i="7"/>
  <c r="G34" i="7"/>
  <c r="J34" i="7" s="1"/>
  <c r="E34" i="7"/>
  <c r="F34" i="7" s="1"/>
  <c r="H33" i="7"/>
  <c r="E33" i="7"/>
  <c r="G33" i="7" s="1"/>
  <c r="J33" i="7" s="1"/>
  <c r="H32" i="7"/>
  <c r="G32" i="7"/>
  <c r="J32" i="7" s="1"/>
  <c r="E32" i="7"/>
  <c r="F32" i="7" s="1"/>
  <c r="H31" i="7"/>
  <c r="E31" i="7"/>
  <c r="G31" i="7" s="1"/>
  <c r="H30" i="7"/>
  <c r="G30" i="7"/>
  <c r="E30" i="7"/>
  <c r="F30" i="7" s="1"/>
  <c r="H29" i="7"/>
  <c r="E29" i="7"/>
  <c r="G29" i="7" s="1"/>
  <c r="H28" i="7"/>
  <c r="G28" i="7"/>
  <c r="J28" i="7" s="1"/>
  <c r="E28" i="7"/>
  <c r="F28" i="7" s="1"/>
  <c r="H27" i="7"/>
  <c r="E27" i="7"/>
  <c r="G27" i="7" s="1"/>
  <c r="J27" i="7" s="1"/>
  <c r="H26" i="7"/>
  <c r="G26" i="7"/>
  <c r="J26" i="7" s="1"/>
  <c r="E26" i="7"/>
  <c r="F26" i="7" s="1"/>
  <c r="H25" i="7"/>
  <c r="E25" i="7"/>
  <c r="G25" i="7" s="1"/>
  <c r="J25" i="7" s="1"/>
  <c r="H24" i="7"/>
  <c r="G24" i="7"/>
  <c r="E24" i="7"/>
  <c r="F24" i="7" s="1"/>
  <c r="H23" i="7"/>
  <c r="E23" i="7"/>
  <c r="G23" i="7" s="1"/>
  <c r="H22" i="7"/>
  <c r="G22" i="7"/>
  <c r="E22" i="7"/>
  <c r="F22" i="7" s="1"/>
  <c r="H21" i="7"/>
  <c r="E21" i="7"/>
  <c r="G21" i="7" s="1"/>
  <c r="H20" i="7"/>
  <c r="G20" i="7"/>
  <c r="J20" i="7" s="1"/>
  <c r="E20" i="7"/>
  <c r="F20" i="7" s="1"/>
  <c r="H19" i="7"/>
  <c r="E19" i="7"/>
  <c r="G19" i="7" s="1"/>
  <c r="J19" i="7" s="1"/>
  <c r="H18" i="7"/>
  <c r="G18" i="7"/>
  <c r="J18" i="7" s="1"/>
  <c r="E18" i="7"/>
  <c r="F18" i="7" s="1"/>
  <c r="H17" i="7"/>
  <c r="E17" i="7"/>
  <c r="G17" i="7" s="1"/>
  <c r="J17" i="7" s="1"/>
  <c r="H14" i="7"/>
  <c r="G14" i="7"/>
  <c r="E14" i="7"/>
  <c r="F14" i="7" s="1"/>
  <c r="H13" i="7"/>
  <c r="E13" i="7"/>
  <c r="G13" i="7" s="1"/>
  <c r="J13" i="7" s="1"/>
  <c r="H12" i="7"/>
  <c r="G12" i="7"/>
  <c r="J12" i="7" s="1"/>
  <c r="E12" i="7"/>
  <c r="F12" i="7" s="1"/>
  <c r="H11" i="7"/>
  <c r="E11" i="7"/>
  <c r="G11" i="7" s="1"/>
  <c r="I104" i="10"/>
  <c r="J104" i="10" s="1"/>
  <c r="K104" i="10" s="1"/>
  <c r="H104" i="10"/>
  <c r="N104" i="10" s="1"/>
  <c r="G104" i="10"/>
  <c r="E104" i="10"/>
  <c r="I103" i="10"/>
  <c r="J103" i="10" s="1"/>
  <c r="K103" i="10" s="1"/>
  <c r="G103" i="10"/>
  <c r="H103" i="10" s="1"/>
  <c r="E103" i="10"/>
  <c r="I102" i="10"/>
  <c r="J102" i="10" s="1"/>
  <c r="K102" i="10" s="1"/>
  <c r="G102" i="10"/>
  <c r="H102" i="10" s="1"/>
  <c r="E102" i="10"/>
  <c r="I95" i="10"/>
  <c r="J95" i="10" s="1"/>
  <c r="K95" i="10" s="1"/>
  <c r="H95" i="10"/>
  <c r="N95" i="10" s="1"/>
  <c r="G95" i="10"/>
  <c r="E95" i="10"/>
  <c r="J94" i="10"/>
  <c r="K94" i="10" s="1"/>
  <c r="I94" i="10"/>
  <c r="G94" i="10"/>
  <c r="H94" i="10" s="1"/>
  <c r="E94" i="10"/>
  <c r="I90" i="10"/>
  <c r="J90" i="10" s="1"/>
  <c r="K90" i="10" s="1"/>
  <c r="H90" i="10"/>
  <c r="N90" i="10" s="1"/>
  <c r="G90" i="10"/>
  <c r="E90" i="10"/>
  <c r="J89" i="10"/>
  <c r="K89" i="10" s="1"/>
  <c r="I89" i="10"/>
  <c r="G89" i="10"/>
  <c r="H89" i="10" s="1"/>
  <c r="E89" i="10"/>
  <c r="I88" i="10"/>
  <c r="J88" i="10" s="1"/>
  <c r="K88" i="10" s="1"/>
  <c r="H88" i="10"/>
  <c r="N88" i="10" s="1"/>
  <c r="G88" i="10"/>
  <c r="E88" i="10"/>
  <c r="J87" i="10"/>
  <c r="K87" i="10" s="1"/>
  <c r="I87" i="10"/>
  <c r="G87" i="10"/>
  <c r="H87" i="10" s="1"/>
  <c r="E87" i="10"/>
  <c r="I86" i="10"/>
  <c r="J86" i="10" s="1"/>
  <c r="K86" i="10" s="1"/>
  <c r="H86" i="10"/>
  <c r="N86" i="10" s="1"/>
  <c r="G86" i="10"/>
  <c r="E86" i="10"/>
  <c r="J85" i="10"/>
  <c r="K85" i="10" s="1"/>
  <c r="I85" i="10"/>
  <c r="G85" i="10"/>
  <c r="H85" i="10" s="1"/>
  <c r="E85" i="10"/>
  <c r="I84" i="10"/>
  <c r="J84" i="10" s="1"/>
  <c r="K84" i="10" s="1"/>
  <c r="H84" i="10"/>
  <c r="L84" i="10" s="1"/>
  <c r="M84" i="10" s="1"/>
  <c r="O84" i="10" s="1"/>
  <c r="G84" i="10"/>
  <c r="E84" i="10"/>
  <c r="J83" i="10"/>
  <c r="K83" i="10" s="1"/>
  <c r="I83" i="10"/>
  <c r="G83" i="10"/>
  <c r="H83" i="10" s="1"/>
  <c r="E83" i="10"/>
  <c r="N79" i="10"/>
  <c r="J79" i="10"/>
  <c r="K79" i="10" s="1"/>
  <c r="I79" i="10"/>
  <c r="H79" i="10"/>
  <c r="L79" i="10" s="1"/>
  <c r="G79" i="10"/>
  <c r="E79" i="10"/>
  <c r="J78" i="10"/>
  <c r="K78" i="10" s="1"/>
  <c r="I78" i="10"/>
  <c r="H78" i="10"/>
  <c r="L78" i="10" s="1"/>
  <c r="G78" i="10"/>
  <c r="E78" i="10"/>
  <c r="M78" i="10" s="1"/>
  <c r="J77" i="10"/>
  <c r="K77" i="10" s="1"/>
  <c r="I77" i="10"/>
  <c r="H77" i="10"/>
  <c r="L77" i="10" s="1"/>
  <c r="G77" i="10"/>
  <c r="E77" i="10"/>
  <c r="J76" i="10"/>
  <c r="K76" i="10" s="1"/>
  <c r="I76" i="10"/>
  <c r="H76" i="10"/>
  <c r="L76" i="10" s="1"/>
  <c r="G76" i="10"/>
  <c r="E76" i="10"/>
  <c r="J75" i="10"/>
  <c r="K75" i="10" s="1"/>
  <c r="I75" i="10"/>
  <c r="H75" i="10"/>
  <c r="L75" i="10" s="1"/>
  <c r="G75" i="10"/>
  <c r="E75" i="10"/>
  <c r="J74" i="10"/>
  <c r="K74" i="10" s="1"/>
  <c r="I74" i="10"/>
  <c r="H74" i="10"/>
  <c r="L74" i="10" s="1"/>
  <c r="G74" i="10"/>
  <c r="E74" i="10"/>
  <c r="M74" i="10" s="1"/>
  <c r="J73" i="10"/>
  <c r="K73" i="10" s="1"/>
  <c r="I73" i="10"/>
  <c r="H73" i="10"/>
  <c r="L73" i="10" s="1"/>
  <c r="G73" i="10"/>
  <c r="E73" i="10"/>
  <c r="J72" i="10"/>
  <c r="K72" i="10" s="1"/>
  <c r="I72" i="10"/>
  <c r="H72" i="10"/>
  <c r="L72" i="10" s="1"/>
  <c r="G72" i="10"/>
  <c r="E72" i="10"/>
  <c r="J71" i="10"/>
  <c r="K71" i="10" s="1"/>
  <c r="I71" i="10"/>
  <c r="H71" i="10"/>
  <c r="L71" i="10" s="1"/>
  <c r="G71" i="10"/>
  <c r="E71" i="10"/>
  <c r="J70" i="10"/>
  <c r="K70" i="10" s="1"/>
  <c r="I70" i="10"/>
  <c r="H70" i="10"/>
  <c r="L70" i="10" s="1"/>
  <c r="G70" i="10"/>
  <c r="E70" i="10"/>
  <c r="M70" i="10" s="1"/>
  <c r="J69" i="10"/>
  <c r="K69" i="10" s="1"/>
  <c r="I69" i="10"/>
  <c r="H69" i="10"/>
  <c r="L69" i="10" s="1"/>
  <c r="G69" i="10"/>
  <c r="E69" i="10"/>
  <c r="J68" i="10"/>
  <c r="K68" i="10" s="1"/>
  <c r="I68" i="10"/>
  <c r="H68" i="10"/>
  <c r="L68" i="10" s="1"/>
  <c r="G68" i="10"/>
  <c r="E68" i="10"/>
  <c r="J67" i="10"/>
  <c r="K67" i="10" s="1"/>
  <c r="I67" i="10"/>
  <c r="H67" i="10"/>
  <c r="L67" i="10" s="1"/>
  <c r="G67" i="10"/>
  <c r="E67" i="10"/>
  <c r="J66" i="10"/>
  <c r="K66" i="10" s="1"/>
  <c r="I66" i="10"/>
  <c r="H66" i="10"/>
  <c r="L66" i="10" s="1"/>
  <c r="G66" i="10"/>
  <c r="E66" i="10"/>
  <c r="M66" i="10" s="1"/>
  <c r="J65" i="10"/>
  <c r="K65" i="10" s="1"/>
  <c r="I65" i="10"/>
  <c r="H65" i="10"/>
  <c r="L65" i="10" s="1"/>
  <c r="G65" i="10"/>
  <c r="E65" i="10"/>
  <c r="J64" i="10"/>
  <c r="K64" i="10" s="1"/>
  <c r="I64" i="10"/>
  <c r="H64" i="10"/>
  <c r="L64" i="10" s="1"/>
  <c r="G64" i="10"/>
  <c r="E64" i="10"/>
  <c r="J60" i="10"/>
  <c r="K60" i="10" s="1"/>
  <c r="I60" i="10"/>
  <c r="G60" i="10"/>
  <c r="H60" i="10" s="1"/>
  <c r="E60" i="10"/>
  <c r="I59" i="10"/>
  <c r="J59" i="10" s="1"/>
  <c r="K59" i="10" s="1"/>
  <c r="H59" i="10"/>
  <c r="L59" i="10" s="1"/>
  <c r="M59" i="10" s="1"/>
  <c r="O59" i="10" s="1"/>
  <c r="G59" i="10"/>
  <c r="E59" i="10"/>
  <c r="J58" i="10"/>
  <c r="K58" i="10" s="1"/>
  <c r="I58" i="10"/>
  <c r="G58" i="10"/>
  <c r="H58" i="10" s="1"/>
  <c r="E58" i="10"/>
  <c r="I54" i="10"/>
  <c r="J54" i="10" s="1"/>
  <c r="K54" i="10" s="1"/>
  <c r="H54" i="10"/>
  <c r="N54" i="10" s="1"/>
  <c r="G54" i="10"/>
  <c r="E54" i="10"/>
  <c r="J53" i="10"/>
  <c r="K53" i="10" s="1"/>
  <c r="I53" i="10"/>
  <c r="G53" i="10"/>
  <c r="H53" i="10" s="1"/>
  <c r="E53" i="10"/>
  <c r="I52" i="10"/>
  <c r="J52" i="10" s="1"/>
  <c r="K52" i="10" s="1"/>
  <c r="H52" i="10"/>
  <c r="L52" i="10" s="1"/>
  <c r="M52" i="10" s="1"/>
  <c r="O52" i="10" s="1"/>
  <c r="G52" i="10"/>
  <c r="E52" i="10"/>
  <c r="J51" i="10"/>
  <c r="K51" i="10" s="1"/>
  <c r="I51" i="10"/>
  <c r="G51" i="10"/>
  <c r="H51" i="10" s="1"/>
  <c r="E51" i="10"/>
  <c r="I50" i="10"/>
  <c r="J50" i="10" s="1"/>
  <c r="K50" i="10" s="1"/>
  <c r="H50" i="10"/>
  <c r="L50" i="10" s="1"/>
  <c r="M50" i="10" s="1"/>
  <c r="O50" i="10" s="1"/>
  <c r="G50" i="10"/>
  <c r="E50" i="10"/>
  <c r="J49" i="10"/>
  <c r="K49" i="10" s="1"/>
  <c r="I49" i="10"/>
  <c r="G49" i="10"/>
  <c r="H49" i="10" s="1"/>
  <c r="E49" i="10"/>
  <c r="I48" i="10"/>
  <c r="J48" i="10" s="1"/>
  <c r="K48" i="10" s="1"/>
  <c r="H48" i="10"/>
  <c r="L48" i="10" s="1"/>
  <c r="M48" i="10" s="1"/>
  <c r="O48" i="10" s="1"/>
  <c r="G48" i="10"/>
  <c r="E48" i="10"/>
  <c r="J47" i="10"/>
  <c r="K47" i="10" s="1"/>
  <c r="I47" i="10"/>
  <c r="G47" i="10"/>
  <c r="H47" i="10" s="1"/>
  <c r="E47" i="10"/>
  <c r="I46" i="10"/>
  <c r="J46" i="10" s="1"/>
  <c r="K46" i="10" s="1"/>
  <c r="H46" i="10"/>
  <c r="N46" i="10" s="1"/>
  <c r="G46" i="10"/>
  <c r="E46" i="10"/>
  <c r="J45" i="10"/>
  <c r="K45" i="10" s="1"/>
  <c r="I45" i="10"/>
  <c r="G45" i="10"/>
  <c r="H45" i="10" s="1"/>
  <c r="E45" i="10"/>
  <c r="I44" i="10"/>
  <c r="J44" i="10" s="1"/>
  <c r="K44" i="10" s="1"/>
  <c r="H44" i="10"/>
  <c r="N44" i="10" s="1"/>
  <c r="G44" i="10"/>
  <c r="E44" i="10"/>
  <c r="J43" i="10"/>
  <c r="K43" i="10" s="1"/>
  <c r="I43" i="10"/>
  <c r="G43" i="10"/>
  <c r="H43" i="10" s="1"/>
  <c r="E43" i="10"/>
  <c r="I38" i="10"/>
  <c r="J38" i="10" s="1"/>
  <c r="K38" i="10" s="1"/>
  <c r="H38" i="10"/>
  <c r="L38" i="10" s="1"/>
  <c r="G38" i="10"/>
  <c r="E38" i="10"/>
  <c r="J37" i="10"/>
  <c r="K37" i="10" s="1"/>
  <c r="I37" i="10"/>
  <c r="G37" i="10"/>
  <c r="H37" i="10" s="1"/>
  <c r="E37" i="10"/>
  <c r="I36" i="10"/>
  <c r="J36" i="10" s="1"/>
  <c r="K36" i="10" s="1"/>
  <c r="H36" i="10"/>
  <c r="G36" i="10"/>
  <c r="E36" i="10"/>
  <c r="J35" i="10"/>
  <c r="K35" i="10" s="1"/>
  <c r="I35" i="10"/>
  <c r="G35" i="10"/>
  <c r="H35" i="10" s="1"/>
  <c r="E35" i="10"/>
  <c r="I34" i="10"/>
  <c r="J34" i="10" s="1"/>
  <c r="K34" i="10" s="1"/>
  <c r="H34" i="10"/>
  <c r="L34" i="10" s="1"/>
  <c r="M34" i="10" s="1"/>
  <c r="O34" i="10" s="1"/>
  <c r="G34" i="10"/>
  <c r="E34" i="10"/>
  <c r="J33" i="10"/>
  <c r="K33" i="10" s="1"/>
  <c r="I33" i="10"/>
  <c r="G33" i="10"/>
  <c r="H33" i="10" s="1"/>
  <c r="E33" i="10"/>
  <c r="I32" i="10"/>
  <c r="J32" i="10" s="1"/>
  <c r="K32" i="10" s="1"/>
  <c r="H32" i="10"/>
  <c r="L32" i="10" s="1"/>
  <c r="M32" i="10" s="1"/>
  <c r="O32" i="10" s="1"/>
  <c r="G32" i="10"/>
  <c r="E32" i="10"/>
  <c r="I28" i="10"/>
  <c r="J28" i="10" s="1"/>
  <c r="K28" i="10" s="1"/>
  <c r="H28" i="10"/>
  <c r="N28" i="10" s="1"/>
  <c r="G28" i="10"/>
  <c r="E28" i="10"/>
  <c r="J27" i="10"/>
  <c r="K27" i="10" s="1"/>
  <c r="I27" i="10"/>
  <c r="G27" i="10"/>
  <c r="H27" i="10" s="1"/>
  <c r="E27" i="10"/>
  <c r="I26" i="10"/>
  <c r="J26" i="10" s="1"/>
  <c r="K26" i="10" s="1"/>
  <c r="H26" i="10"/>
  <c r="N26" i="10" s="1"/>
  <c r="G26" i="10"/>
  <c r="E26" i="10"/>
  <c r="J25" i="10"/>
  <c r="K25" i="10" s="1"/>
  <c r="I25" i="10"/>
  <c r="G25" i="10"/>
  <c r="H25" i="10" s="1"/>
  <c r="E25" i="10"/>
  <c r="I24" i="10"/>
  <c r="J24" i="10" s="1"/>
  <c r="K24" i="10" s="1"/>
  <c r="H24" i="10"/>
  <c r="N24" i="10" s="1"/>
  <c r="G24" i="10"/>
  <c r="E24" i="10"/>
  <c r="H54" i="7"/>
  <c r="G54" i="7"/>
  <c r="E54" i="7"/>
  <c r="F54" i="7" s="1"/>
  <c r="E105" i="10"/>
  <c r="C20" i="10"/>
  <c r="C24" i="7"/>
  <c r="C31" i="7"/>
  <c r="C35" i="7"/>
  <c r="C36" i="7"/>
  <c r="I105" i="10"/>
  <c r="J105" i="10" s="1"/>
  <c r="K105" i="10" s="1"/>
  <c r="G105" i="10"/>
  <c r="H105" i="10" s="1"/>
  <c r="D104" i="10"/>
  <c r="D103" i="10"/>
  <c r="D102" i="10"/>
  <c r="I101" i="10"/>
  <c r="J101" i="10" s="1"/>
  <c r="G101" i="10"/>
  <c r="H101" i="10" s="1"/>
  <c r="D101" i="10"/>
  <c r="E101" i="10" s="1"/>
  <c r="I98" i="10"/>
  <c r="J98" i="10" s="1"/>
  <c r="G98" i="10"/>
  <c r="H98" i="10" s="1"/>
  <c r="D98" i="10"/>
  <c r="E98" i="10" s="1"/>
  <c r="I93" i="10"/>
  <c r="J93" i="10" s="1"/>
  <c r="G93" i="10"/>
  <c r="H93" i="10" s="1"/>
  <c r="D93" i="10"/>
  <c r="D89" i="10"/>
  <c r="C89" i="10"/>
  <c r="D88" i="10"/>
  <c r="D87" i="10"/>
  <c r="D86" i="10"/>
  <c r="D85" i="10"/>
  <c r="D84" i="10"/>
  <c r="D83" i="10"/>
  <c r="I82" i="10"/>
  <c r="J82" i="10" s="1"/>
  <c r="G82" i="10"/>
  <c r="H82" i="10" s="1"/>
  <c r="D82" i="10"/>
  <c r="D79" i="10"/>
  <c r="D78" i="10"/>
  <c r="D77" i="10"/>
  <c r="D76" i="10"/>
  <c r="D75" i="10"/>
  <c r="D74" i="10"/>
  <c r="D73" i="10"/>
  <c r="C73" i="10"/>
  <c r="D72" i="10"/>
  <c r="D71" i="10"/>
  <c r="D70" i="10"/>
  <c r="D69" i="10"/>
  <c r="D68" i="10"/>
  <c r="D67" i="10"/>
  <c r="D66" i="10"/>
  <c r="D65" i="10"/>
  <c r="D64" i="10"/>
  <c r="I63" i="10"/>
  <c r="J63" i="10" s="1"/>
  <c r="G63" i="10"/>
  <c r="H63" i="10" s="1"/>
  <c r="D63" i="10"/>
  <c r="E63" i="10" s="1"/>
  <c r="D60" i="10"/>
  <c r="D59" i="10"/>
  <c r="D58" i="10"/>
  <c r="I57" i="10"/>
  <c r="J57" i="10" s="1"/>
  <c r="G57" i="10"/>
  <c r="H57" i="10" s="1"/>
  <c r="D57" i="10"/>
  <c r="E57" i="10" s="1"/>
  <c r="D49" i="10"/>
  <c r="D48" i="10"/>
  <c r="D47" i="10"/>
  <c r="D46" i="10"/>
  <c r="D45" i="10"/>
  <c r="D44" i="10"/>
  <c r="D43" i="10"/>
  <c r="G42" i="10"/>
  <c r="H42" i="10" s="1"/>
  <c r="D42" i="10"/>
  <c r="C42" i="10"/>
  <c r="D38" i="10"/>
  <c r="D37" i="10"/>
  <c r="D36" i="10"/>
  <c r="D35" i="10"/>
  <c r="D34" i="10"/>
  <c r="D33" i="10"/>
  <c r="D32" i="10"/>
  <c r="C32" i="10"/>
  <c r="G31" i="10"/>
  <c r="H31" i="10" s="1"/>
  <c r="D31" i="10"/>
  <c r="C31" i="10"/>
  <c r="D25" i="10"/>
  <c r="D24" i="10"/>
  <c r="C24" i="10"/>
  <c r="I23" i="10"/>
  <c r="J23" i="10" s="1"/>
  <c r="G23" i="10"/>
  <c r="H23" i="10" s="1"/>
  <c r="D23" i="10"/>
  <c r="D22" i="10"/>
  <c r="L20" i="10"/>
  <c r="K20" i="10"/>
  <c r="C12" i="10"/>
  <c r="C11" i="10"/>
  <c r="C9" i="10"/>
  <c r="C34" i="7"/>
  <c r="C27" i="7"/>
  <c r="C29" i="7"/>
  <c r="C28" i="7"/>
  <c r="C37" i="7"/>
  <c r="C21" i="7"/>
  <c r="C20" i="7"/>
  <c r="C18" i="7"/>
  <c r="H53" i="7"/>
  <c r="E53" i="7"/>
  <c r="G53" i="7" s="1"/>
  <c r="J53" i="7" s="1"/>
  <c r="H52" i="7"/>
  <c r="E52" i="7"/>
  <c r="G52" i="7" s="1"/>
  <c r="H51" i="7"/>
  <c r="E51" i="7"/>
  <c r="G51" i="7" s="1"/>
  <c r="H50" i="7"/>
  <c r="E50" i="7"/>
  <c r="G50" i="7" s="1"/>
  <c r="H57" i="7"/>
  <c r="E57" i="7"/>
  <c r="F57" i="7" s="1"/>
  <c r="H56" i="7"/>
  <c r="H55" i="7"/>
  <c r="H49" i="7"/>
  <c r="E56" i="7"/>
  <c r="F56" i="7" s="1"/>
  <c r="E49" i="7"/>
  <c r="F49" i="7" s="1"/>
  <c r="C55" i="7"/>
  <c r="E55" i="7" s="1"/>
  <c r="G55" i="7" s="1"/>
  <c r="H45" i="7"/>
  <c r="E45" i="7"/>
  <c r="F45" i="7" s="1"/>
  <c r="H46" i="7"/>
  <c r="E46" i="7"/>
  <c r="F46" i="7" s="1"/>
  <c r="H44" i="7"/>
  <c r="E44" i="7"/>
  <c r="G44" i="7" s="1"/>
  <c r="H43" i="7"/>
  <c r="E43" i="7"/>
  <c r="G43" i="7" s="1"/>
  <c r="H42" i="7"/>
  <c r="E42" i="7"/>
  <c r="G42" i="7" s="1"/>
  <c r="H61" i="7"/>
  <c r="E61" i="7"/>
  <c r="F61" i="7" s="1"/>
  <c r="H64" i="7"/>
  <c r="E64" i="7"/>
  <c r="G64" i="7" s="1"/>
  <c r="H63" i="7"/>
  <c r="E63" i="7"/>
  <c r="F63" i="7" s="1"/>
  <c r="E65" i="7"/>
  <c r="G65" i="7" s="1"/>
  <c r="H65" i="7"/>
  <c r="H68" i="7"/>
  <c r="E68" i="7"/>
  <c r="F68" i="7" s="1"/>
  <c r="H69" i="7"/>
  <c r="E69" i="7"/>
  <c r="F69" i="7" s="1"/>
  <c r="H67" i="7"/>
  <c r="E67" i="7"/>
  <c r="G67" i="7" s="1"/>
  <c r="H66" i="7"/>
  <c r="E66" i="7"/>
  <c r="F66" i="7" s="1"/>
  <c r="H62" i="7"/>
  <c r="E62" i="7"/>
  <c r="F62" i="7" s="1"/>
  <c r="H60" i="7"/>
  <c r="E60" i="7"/>
  <c r="F60" i="7" s="1"/>
  <c r="G14" i="9"/>
  <c r="B26" i="9"/>
  <c r="B29" i="9" s="1"/>
  <c r="B31" i="9" s="1"/>
  <c r="C22" i="9"/>
  <c r="F10" i="9"/>
  <c r="F16" i="9"/>
  <c r="H59" i="7"/>
  <c r="H10" i="7"/>
  <c r="H9" i="7"/>
  <c r="E59" i="7"/>
  <c r="G59" i="7" s="1"/>
  <c r="E10" i="7"/>
  <c r="G10" i="7" s="1"/>
  <c r="E9" i="7"/>
  <c r="G9" i="7" s="1"/>
  <c r="H22" i="9"/>
  <c r="G18" i="9"/>
  <c r="F18" i="9"/>
  <c r="E22" i="9"/>
  <c r="B22" i="9"/>
  <c r="G20" i="9"/>
  <c r="F20" i="9"/>
  <c r="F14" i="9"/>
  <c r="I14" i="9"/>
  <c r="G8" i="9"/>
  <c r="F8" i="9"/>
  <c r="I8" i="9"/>
  <c r="C15" i="8"/>
  <c r="J9" i="5"/>
  <c r="E12" i="5"/>
  <c r="G12" i="5"/>
  <c r="I12" i="5"/>
  <c r="J12" i="5"/>
  <c r="F12" i="5"/>
  <c r="H12" i="5"/>
  <c r="E15" i="5"/>
  <c r="G15" i="5"/>
  <c r="I15" i="5"/>
  <c r="J15" i="5"/>
  <c r="H15" i="5"/>
  <c r="E16" i="5"/>
  <c r="F16" i="5"/>
  <c r="G16" i="5"/>
  <c r="H16" i="5"/>
  <c r="E17" i="5"/>
  <c r="G17" i="5"/>
  <c r="I17" i="5"/>
  <c r="J17" i="5"/>
  <c r="H17" i="5"/>
  <c r="E18" i="5"/>
  <c r="G18" i="5"/>
  <c r="I18" i="5"/>
  <c r="J18" i="5"/>
  <c r="H18" i="5"/>
  <c r="E19" i="5"/>
  <c r="G19" i="5"/>
  <c r="H19" i="5"/>
  <c r="E20" i="5"/>
  <c r="G20" i="5"/>
  <c r="H20" i="5"/>
  <c r="E21" i="5"/>
  <c r="F21" i="5"/>
  <c r="H21" i="5"/>
  <c r="I21" i="5"/>
  <c r="E22" i="5"/>
  <c r="H22" i="5"/>
  <c r="E23" i="5"/>
  <c r="G23" i="5"/>
  <c r="H23" i="5"/>
  <c r="I23" i="5"/>
  <c r="J23" i="5"/>
  <c r="E24" i="5"/>
  <c r="G24" i="5"/>
  <c r="H24" i="5"/>
  <c r="I24" i="5"/>
  <c r="J24" i="5"/>
  <c r="E25" i="5"/>
  <c r="G25" i="5"/>
  <c r="H25" i="5"/>
  <c r="I25" i="5"/>
  <c r="J25" i="5"/>
  <c r="C26" i="5"/>
  <c r="E26" i="5"/>
  <c r="G26" i="5"/>
  <c r="H26" i="5"/>
  <c r="E27" i="5"/>
  <c r="G27" i="5"/>
  <c r="H27" i="5"/>
  <c r="I27" i="5"/>
  <c r="J27" i="5"/>
  <c r="E28" i="5"/>
  <c r="G28" i="5"/>
  <c r="H28" i="5"/>
  <c r="I28" i="5"/>
  <c r="J28" i="5"/>
  <c r="E29" i="5"/>
  <c r="G29" i="5"/>
  <c r="H29" i="5"/>
  <c r="I29" i="5"/>
  <c r="J29" i="5"/>
  <c r="E30" i="5"/>
  <c r="G30" i="5"/>
  <c r="H30" i="5"/>
  <c r="I30" i="5"/>
  <c r="J30" i="5"/>
  <c r="E31" i="5"/>
  <c r="G31" i="5"/>
  <c r="H31" i="5"/>
  <c r="I31" i="5"/>
  <c r="J31" i="5"/>
  <c r="E33" i="5"/>
  <c r="I33" i="5"/>
  <c r="J33" i="5"/>
  <c r="E34" i="5"/>
  <c r="G34" i="5"/>
  <c r="H34" i="5"/>
  <c r="I34" i="5"/>
  <c r="J34" i="5"/>
  <c r="E35" i="5"/>
  <c r="G35" i="5"/>
  <c r="H35" i="5"/>
  <c r="I35" i="5"/>
  <c r="J35" i="5"/>
  <c r="E36" i="5"/>
  <c r="H36" i="5"/>
  <c r="I36" i="5"/>
  <c r="J36" i="5"/>
  <c r="H37" i="5"/>
  <c r="I37" i="5"/>
  <c r="I26" i="5"/>
  <c r="J26" i="5"/>
  <c r="F19" i="5"/>
  <c r="F17" i="5"/>
  <c r="F18" i="5"/>
  <c r="F15" i="5"/>
  <c r="G21" i="5"/>
  <c r="J21" i="5"/>
  <c r="F20" i="5"/>
  <c r="F12" i="9"/>
  <c r="F22" i="5"/>
  <c r="G22" i="5"/>
  <c r="I22" i="5"/>
  <c r="J22" i="5"/>
  <c r="I19" i="5"/>
  <c r="J19" i="5"/>
  <c r="I20" i="5"/>
  <c r="J20" i="5"/>
  <c r="F53" i="7"/>
  <c r="I20" i="9"/>
  <c r="I18" i="9"/>
  <c r="D22" i="9"/>
  <c r="G12" i="9"/>
  <c r="I12" i="9"/>
  <c r="G16" i="9"/>
  <c r="I16" i="9"/>
  <c r="G10" i="9"/>
  <c r="F22" i="9"/>
  <c r="C75" i="7"/>
  <c r="I16" i="5"/>
  <c r="J16" i="5"/>
  <c r="F9" i="7"/>
  <c r="G22" i="9"/>
  <c r="I10" i="9"/>
  <c r="I22" i="9"/>
  <c r="B28" i="9"/>
  <c r="J14" i="7" l="1"/>
  <c r="J54" i="7"/>
  <c r="J22" i="7"/>
  <c r="J11" i="7"/>
  <c r="J23" i="7"/>
  <c r="J39" i="7"/>
  <c r="J38" i="7"/>
  <c r="J29" i="7"/>
  <c r="J30" i="7"/>
  <c r="J21" i="7"/>
  <c r="J24" i="7"/>
  <c r="J37" i="7"/>
  <c r="J31" i="7"/>
  <c r="F17" i="7"/>
  <c r="F19" i="7"/>
  <c r="F21" i="7"/>
  <c r="F23" i="7"/>
  <c r="F25" i="7"/>
  <c r="F27" i="7"/>
  <c r="F29" i="7"/>
  <c r="F31" i="7"/>
  <c r="F33" i="7"/>
  <c r="F35" i="7"/>
  <c r="F37" i="7"/>
  <c r="F39" i="7"/>
  <c r="F11" i="7"/>
  <c r="F13" i="7"/>
  <c r="L103" i="10"/>
  <c r="N103" i="10"/>
  <c r="N102" i="10"/>
  <c r="L102" i="10"/>
  <c r="M102" i="10" s="1"/>
  <c r="O102" i="10" s="1"/>
  <c r="M103" i="10"/>
  <c r="O103" i="10" s="1"/>
  <c r="L104" i="10"/>
  <c r="M104" i="10"/>
  <c r="O104" i="10" s="1"/>
  <c r="N94" i="10"/>
  <c r="L94" i="10"/>
  <c r="M94" i="10"/>
  <c r="O94" i="10" s="1"/>
  <c r="L95" i="10"/>
  <c r="M95" i="10"/>
  <c r="O95" i="10" s="1"/>
  <c r="M89" i="10"/>
  <c r="L83" i="10"/>
  <c r="M83" i="10" s="1"/>
  <c r="O83" i="10" s="1"/>
  <c r="N83" i="10"/>
  <c r="L85" i="10"/>
  <c r="M85" i="10" s="1"/>
  <c r="O85" i="10" s="1"/>
  <c r="N85" i="10"/>
  <c r="L87" i="10"/>
  <c r="M87" i="10" s="1"/>
  <c r="O87" i="10" s="1"/>
  <c r="N87" i="10"/>
  <c r="N89" i="10"/>
  <c r="L89" i="10"/>
  <c r="L86" i="10"/>
  <c r="M86" i="10" s="1"/>
  <c r="O86" i="10" s="1"/>
  <c r="L88" i="10"/>
  <c r="M88" i="10" s="1"/>
  <c r="O88" i="10" s="1"/>
  <c r="L90" i="10"/>
  <c r="M90" i="10" s="1"/>
  <c r="O90" i="10" s="1"/>
  <c r="O89" i="10"/>
  <c r="N84" i="10"/>
  <c r="O73" i="10"/>
  <c r="M64" i="10"/>
  <c r="M68" i="10"/>
  <c r="M72" i="10"/>
  <c r="O72" i="10" s="1"/>
  <c r="M76" i="10"/>
  <c r="O76" i="10" s="1"/>
  <c r="N64" i="10"/>
  <c r="N66" i="10"/>
  <c r="N68" i="10"/>
  <c r="N70" i="10"/>
  <c r="N72" i="10"/>
  <c r="N74" i="10"/>
  <c r="N76" i="10"/>
  <c r="N78" i="10"/>
  <c r="O64" i="10"/>
  <c r="M65" i="10"/>
  <c r="O65" i="10" s="1"/>
  <c r="O66" i="10"/>
  <c r="M67" i="10"/>
  <c r="O67" i="10" s="1"/>
  <c r="O68" i="10"/>
  <c r="M69" i="10"/>
  <c r="O69" i="10" s="1"/>
  <c r="O70" i="10"/>
  <c r="M71" i="10"/>
  <c r="O71" i="10" s="1"/>
  <c r="M73" i="10"/>
  <c r="O74" i="10"/>
  <c r="M75" i="10"/>
  <c r="O75" i="10" s="1"/>
  <c r="M77" i="10"/>
  <c r="O77" i="10" s="1"/>
  <c r="O78" i="10"/>
  <c r="M79" i="10"/>
  <c r="O79" i="10" s="1"/>
  <c r="N65" i="10"/>
  <c r="N67" i="10"/>
  <c r="N69" i="10"/>
  <c r="N71" i="10"/>
  <c r="N73" i="10"/>
  <c r="N75" i="10"/>
  <c r="N77" i="10"/>
  <c r="N58" i="10"/>
  <c r="L58" i="10"/>
  <c r="N60" i="10"/>
  <c r="L60" i="10"/>
  <c r="N59" i="10"/>
  <c r="M58" i="10"/>
  <c r="O58" i="10" s="1"/>
  <c r="M60" i="10"/>
  <c r="O60" i="10" s="1"/>
  <c r="O54" i="10"/>
  <c r="L43" i="10"/>
  <c r="M43" i="10" s="1"/>
  <c r="O43" i="10" s="1"/>
  <c r="N43" i="10"/>
  <c r="N47" i="10"/>
  <c r="L47" i="10"/>
  <c r="M47" i="10" s="1"/>
  <c r="O47" i="10" s="1"/>
  <c r="N51" i="10"/>
  <c r="L51" i="10"/>
  <c r="M51" i="10"/>
  <c r="L45" i="10"/>
  <c r="M45" i="10" s="1"/>
  <c r="O45" i="10" s="1"/>
  <c r="N45" i="10"/>
  <c r="N49" i="10"/>
  <c r="L49" i="10"/>
  <c r="M49" i="10" s="1"/>
  <c r="O49" i="10" s="1"/>
  <c r="L53" i="10"/>
  <c r="M53" i="10" s="1"/>
  <c r="O53" i="10" s="1"/>
  <c r="N53" i="10"/>
  <c r="L44" i="10"/>
  <c r="M44" i="10" s="1"/>
  <c r="O44" i="10" s="1"/>
  <c r="L46" i="10"/>
  <c r="M46" i="10" s="1"/>
  <c r="O46" i="10" s="1"/>
  <c r="L54" i="10"/>
  <c r="M54" i="10" s="1"/>
  <c r="E107" i="10"/>
  <c r="N48" i="10"/>
  <c r="N50" i="10"/>
  <c r="N52" i="10"/>
  <c r="O51" i="10"/>
  <c r="M37" i="10"/>
  <c r="N33" i="10"/>
  <c r="L33" i="10"/>
  <c r="L35" i="10"/>
  <c r="M35" i="10" s="1"/>
  <c r="O35" i="10" s="1"/>
  <c r="N35" i="10"/>
  <c r="N37" i="10"/>
  <c r="L37" i="10"/>
  <c r="M33" i="10"/>
  <c r="O33" i="10" s="1"/>
  <c r="N36" i="10"/>
  <c r="M38" i="10"/>
  <c r="O38" i="10" s="1"/>
  <c r="L36" i="10"/>
  <c r="M36" i="10" s="1"/>
  <c r="O36" i="10" s="1"/>
  <c r="N32" i="10"/>
  <c r="N34" i="10"/>
  <c r="N38" i="10"/>
  <c r="O37" i="10"/>
  <c r="L25" i="10"/>
  <c r="M25" i="10" s="1"/>
  <c r="O25" i="10" s="1"/>
  <c r="N25" i="10"/>
  <c r="L27" i="10"/>
  <c r="M27" i="10" s="1"/>
  <c r="O27" i="10" s="1"/>
  <c r="N27" i="10"/>
  <c r="L24" i="10"/>
  <c r="M24" i="10" s="1"/>
  <c r="O24" i="10" s="1"/>
  <c r="L26" i="10"/>
  <c r="M26" i="10" s="1"/>
  <c r="O26" i="10" s="1"/>
  <c r="L28" i="10"/>
  <c r="M28" i="10" s="1"/>
  <c r="O28" i="10" s="1"/>
  <c r="G46" i="7"/>
  <c r="J46" i="7" s="1"/>
  <c r="F51" i="7"/>
  <c r="F42" i="7"/>
  <c r="G61" i="7"/>
  <c r="J61" i="7" s="1"/>
  <c r="F43" i="7"/>
  <c r="G49" i="7"/>
  <c r="J49" i="7" s="1"/>
  <c r="G69" i="7"/>
  <c r="J69" i="7" s="1"/>
  <c r="J10" i="7"/>
  <c r="J9" i="7"/>
  <c r="J65" i="7"/>
  <c r="F64" i="7"/>
  <c r="F44" i="7"/>
  <c r="F52" i="7"/>
  <c r="J59" i="7"/>
  <c r="F10" i="7"/>
  <c r="G68" i="7"/>
  <c r="J68" i="7" s="1"/>
  <c r="G62" i="7"/>
  <c r="J62" i="7" s="1"/>
  <c r="J64" i="7"/>
  <c r="J50" i="7"/>
  <c r="F67" i="7"/>
  <c r="J44" i="7"/>
  <c r="G63" i="7"/>
  <c r="J42" i="7"/>
  <c r="J43" i="7"/>
  <c r="C71" i="7"/>
  <c r="F65" i="7"/>
  <c r="G57" i="7"/>
  <c r="J57" i="7" s="1"/>
  <c r="J51" i="7"/>
  <c r="G60" i="7"/>
  <c r="J60" i="7" s="1"/>
  <c r="J67" i="7"/>
  <c r="J52" i="7"/>
  <c r="F59" i="7"/>
  <c r="G56" i="7"/>
  <c r="J56" i="7" s="1"/>
  <c r="G45" i="7"/>
  <c r="J45" i="7" s="1"/>
  <c r="J55" i="7"/>
  <c r="F55" i="7"/>
  <c r="G66" i="7"/>
  <c r="J66" i="7" s="1"/>
  <c r="F50" i="7"/>
  <c r="E71" i="7"/>
  <c r="N57" i="10"/>
  <c r="N63" i="10"/>
  <c r="K98" i="10"/>
  <c r="N98" i="10"/>
  <c r="I42" i="10"/>
  <c r="J42" i="10" s="1"/>
  <c r="K93" i="10"/>
  <c r="L98" i="10"/>
  <c r="M98" i="10" s="1"/>
  <c r="O98" i="10" s="1"/>
  <c r="N23" i="10"/>
  <c r="N101" i="10"/>
  <c r="L101" i="10"/>
  <c r="M101" i="10" s="1"/>
  <c r="O101" i="10" s="1"/>
  <c r="K23" i="10"/>
  <c r="E20" i="10"/>
  <c r="E42" i="10"/>
  <c r="L57" i="10"/>
  <c r="M57" i="10" s="1"/>
  <c r="O57" i="10" s="1"/>
  <c r="L63" i="10"/>
  <c r="M63" i="10" s="1"/>
  <c r="O63" i="10" s="1"/>
  <c r="E23" i="10"/>
  <c r="E93" i="10"/>
  <c r="L93" i="10" s="1"/>
  <c r="N105" i="10"/>
  <c r="E31" i="10"/>
  <c r="I31" i="10"/>
  <c r="K57" i="10"/>
  <c r="K63" i="10"/>
  <c r="N82" i="10"/>
  <c r="L105" i="10"/>
  <c r="K82" i="10"/>
  <c r="E82" i="10"/>
  <c r="N93" i="10"/>
  <c r="K101" i="10"/>
  <c r="J71" i="7" l="1"/>
  <c r="O108" i="10" s="1"/>
  <c r="F71" i="7"/>
  <c r="L63" i="7"/>
  <c r="J63" i="7"/>
  <c r="I73" i="7"/>
  <c r="I107" i="10"/>
  <c r="J31" i="10"/>
  <c r="J107" i="10" s="1"/>
  <c r="K42" i="10"/>
  <c r="N42" i="10"/>
  <c r="L42" i="10"/>
  <c r="M42" i="10" s="1"/>
  <c r="O42" i="10" s="1"/>
  <c r="G113" i="10"/>
  <c r="F113" i="10" s="1"/>
  <c r="O105" i="10"/>
  <c r="L31" i="10"/>
  <c r="M31" i="10" s="1"/>
  <c r="O31" i="10" s="1"/>
  <c r="O93" i="10"/>
  <c r="O20" i="10"/>
  <c r="L82" i="10"/>
  <c r="M82" i="10" s="1"/>
  <c r="O82" i="10" s="1"/>
  <c r="L23" i="10"/>
  <c r="M23" i="10" s="1"/>
  <c r="J73" i="7" l="1"/>
  <c r="D108" i="10"/>
  <c r="N31" i="10"/>
  <c r="N107" i="10" s="1"/>
  <c r="K31" i="10"/>
  <c r="K107" i="10" s="1"/>
  <c r="M108" i="10"/>
  <c r="O23" i="10"/>
</calcChain>
</file>

<file path=xl/sharedStrings.xml><?xml version="1.0" encoding="utf-8"?>
<sst xmlns="http://schemas.openxmlformats.org/spreadsheetml/2006/main" count="274" uniqueCount="178">
  <si>
    <t>Particular</t>
  </si>
  <si>
    <t>Rate of Dep.</t>
  </si>
  <si>
    <t>Total Assets</t>
  </si>
  <si>
    <t>WDV as on 31st Mar 2015</t>
  </si>
  <si>
    <t>Salvaged value</t>
  </si>
  <si>
    <t>Building</t>
  </si>
  <si>
    <t>Land</t>
  </si>
  <si>
    <t>-</t>
  </si>
  <si>
    <t>(A) Land</t>
  </si>
  <si>
    <t>(B) Buildings</t>
  </si>
  <si>
    <t>Air Conditioner</t>
  </si>
  <si>
    <t>Fire Extinguisher</t>
  </si>
  <si>
    <t>Generator</t>
  </si>
  <si>
    <t>Lift/Escalators</t>
  </si>
  <si>
    <t>(D) Furniture and Fixtures</t>
  </si>
  <si>
    <t>Motor Cycle</t>
  </si>
  <si>
    <t>DEPRECIATION CHART FOR F. Y. 2014-15</t>
  </si>
  <si>
    <t>Life as per Co. Act, 2013</t>
  </si>
  <si>
    <t>Original Cost (Rs)</t>
  </si>
  <si>
    <t>Adjusted with Retained Earning</t>
  </si>
  <si>
    <t>Excess Dep. (Already charged)</t>
  </si>
  <si>
    <t>Depreciable amount over whole life</t>
  </si>
  <si>
    <t>Remaining Life</t>
  </si>
  <si>
    <t>(C) Office Equipments</t>
  </si>
  <si>
    <t>Dep for the Year 2014-15</t>
  </si>
  <si>
    <t>Date of Purchase / Put to use</t>
  </si>
  <si>
    <t>FOR ASSETS EXISTING AS ON 31.03.2014</t>
  </si>
  <si>
    <t>………………NAME OF THE COMPANY…………..</t>
  </si>
  <si>
    <t>CAREFULLY READ ALL THE INSTRUCTION BEFORE USING THIS SHEET</t>
  </si>
  <si>
    <t>total depreciable amount under whole life "less" depreciation claimed till the year immediately previous year for which deprecation to be calculated.</t>
  </si>
  <si>
    <t>FOR ASSETS PURCHASED AFTER 31.03.2014</t>
  </si>
  <si>
    <t>Use 3rd Sheet for Assets purchased after 31.03.2014</t>
  </si>
  <si>
    <t>Used during the year</t>
  </si>
  <si>
    <t>(A) Plant &amp; Machinery</t>
  </si>
  <si>
    <t>Motor Car</t>
  </si>
  <si>
    <t>(B) Vehicles</t>
  </si>
  <si>
    <t>LCD Television</t>
  </si>
  <si>
    <t>Glass</t>
  </si>
  <si>
    <t>Chair</t>
  </si>
  <si>
    <t>B+C</t>
  </si>
  <si>
    <t>Anodised AL Top</t>
  </si>
  <si>
    <t>A</t>
  </si>
  <si>
    <t>FOR ASSETS PURCHASED AFTER 31.03.2017</t>
  </si>
  <si>
    <t>Die</t>
  </si>
  <si>
    <t>Moulding Die</t>
  </si>
  <si>
    <t>Big Marie Cutter 30"*8"</t>
  </si>
  <si>
    <t>Roller 60"*8"</t>
  </si>
  <si>
    <t>Factory Building</t>
  </si>
  <si>
    <t>Factory Shed</t>
  </si>
  <si>
    <t>Furnafe Sheet &amp; Adhesive</t>
  </si>
  <si>
    <t>Furniture &amp; Fittings</t>
  </si>
  <si>
    <t>Handal &amp; H. Bolt</t>
  </si>
  <si>
    <t>Laminates</t>
  </si>
  <si>
    <t>Led Fittings</t>
  </si>
  <si>
    <t>Nut &amp; Bolt</t>
  </si>
  <si>
    <t>Plywood</t>
  </si>
  <si>
    <t>Computer &amp; Assessories</t>
  </si>
  <si>
    <t>Floor Cleaning Machine</t>
  </si>
  <si>
    <t>Printer</t>
  </si>
  <si>
    <t>Vaccume Cleaner</t>
  </si>
  <si>
    <t>Weighing Scale</t>
  </si>
  <si>
    <t>Packing Machine</t>
  </si>
  <si>
    <t>Secondary Pack Machine</t>
  </si>
  <si>
    <t>Aluminium Ladder</t>
  </si>
  <si>
    <t>Chain Pully 3T</t>
  </si>
  <si>
    <t>Drill Machine</t>
  </si>
  <si>
    <t>Grease Gun</t>
  </si>
  <si>
    <t>Hand Pallet Truck</t>
  </si>
  <si>
    <t>Tools &amp; Tackles</t>
  </si>
  <si>
    <t>Baking Oven - Plant &amp; Machinery</t>
  </si>
  <si>
    <t>Carret</t>
  </si>
  <si>
    <t>CYLINDER</t>
  </si>
  <si>
    <t>ELECTRICAL INSTALLATIONS</t>
  </si>
  <si>
    <t>Plant &amp; Machineries</t>
  </si>
  <si>
    <t>Marie Cylinder 60"*8"</t>
  </si>
  <si>
    <t>Veteran Marie Cylinder</t>
  </si>
  <si>
    <t>Cylinder - Chulbul</t>
  </si>
  <si>
    <t>M.B. Pump</t>
  </si>
  <si>
    <t>Baking Oven</t>
  </si>
  <si>
    <t xml:space="preserve"> DIE</t>
  </si>
  <si>
    <t>PACKING MACHINE</t>
  </si>
  <si>
    <t>TOOLS &amp; TACKLES</t>
  </si>
  <si>
    <t>Annexure A</t>
  </si>
  <si>
    <t xml:space="preserve">Depreciation as per Income Tax Act </t>
  </si>
  <si>
    <t>DESCRIPTION OF ASSETS</t>
  </si>
  <si>
    <t>WDV as at</t>
  </si>
  <si>
    <t>Additions</t>
  </si>
  <si>
    <t>Deduction</t>
  </si>
  <si>
    <t>Total Cost as</t>
  </si>
  <si>
    <t>Depreciation</t>
  </si>
  <si>
    <t xml:space="preserve">Additional </t>
  </si>
  <si>
    <t>WDV as on</t>
  </si>
  <si>
    <t>Rate</t>
  </si>
  <si>
    <t>in the year</t>
  </si>
  <si>
    <t xml:space="preserve">  for the year</t>
  </si>
  <si>
    <t>Plant &amp; Machinery</t>
  </si>
  <si>
    <t>Furniture &amp; Fixture</t>
  </si>
  <si>
    <t>Computers</t>
  </si>
  <si>
    <t>Electrical Installation</t>
  </si>
  <si>
    <t>WDV as per Companies Act</t>
  </si>
  <si>
    <t>WDV as per Income Tax Act</t>
  </si>
  <si>
    <t>Deferred Tax Calculation</t>
  </si>
  <si>
    <t>(C) Plant &amp; Machinery</t>
  </si>
  <si>
    <t>(D) Other Machinery</t>
  </si>
  <si>
    <t>(E) Computers</t>
  </si>
  <si>
    <t>(F) Vehicles</t>
  </si>
  <si>
    <t>(G) Electrical Installation</t>
  </si>
  <si>
    <t>DEPRECIATION CHART FOR F. Y. 2018-19</t>
  </si>
  <si>
    <t>(b) OTHER MACHINERIES</t>
  </si>
  <si>
    <t>(c) FURNITURE &amp; FIXTURE</t>
  </si>
  <si>
    <t>(e) ELECTRICAL INSTALLATION</t>
  </si>
  <si>
    <t>(d) BUILDINGS</t>
  </si>
  <si>
    <t>Deferred Tax Liability/ (Assets) @ 26%</t>
  </si>
  <si>
    <t>Dep charged upto 31.03.2020</t>
  </si>
  <si>
    <t>WDV as on 01.04.2020</t>
  </si>
  <si>
    <t>Dep for the Year 2020-21</t>
  </si>
  <si>
    <t>WDV as on 31st Mar 2021</t>
  </si>
  <si>
    <t>01.04.2020</t>
  </si>
  <si>
    <t>on or before 01.10.2020</t>
  </si>
  <si>
    <t>after 01.10.20</t>
  </si>
  <si>
    <t xml:space="preserve">   on 31.3.2021</t>
  </si>
  <si>
    <t>at 31.03.2021</t>
  </si>
  <si>
    <t>POWER SYSTEM</t>
  </si>
  <si>
    <t>ELECTRICAL EQUIPMENT 18%</t>
  </si>
  <si>
    <t>AMAZE POWER GENERATOR</t>
  </si>
  <si>
    <t>POWER SYSTEM ( PANEL FOR BANKING OVEN)</t>
  </si>
  <si>
    <t xml:space="preserve">POWER ELECTRONIC (UPS SYSTEM 60KVA) </t>
  </si>
  <si>
    <t>GENERATOR</t>
  </si>
  <si>
    <t>TELEVISION</t>
  </si>
  <si>
    <t>FIRE FIGHTING INSTALLATION</t>
  </si>
  <si>
    <t>AC</t>
  </si>
  <si>
    <t>DEEP FRIDGE</t>
  </si>
  <si>
    <t>Factory Building Extension WIP @  28 %</t>
  </si>
  <si>
    <t>Factory Building Extension WIP @  5%</t>
  </si>
  <si>
    <t>Factory Shed Building @  18 %</t>
  </si>
  <si>
    <t>Factory Shed Building @  5 %</t>
  </si>
  <si>
    <t>PLANT &amp; MACHINERIES</t>
  </si>
  <si>
    <t>PLANT &amp; MACHINERY EXE 18%</t>
  </si>
  <si>
    <t xml:space="preserve">MILK MISING HMG </t>
  </si>
  <si>
    <t>AIR COMPRESSOR</t>
  </si>
  <si>
    <t>PRINTER</t>
  </si>
  <si>
    <t>PACKING MACHINE - 297</t>
  </si>
  <si>
    <t>PACKING MACHINE - 303</t>
  </si>
  <si>
    <t>PACKING MACHINE - 318 &amp; 319</t>
  </si>
  <si>
    <t>PACKING MACHINE - 320</t>
  </si>
  <si>
    <t>PACKING MACHINE - 323</t>
  </si>
  <si>
    <t>PACKING MACHINE - 236</t>
  </si>
  <si>
    <t>BAKING OVEN NET-2</t>
  </si>
  <si>
    <t>BAKING OVEN 2</t>
  </si>
  <si>
    <t>BAKING OVEN 2 &amp; CARRIAGE INWARD</t>
  </si>
  <si>
    <t>Roller Die  - 2</t>
  </si>
  <si>
    <t>Factory Shed Building</t>
  </si>
  <si>
    <t>Life Used till 31/03/2020</t>
  </si>
  <si>
    <t>DEPRECIATION CHART FOR F. Y. 2020-21</t>
  </si>
  <si>
    <t>WORK IN PROGRESS</t>
  </si>
  <si>
    <t>Schedules Forming Part of The Balance Sheet For The Year Ended 31ST MARCH, 2021</t>
  </si>
  <si>
    <t>7. PROPERTY PLANT &amp; EQUIPMENT - TANGIBLE FIXED ASSETS</t>
  </si>
  <si>
    <t>GROSS BLOCK ( COST )</t>
  </si>
  <si>
    <t>DEPRECIATION</t>
  </si>
  <si>
    <t xml:space="preserve">             NET BLOCK</t>
  </si>
  <si>
    <t>PARTICULARS</t>
  </si>
  <si>
    <t>( Rs. )</t>
  </si>
  <si>
    <t xml:space="preserve">                  ( Rs. )</t>
  </si>
  <si>
    <t>As on 01.04.2020</t>
  </si>
  <si>
    <t>Additions during the yr.</t>
  </si>
  <si>
    <t>Deletion During The year</t>
  </si>
  <si>
    <t>As on 31.03.2021</t>
  </si>
  <si>
    <t>Up to 31.03.2020</t>
  </si>
  <si>
    <t>For the Year</t>
  </si>
  <si>
    <t>Adjustment for the year</t>
  </si>
  <si>
    <t>As on 31.03.2020</t>
  </si>
  <si>
    <t>Freehold Land</t>
  </si>
  <si>
    <t>Factory Building &amp; Shed</t>
  </si>
  <si>
    <t>Electrical Installations</t>
  </si>
  <si>
    <t>Other Machineries</t>
  </si>
  <si>
    <t>Motor Vehicles</t>
  </si>
  <si>
    <t>GRAND TOTAL</t>
  </si>
  <si>
    <t>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</si>
</sst>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* #,##0_-;\-* #,##0_-;_-* &quot;-&quot;_-;_-@_-"/>
    <numFmt numFmtId="167" formatCode="[$-409]d\-mmm\-yyyy;@"/>
    <numFmt numFmtId="168" formatCode="_(* #,##0.00_);_(* \(#,##0.00\);_(* &quot;-&quot;_);_(@_)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10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u/>
      <sz val="12"/>
      <name val="Times New Roman"/>
      <family val="1"/>
    </font>
    <font>
      <b/>
      <sz val="10"/>
      <name val="Arial"/>
      <family val="2"/>
    </font>
    <font>
      <sz val="10"/>
      <name val="Trebuchet MS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0"/>
      <name val="Bookman Old Style"/>
      <family val="1"/>
    </font>
    <font>
      <b/>
      <sz val="10"/>
      <color indexed="60"/>
      <name val="Bookman Old Style"/>
      <family val="1"/>
    </font>
    <font>
      <b/>
      <i/>
      <sz val="11"/>
      <color indexed="16"/>
      <name val="Arial Unicode MS"/>
      <family val="2"/>
    </font>
    <font>
      <b/>
      <sz val="10"/>
      <name val="Bookman Old Style"/>
      <family val="1"/>
    </font>
    <font>
      <sz val="1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9" fontId="2" fillId="0" borderId="0" applyFont="0" applyFill="0" applyBorder="0" applyAlignment="0" applyProtection="0"/>
  </cellStyleXfs>
  <cellXfs count="234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left"/>
    </xf>
    <xf numFmtId="43" fontId="5" fillId="0" borderId="1" xfId="1" applyFont="1" applyFill="1" applyBorder="1"/>
    <xf numFmtId="10" fontId="5" fillId="0" borderId="1" xfId="1" applyNumberFormat="1" applyFont="1" applyFill="1" applyBorder="1"/>
    <xf numFmtId="43" fontId="4" fillId="0" borderId="1" xfId="1" applyFont="1" applyFill="1" applyBorder="1"/>
    <xf numFmtId="0" fontId="5" fillId="0" borderId="1" xfId="0" applyFont="1" applyFill="1" applyBorder="1"/>
    <xf numFmtId="0" fontId="5" fillId="0" borderId="0" xfId="0" applyFont="1" applyFill="1" applyBorder="1"/>
    <xf numFmtId="167" fontId="5" fillId="0" borderId="0" xfId="0" applyNumberFormat="1" applyFont="1" applyFill="1" applyBorder="1" applyAlignment="1">
      <alignment horizontal="right"/>
    </xf>
    <xf numFmtId="43" fontId="5" fillId="0" borderId="0" xfId="1" applyFont="1" applyFill="1" applyBorder="1"/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/>
    <xf numFmtId="43" fontId="4" fillId="0" borderId="0" xfId="1" applyFont="1" applyFill="1" applyBorder="1" applyAlignment="1">
      <alignment horizontal="right"/>
    </xf>
    <xf numFmtId="43" fontId="4" fillId="0" borderId="0" xfId="1" applyFont="1" applyFill="1" applyBorder="1"/>
    <xf numFmtId="43" fontId="4" fillId="0" borderId="0" xfId="0" applyNumberFormat="1" applyFont="1" applyFill="1" applyBorder="1"/>
    <xf numFmtId="43" fontId="5" fillId="0" borderId="0" xfId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7" fontId="5" fillId="0" borderId="1" xfId="0" applyNumberFormat="1" applyFont="1" applyFill="1" applyBorder="1" applyAlignment="1">
      <alignment horizontal="left"/>
    </xf>
    <xf numFmtId="167" fontId="5" fillId="0" borderId="1" xfId="1" applyNumberFormat="1" applyFont="1" applyFill="1" applyBorder="1" applyAlignment="1">
      <alignment horizontal="left"/>
    </xf>
    <xf numFmtId="0" fontId="5" fillId="0" borderId="1" xfId="1" applyNumberFormat="1" applyFont="1" applyFill="1" applyBorder="1" applyAlignment="1">
      <alignment horizontal="center"/>
    </xf>
    <xf numFmtId="43" fontId="4" fillId="0" borderId="1" xfId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41" fontId="4" fillId="0" borderId="0" xfId="0" applyNumberFormat="1" applyFont="1" applyFill="1" applyBorder="1" applyAlignment="1">
      <alignment horizontal="center"/>
    </xf>
    <xf numFmtId="41" fontId="7" fillId="0" borderId="1" xfId="0" applyNumberFormat="1" applyFont="1" applyFill="1" applyBorder="1" applyAlignment="1">
      <alignment horizontal="center" vertical="center" wrapText="1"/>
    </xf>
    <xf numFmtId="41" fontId="4" fillId="0" borderId="1" xfId="0" applyNumberFormat="1" applyFont="1" applyFill="1" applyBorder="1" applyAlignment="1">
      <alignment horizontal="center" vertical="center" wrapText="1"/>
    </xf>
    <xf numFmtId="41" fontId="4" fillId="0" borderId="1" xfId="0" applyNumberFormat="1" applyFont="1" applyFill="1" applyBorder="1" applyAlignment="1">
      <alignment horizontal="left" vertical="center" wrapText="1"/>
    </xf>
    <xf numFmtId="41" fontId="5" fillId="0" borderId="1" xfId="1" applyNumberFormat="1" applyFont="1" applyFill="1" applyBorder="1"/>
    <xf numFmtId="41" fontId="5" fillId="0" borderId="1" xfId="1" applyNumberFormat="1" applyFont="1" applyFill="1" applyBorder="1" applyAlignment="1">
      <alignment horizontal="left"/>
    </xf>
    <xf numFmtId="41" fontId="5" fillId="0" borderId="1" xfId="0" applyNumberFormat="1" applyFont="1" applyFill="1" applyBorder="1" applyAlignment="1">
      <alignment horizontal="center" vertical="center" wrapText="1"/>
    </xf>
    <xf numFmtId="41" fontId="8" fillId="0" borderId="1" xfId="1" applyNumberFormat="1" applyFont="1" applyFill="1" applyBorder="1"/>
    <xf numFmtId="41" fontId="4" fillId="0" borderId="1" xfId="1" applyNumberFormat="1" applyFont="1" applyFill="1" applyBorder="1"/>
    <xf numFmtId="41" fontId="8" fillId="0" borderId="1" xfId="0" applyNumberFormat="1" applyFont="1" applyFill="1" applyBorder="1"/>
    <xf numFmtId="41" fontId="5" fillId="0" borderId="1" xfId="0" applyNumberFormat="1" applyFont="1" applyFill="1" applyBorder="1"/>
    <xf numFmtId="41" fontId="5" fillId="0" borderId="1" xfId="0" applyNumberFormat="1" applyFont="1" applyFill="1" applyBorder="1" applyAlignment="1">
      <alignment horizontal="left"/>
    </xf>
    <xf numFmtId="41" fontId="5" fillId="0" borderId="0" xfId="0" applyNumberFormat="1" applyFont="1" applyFill="1" applyBorder="1" applyAlignment="1">
      <alignment horizontal="right"/>
    </xf>
    <xf numFmtId="41" fontId="5" fillId="0" borderId="0" xfId="1" applyNumberFormat="1" applyFont="1" applyFill="1" applyBorder="1"/>
    <xf numFmtId="41" fontId="4" fillId="0" borderId="0" xfId="0" applyNumberFormat="1" applyFont="1" applyFill="1" applyBorder="1"/>
    <xf numFmtId="41" fontId="4" fillId="0" borderId="0" xfId="1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left"/>
    </xf>
    <xf numFmtId="41" fontId="5" fillId="0" borderId="0" xfId="0" applyNumberFormat="1" applyFont="1" applyFill="1" applyBorder="1" applyAlignment="1">
      <alignment horizontal="left"/>
    </xf>
    <xf numFmtId="41" fontId="5" fillId="0" borderId="0" xfId="0" applyNumberFormat="1" applyFont="1" applyFill="1" applyBorder="1"/>
    <xf numFmtId="41" fontId="5" fillId="0" borderId="0" xfId="0" applyNumberFormat="1" applyFont="1" applyFill="1" applyBorder="1" applyAlignment="1">
      <alignment horizontal="center"/>
    </xf>
    <xf numFmtId="41" fontId="5" fillId="0" borderId="1" xfId="0" applyNumberFormat="1" applyFont="1" applyFill="1" applyBorder="1" applyAlignment="1">
      <alignment horizontal="center"/>
    </xf>
    <xf numFmtId="41" fontId="4" fillId="0" borderId="0" xfId="0" applyNumberFormat="1" applyFont="1" applyFill="1" applyBorder="1" applyAlignment="1"/>
    <xf numFmtId="0" fontId="9" fillId="0" borderId="0" xfId="1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41" fontId="4" fillId="2" borderId="2" xfId="0" applyNumberFormat="1" applyFont="1" applyFill="1" applyBorder="1" applyAlignment="1"/>
    <xf numFmtId="41" fontId="4" fillId="2" borderId="3" xfId="0" applyNumberFormat="1" applyFont="1" applyFill="1" applyBorder="1" applyAlignment="1"/>
    <xf numFmtId="0" fontId="4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/>
    <xf numFmtId="1" fontId="5" fillId="0" borderId="0" xfId="1" applyNumberFormat="1" applyFont="1" applyFill="1" applyBorder="1"/>
    <xf numFmtId="1" fontId="5" fillId="0" borderId="0" xfId="0" applyNumberFormat="1" applyFont="1" applyFill="1" applyBorder="1"/>
    <xf numFmtId="43" fontId="5" fillId="0" borderId="0" xfId="0" applyNumberFormat="1" applyFont="1" applyFill="1" applyBorder="1"/>
    <xf numFmtId="15" fontId="4" fillId="0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left"/>
    </xf>
    <xf numFmtId="0" fontId="5" fillId="5" borderId="1" xfId="1" applyNumberFormat="1" applyFont="1" applyFill="1" applyBorder="1" applyAlignment="1">
      <alignment horizontal="center"/>
    </xf>
    <xf numFmtId="43" fontId="4" fillId="5" borderId="1" xfId="1" applyFont="1" applyFill="1" applyBorder="1" applyAlignment="1">
      <alignment horizontal="left"/>
    </xf>
    <xf numFmtId="41" fontId="5" fillId="5" borderId="1" xfId="0" applyNumberFormat="1" applyFont="1" applyFill="1" applyBorder="1" applyAlignment="1">
      <alignment horizontal="left"/>
    </xf>
    <xf numFmtId="41" fontId="4" fillId="5" borderId="1" xfId="1" applyNumberFormat="1" applyFont="1" applyFill="1" applyBorder="1"/>
    <xf numFmtId="14" fontId="5" fillId="0" borderId="0" xfId="0" applyNumberFormat="1" applyFont="1" applyFill="1" applyBorder="1" applyAlignment="1">
      <alignment horizontal="left"/>
    </xf>
    <xf numFmtId="43" fontId="5" fillId="5" borderId="1" xfId="1" applyFont="1" applyFill="1" applyBorder="1"/>
    <xf numFmtId="43" fontId="4" fillId="5" borderId="1" xfId="1" applyFont="1" applyFill="1" applyBorder="1"/>
    <xf numFmtId="10" fontId="5" fillId="5" borderId="1" xfId="1" applyNumberFormat="1" applyFont="1" applyFill="1" applyBorder="1"/>
    <xf numFmtId="1" fontId="5" fillId="0" borderId="0" xfId="2" applyNumberFormat="1" applyFont="1" applyFill="1" applyBorder="1"/>
    <xf numFmtId="43" fontId="5" fillId="0" borderId="0" xfId="2" applyFont="1" applyFill="1" applyBorder="1"/>
    <xf numFmtId="41" fontId="5" fillId="0" borderId="0" xfId="2" applyNumberFormat="1" applyFont="1" applyFill="1" applyBorder="1"/>
    <xf numFmtId="41" fontId="5" fillId="0" borderId="0" xfId="2" applyNumberFormat="1" applyFont="1" applyFill="1" applyBorder="1" applyAlignment="1">
      <alignment horizontal="left"/>
    </xf>
    <xf numFmtId="43" fontId="5" fillId="0" borderId="0" xfId="2" applyFont="1" applyFill="1" applyBorder="1" applyAlignment="1">
      <alignment horizontal="left"/>
    </xf>
    <xf numFmtId="41" fontId="4" fillId="0" borderId="0" xfId="2" applyNumberFormat="1" applyFont="1" applyFill="1" applyBorder="1" applyAlignment="1">
      <alignment horizontal="right"/>
    </xf>
    <xf numFmtId="41" fontId="4" fillId="0" borderId="1" xfId="2" applyNumberFormat="1" applyFont="1" applyFill="1" applyBorder="1"/>
    <xf numFmtId="1" fontId="5" fillId="0" borderId="1" xfId="0" applyNumberFormat="1" applyFont="1" applyFill="1" applyBorder="1"/>
    <xf numFmtId="43" fontId="4" fillId="0" borderId="1" xfId="2" applyFont="1" applyFill="1" applyBorder="1"/>
    <xf numFmtId="43" fontId="4" fillId="0" borderId="1" xfId="2" applyFont="1" applyFill="1" applyBorder="1" applyAlignment="1">
      <alignment horizontal="left"/>
    </xf>
    <xf numFmtId="1" fontId="5" fillId="0" borderId="1" xfId="2" applyNumberFormat="1" applyFont="1" applyFill="1" applyBorder="1"/>
    <xf numFmtId="10" fontId="5" fillId="0" borderId="1" xfId="2" applyNumberFormat="1" applyFont="1" applyFill="1" applyBorder="1"/>
    <xf numFmtId="41" fontId="5" fillId="0" borderId="1" xfId="2" applyNumberFormat="1" applyFont="1" applyFill="1" applyBorder="1"/>
    <xf numFmtId="43" fontId="5" fillId="0" borderId="1" xfId="2" applyFont="1" applyFill="1" applyBorder="1"/>
    <xf numFmtId="43" fontId="5" fillId="0" borderId="1" xfId="2" applyFont="1" applyFill="1" applyBorder="1" applyAlignment="1">
      <alignment horizontal="left"/>
    </xf>
    <xf numFmtId="41" fontId="5" fillId="0" borderId="1" xfId="2" applyNumberFormat="1" applyFont="1" applyFill="1" applyBorder="1" applyAlignment="1">
      <alignment horizontal="left"/>
    </xf>
    <xf numFmtId="0" fontId="0" fillId="0" borderId="0" xfId="0" applyFill="1"/>
    <xf numFmtId="14" fontId="0" fillId="0" borderId="0" xfId="0" applyNumberFormat="1"/>
    <xf numFmtId="0" fontId="2" fillId="0" borderId="0" xfId="0" applyFont="1"/>
    <xf numFmtId="167" fontId="10" fillId="0" borderId="1" xfId="0" applyNumberFormat="1" applyFont="1" applyFill="1" applyBorder="1" applyAlignment="1">
      <alignment horizontal="left"/>
    </xf>
    <xf numFmtId="0" fontId="10" fillId="0" borderId="0" xfId="0" applyFont="1" applyFill="1" applyBorder="1"/>
    <xf numFmtId="167" fontId="12" fillId="0" borderId="1" xfId="0" applyNumberFormat="1" applyFont="1" applyFill="1" applyBorder="1" applyAlignment="1">
      <alignment horizontal="left"/>
    </xf>
    <xf numFmtId="0" fontId="13" fillId="0" borderId="0" xfId="11" applyFont="1"/>
    <xf numFmtId="0" fontId="2" fillId="0" borderId="0" xfId="11" applyFont="1"/>
    <xf numFmtId="0" fontId="2" fillId="0" borderId="0" xfId="13" applyFont="1" applyBorder="1"/>
    <xf numFmtId="0" fontId="14" fillId="0" borderId="0" xfId="11" applyFont="1" applyBorder="1"/>
    <xf numFmtId="0" fontId="15" fillId="0" borderId="6" xfId="13" applyFont="1" applyBorder="1"/>
    <xf numFmtId="0" fontId="2" fillId="0" borderId="7" xfId="13" applyFont="1" applyBorder="1"/>
    <xf numFmtId="0" fontId="2" fillId="0" borderId="8" xfId="13" applyFont="1" applyBorder="1"/>
    <xf numFmtId="0" fontId="2" fillId="0" borderId="9" xfId="13" applyFont="1" applyBorder="1"/>
    <xf numFmtId="0" fontId="2" fillId="0" borderId="2" xfId="13" applyFont="1" applyBorder="1"/>
    <xf numFmtId="0" fontId="2" fillId="0" borderId="10" xfId="13" applyFont="1" applyBorder="1"/>
    <xf numFmtId="0" fontId="16" fillId="0" borderId="11" xfId="13" applyFont="1" applyBorder="1"/>
    <xf numFmtId="0" fontId="13" fillId="0" borderId="12" xfId="13" applyFont="1" applyBorder="1" applyAlignment="1">
      <alignment horizontal="center"/>
    </xf>
    <xf numFmtId="0" fontId="13" fillId="0" borderId="13" xfId="13" applyFont="1" applyBorder="1" applyAlignment="1">
      <alignment horizontal="center"/>
    </xf>
    <xf numFmtId="0" fontId="13" fillId="0" borderId="14" xfId="13" applyFont="1" applyBorder="1" applyAlignment="1">
      <alignment horizontal="center"/>
    </xf>
    <xf numFmtId="0" fontId="2" fillId="0" borderId="15" xfId="13" applyFont="1" applyBorder="1"/>
    <xf numFmtId="0" fontId="13" fillId="0" borderId="16" xfId="13" applyFont="1" applyBorder="1" applyAlignment="1">
      <alignment horizontal="center"/>
    </xf>
    <xf numFmtId="0" fontId="13" fillId="0" borderId="16" xfId="13" applyFont="1" applyBorder="1"/>
    <xf numFmtId="0" fontId="13" fillId="0" borderId="4" xfId="13" applyFont="1" applyBorder="1" applyAlignment="1">
      <alignment horizontal="center"/>
    </xf>
    <xf numFmtId="0" fontId="13" fillId="0" borderId="17" xfId="13" applyFont="1" applyBorder="1"/>
    <xf numFmtId="0" fontId="2" fillId="0" borderId="12" xfId="13" applyFont="1" applyBorder="1"/>
    <xf numFmtId="0" fontId="2" fillId="0" borderId="13" xfId="13" applyFont="1" applyBorder="1"/>
    <xf numFmtId="0" fontId="2" fillId="0" borderId="18" xfId="13" applyFont="1" applyBorder="1"/>
    <xf numFmtId="0" fontId="17" fillId="0" borderId="15" xfId="13" applyFont="1" applyBorder="1"/>
    <xf numFmtId="43" fontId="14" fillId="0" borderId="19" xfId="5" applyNumberFormat="1" applyFont="1" applyBorder="1"/>
    <xf numFmtId="9" fontId="2" fillId="0" borderId="18" xfId="14" applyFont="1" applyBorder="1" applyAlignment="1">
      <alignment horizontal="center"/>
    </xf>
    <xf numFmtId="0" fontId="13" fillId="0" borderId="15" xfId="13" applyFont="1" applyBorder="1"/>
    <xf numFmtId="43" fontId="14" fillId="0" borderId="12" xfId="5" applyNumberFormat="1" applyFont="1" applyBorder="1"/>
    <xf numFmtId="43" fontId="2" fillId="0" borderId="19" xfId="5" applyNumberFormat="1" applyFont="1" applyBorder="1"/>
    <xf numFmtId="43" fontId="2" fillId="0" borderId="12" xfId="5" applyNumberFormat="1" applyFont="1" applyBorder="1" applyAlignment="1"/>
    <xf numFmtId="43" fontId="2" fillId="0" borderId="12" xfId="5" applyNumberFormat="1" applyFont="1" applyBorder="1"/>
    <xf numFmtId="43" fontId="2" fillId="0" borderId="18" xfId="5" applyNumberFormat="1" applyFont="1" applyBorder="1" applyAlignment="1">
      <alignment horizontal="center"/>
    </xf>
    <xf numFmtId="0" fontId="2" fillId="0" borderId="20" xfId="13" applyFont="1" applyBorder="1"/>
    <xf numFmtId="43" fontId="13" fillId="0" borderId="21" xfId="5" applyNumberFormat="1" applyFont="1" applyBorder="1"/>
    <xf numFmtId="43" fontId="2" fillId="0" borderId="22" xfId="5" applyNumberFormat="1" applyFont="1" applyBorder="1"/>
    <xf numFmtId="0" fontId="13" fillId="0" borderId="16" xfId="13" applyFont="1" applyBorder="1" applyAlignment="1">
      <alignment horizontal="center" wrapText="1"/>
    </xf>
    <xf numFmtId="43" fontId="0" fillId="0" borderId="0" xfId="0" applyNumberFormat="1"/>
    <xf numFmtId="43" fontId="0" fillId="0" borderId="2" xfId="0" applyNumberFormat="1" applyBorder="1"/>
    <xf numFmtId="165" fontId="0" fillId="0" borderId="0" xfId="0" applyNumberFormat="1"/>
    <xf numFmtId="43" fontId="2" fillId="0" borderId="0" xfId="9" applyNumberFormat="1" applyFont="1"/>
    <xf numFmtId="165" fontId="13" fillId="0" borderId="0" xfId="0" applyNumberFormat="1" applyFont="1"/>
    <xf numFmtId="43" fontId="18" fillId="0" borderId="0" xfId="9" applyNumberFormat="1" applyFont="1"/>
    <xf numFmtId="43" fontId="13" fillId="0" borderId="0" xfId="5" applyNumberFormat="1" applyFont="1" applyBorder="1"/>
    <xf numFmtId="43" fontId="2" fillId="0" borderId="0" xfId="5" applyNumberFormat="1" applyFont="1" applyBorder="1"/>
    <xf numFmtId="43" fontId="14" fillId="0" borderId="19" xfId="5" applyNumberFormat="1" applyFont="1" applyFill="1" applyBorder="1"/>
    <xf numFmtId="9" fontId="2" fillId="0" borderId="18" xfId="14" applyFont="1" applyFill="1" applyBorder="1" applyAlignment="1">
      <alignment horizontal="center"/>
    </xf>
    <xf numFmtId="43" fontId="14" fillId="0" borderId="12" xfId="5" applyNumberFormat="1" applyFont="1" applyFill="1" applyBorder="1"/>
    <xf numFmtId="0" fontId="4" fillId="0" borderId="2" xfId="0" applyFont="1" applyFill="1" applyBorder="1" applyAlignment="1">
      <alignment horizontal="center"/>
    </xf>
    <xf numFmtId="41" fontId="5" fillId="6" borderId="1" xfId="0" applyNumberFormat="1" applyFont="1" applyFill="1" applyBorder="1"/>
    <xf numFmtId="41" fontId="8" fillId="6" borderId="1" xfId="0" applyNumberFormat="1" applyFont="1" applyFill="1" applyBorder="1"/>
    <xf numFmtId="41" fontId="5" fillId="6" borderId="1" xfId="1" applyNumberFormat="1" applyFont="1" applyFill="1" applyBorder="1"/>
    <xf numFmtId="43" fontId="5" fillId="6" borderId="1" xfId="1" applyFont="1" applyFill="1" applyBorder="1"/>
    <xf numFmtId="41" fontId="5" fillId="6" borderId="1" xfId="0" applyNumberFormat="1" applyFont="1" applyFill="1" applyBorder="1" applyAlignment="1">
      <alignment horizontal="center" vertical="center" wrapText="1"/>
    </xf>
    <xf numFmtId="10" fontId="5" fillId="6" borderId="1" xfId="1" applyNumberFormat="1" applyFont="1" applyFill="1" applyBorder="1"/>
    <xf numFmtId="41" fontId="5" fillId="6" borderId="1" xfId="0" applyNumberFormat="1" applyFont="1" applyFill="1" applyBorder="1" applyAlignment="1">
      <alignment horizontal="center"/>
    </xf>
    <xf numFmtId="41" fontId="5" fillId="6" borderId="0" xfId="0" applyNumberFormat="1" applyFont="1" applyFill="1" applyBorder="1"/>
    <xf numFmtId="43" fontId="5" fillId="6" borderId="0" xfId="0" applyNumberFormat="1" applyFont="1" applyFill="1" applyBorder="1"/>
    <xf numFmtId="0" fontId="5" fillId="6" borderId="0" xfId="0" applyFont="1" applyFill="1" applyBorder="1"/>
    <xf numFmtId="167" fontId="4" fillId="0" borderId="1" xfId="0" applyNumberFormat="1" applyFont="1" applyFill="1" applyBorder="1" applyAlignment="1">
      <alignment horizontal="left"/>
    </xf>
    <xf numFmtId="41" fontId="7" fillId="0" borderId="1" xfId="0" applyNumberFormat="1" applyFont="1" applyFill="1" applyBorder="1"/>
    <xf numFmtId="41" fontId="4" fillId="0" borderId="1" xfId="0" applyNumberFormat="1" applyFont="1" applyFill="1" applyBorder="1"/>
    <xf numFmtId="0" fontId="4" fillId="0" borderId="0" xfId="0" applyFont="1" applyFill="1" applyBorder="1"/>
    <xf numFmtId="41" fontId="5" fillId="0" borderId="1" xfId="0" applyNumberFormat="1" applyFont="1" applyBorder="1" applyAlignment="1">
      <alignment horizontal="center" vertical="center" wrapText="1"/>
    </xf>
    <xf numFmtId="41" fontId="5" fillId="0" borderId="1" xfId="0" applyNumberFormat="1" applyFont="1" applyBorder="1"/>
    <xf numFmtId="167" fontId="4" fillId="0" borderId="0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 vertical="center" wrapText="1"/>
    </xf>
    <xf numFmtId="41" fontId="4" fillId="0" borderId="1" xfId="0" applyNumberFormat="1" applyFont="1" applyBorder="1"/>
    <xf numFmtId="164" fontId="8" fillId="0" borderId="1" xfId="8" applyNumberFormat="1" applyFont="1" applyFill="1" applyBorder="1"/>
    <xf numFmtId="41" fontId="4" fillId="6" borderId="1" xfId="0" applyNumberFormat="1" applyFont="1" applyFill="1" applyBorder="1"/>
    <xf numFmtId="1" fontId="4" fillId="0" borderId="1" xfId="2" applyNumberFormat="1" applyFont="1" applyFill="1" applyBorder="1"/>
    <xf numFmtId="10" fontId="4" fillId="0" borderId="1" xfId="2" applyNumberFormat="1" applyFont="1" applyFill="1" applyBorder="1"/>
    <xf numFmtId="41" fontId="4" fillId="0" borderId="1" xfId="0" applyNumberFormat="1" applyFont="1" applyBorder="1" applyAlignment="1">
      <alignment horizontal="center" vertical="center" wrapText="1"/>
    </xf>
    <xf numFmtId="41" fontId="8" fillId="0" borderId="1" xfId="0" applyNumberFormat="1" applyFont="1" applyBorder="1"/>
    <xf numFmtId="167" fontId="5" fillId="0" borderId="1" xfId="0" applyNumberFormat="1" applyFont="1" applyBorder="1" applyAlignment="1">
      <alignment horizontal="left"/>
    </xf>
    <xf numFmtId="164" fontId="5" fillId="0" borderId="1" xfId="7" applyNumberFormat="1" applyFont="1" applyBorder="1"/>
    <xf numFmtId="0" fontId="5" fillId="0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41" fontId="5" fillId="2" borderId="23" xfId="0" applyNumberFormat="1" applyFont="1" applyFill="1" applyBorder="1" applyAlignment="1"/>
    <xf numFmtId="41" fontId="5" fillId="2" borderId="24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41" fontId="5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41" fontId="4" fillId="0" borderId="1" xfId="2" applyNumberFormat="1" applyFont="1" applyFill="1" applyBorder="1" applyAlignment="1">
      <alignment horizontal="left"/>
    </xf>
    <xf numFmtId="167" fontId="5" fillId="0" borderId="0" xfId="0" applyNumberFormat="1" applyFont="1" applyFill="1" applyBorder="1" applyAlignment="1">
      <alignment horizontal="left"/>
    </xf>
    <xf numFmtId="168" fontId="5" fillId="0" borderId="0" xfId="0" applyNumberFormat="1" applyFont="1" applyFill="1" applyBorder="1"/>
    <xf numFmtId="43" fontId="4" fillId="7" borderId="1" xfId="2" applyFont="1" applyFill="1" applyBorder="1" applyAlignment="1">
      <alignment horizontal="left"/>
    </xf>
    <xf numFmtId="41" fontId="7" fillId="7" borderId="1" xfId="0" applyNumberFormat="1" applyFont="1" applyFill="1" applyBorder="1"/>
    <xf numFmtId="43" fontId="4" fillId="7" borderId="1" xfId="2" applyFont="1" applyFill="1" applyBorder="1"/>
    <xf numFmtId="41" fontId="4" fillId="7" borderId="1" xfId="2" applyNumberFormat="1" applyFont="1" applyFill="1" applyBorder="1"/>
    <xf numFmtId="41" fontId="4" fillId="7" borderId="1" xfId="0" applyNumberFormat="1" applyFont="1" applyFill="1" applyBorder="1" applyAlignment="1">
      <alignment horizontal="center" vertical="center" wrapText="1"/>
    </xf>
    <xf numFmtId="10" fontId="4" fillId="7" borderId="1" xfId="2" applyNumberFormat="1" applyFont="1" applyFill="1" applyBorder="1"/>
    <xf numFmtId="1" fontId="4" fillId="7" borderId="1" xfId="2" applyNumberFormat="1" applyFont="1" applyFill="1" applyBorder="1"/>
    <xf numFmtId="41" fontId="5" fillId="7" borderId="1" xfId="0" applyNumberFormat="1" applyFont="1" applyFill="1" applyBorder="1"/>
    <xf numFmtId="41" fontId="4" fillId="7" borderId="1" xfId="0" applyNumberFormat="1" applyFont="1" applyFill="1" applyBorder="1"/>
    <xf numFmtId="0" fontId="4" fillId="7" borderId="0" xfId="0" applyFont="1" applyFill="1" applyBorder="1"/>
    <xf numFmtId="167" fontId="5" fillId="7" borderId="1" xfId="0" applyNumberFormat="1" applyFont="1" applyFill="1" applyBorder="1" applyAlignment="1">
      <alignment horizontal="left"/>
    </xf>
    <xf numFmtId="43" fontId="5" fillId="7" borderId="1" xfId="2" applyFont="1" applyFill="1" applyBorder="1"/>
    <xf numFmtId="41" fontId="5" fillId="7" borderId="1" xfId="2" applyNumberFormat="1" applyFont="1" applyFill="1" applyBorder="1"/>
    <xf numFmtId="41" fontId="5" fillId="7" borderId="1" xfId="0" applyNumberFormat="1" applyFont="1" applyFill="1" applyBorder="1" applyAlignment="1">
      <alignment horizontal="center" vertical="center" wrapText="1"/>
    </xf>
    <xf numFmtId="10" fontId="5" fillId="7" borderId="1" xfId="2" applyNumberFormat="1" applyFont="1" applyFill="1" applyBorder="1"/>
    <xf numFmtId="1" fontId="5" fillId="7" borderId="1" xfId="2" applyNumberFormat="1" applyFont="1" applyFill="1" applyBorder="1"/>
    <xf numFmtId="0" fontId="20" fillId="0" borderId="0" xfId="0" applyFont="1" applyAlignment="1">
      <alignment horizontal="left"/>
    </xf>
    <xf numFmtId="43" fontId="21" fillId="0" borderId="0" xfId="0" applyNumberFormat="1" applyFont="1"/>
    <xf numFmtId="43" fontId="22" fillId="0" borderId="0" xfId="0" applyNumberFormat="1" applyFont="1"/>
    <xf numFmtId="43" fontId="0" fillId="0" borderId="13" xfId="0" applyNumberFormat="1" applyBorder="1"/>
    <xf numFmtId="43" fontId="23" fillId="0" borderId="0" xfId="0" applyNumberFormat="1" applyFont="1" applyAlignment="1">
      <alignment horizontal="center"/>
    </xf>
    <xf numFmtId="43" fontId="0" fillId="0" borderId="25" xfId="0" applyNumberFormat="1" applyBorder="1"/>
    <xf numFmtId="43" fontId="23" fillId="0" borderId="0" xfId="0" applyNumberFormat="1" applyFont="1"/>
    <xf numFmtId="43" fontId="23" fillId="0" borderId="19" xfId="0" applyNumberFormat="1" applyFont="1" applyBorder="1" applyAlignment="1">
      <alignment horizontal="center"/>
    </xf>
    <xf numFmtId="43" fontId="23" fillId="0" borderId="2" xfId="0" applyNumberFormat="1" applyFont="1" applyBorder="1" applyAlignment="1">
      <alignment horizontal="center"/>
    </xf>
    <xf numFmtId="43" fontId="0" fillId="0" borderId="3" xfId="0" applyNumberFormat="1" applyBorder="1"/>
    <xf numFmtId="43" fontId="23" fillId="0" borderId="2" xfId="0" applyNumberFormat="1" applyFont="1" applyBorder="1"/>
    <xf numFmtId="43" fontId="0" fillId="0" borderId="4" xfId="0" applyNumberFormat="1" applyBorder="1" applyAlignment="1">
      <alignment horizontal="center" wrapText="1"/>
    </xf>
    <xf numFmtId="43" fontId="23" fillId="0" borderId="4" xfId="0" applyNumberFormat="1" applyFont="1" applyBorder="1" applyAlignment="1">
      <alignment horizontal="center" wrapText="1"/>
    </xf>
    <xf numFmtId="43" fontId="24" fillId="0" borderId="23" xfId="0" applyNumberFormat="1" applyFont="1" applyBorder="1" applyAlignment="1">
      <alignment horizontal="center" wrapText="1"/>
    </xf>
    <xf numFmtId="43" fontId="24" fillId="0" borderId="24" xfId="0" applyNumberFormat="1" applyFont="1" applyBorder="1" applyAlignment="1">
      <alignment horizontal="center" wrapText="1"/>
    </xf>
    <xf numFmtId="43" fontId="24" fillId="0" borderId="19" xfId="0" applyNumberFormat="1" applyFont="1" applyBorder="1"/>
    <xf numFmtId="43" fontId="13" fillId="0" borderId="19" xfId="0" applyNumberFormat="1" applyFont="1" applyBorder="1"/>
    <xf numFmtId="43" fontId="24" fillId="0" borderId="0" xfId="0" applyNumberFormat="1" applyFont="1"/>
    <xf numFmtId="43" fontId="0" fillId="0" borderId="26" xfId="0" applyNumberFormat="1" applyBorder="1"/>
    <xf numFmtId="43" fontId="23" fillId="0" borderId="12" xfId="0" applyNumberFormat="1" applyFont="1" applyBorder="1"/>
    <xf numFmtId="43" fontId="24" fillId="0" borderId="12" xfId="0" applyNumberFormat="1" applyFont="1" applyBorder="1"/>
    <xf numFmtId="10" fontId="24" fillId="0" borderId="19" xfId="0" applyNumberFormat="1" applyFont="1" applyBorder="1" applyAlignment="1">
      <alignment horizontal="center"/>
    </xf>
    <xf numFmtId="10" fontId="0" fillId="0" borderId="19" xfId="0" applyNumberFormat="1" applyBorder="1"/>
    <xf numFmtId="43" fontId="0" fillId="0" borderId="19" xfId="0" applyNumberFormat="1" applyBorder="1"/>
    <xf numFmtId="43" fontId="24" fillId="0" borderId="16" xfId="0" applyNumberFormat="1" applyFont="1" applyBorder="1"/>
    <xf numFmtId="43" fontId="24" fillId="0" borderId="2" xfId="0" applyNumberFormat="1" applyFont="1" applyBorder="1"/>
    <xf numFmtId="43" fontId="23" fillId="0" borderId="16" xfId="0" applyNumberFormat="1" applyFont="1" applyBorder="1"/>
    <xf numFmtId="43" fontId="23" fillId="0" borderId="1" xfId="0" applyNumberFormat="1" applyFont="1" applyBorder="1"/>
    <xf numFmtId="43" fontId="13" fillId="0" borderId="1" xfId="0" applyNumberFormat="1" applyFont="1" applyBorder="1"/>
    <xf numFmtId="43" fontId="24" fillId="0" borderId="3" xfId="0" applyNumberFormat="1" applyFont="1" applyBorder="1"/>
    <xf numFmtId="43" fontId="24" fillId="0" borderId="24" xfId="0" applyNumberFormat="1" applyFont="1" applyBorder="1"/>
    <xf numFmtId="43" fontId="24" fillId="0" borderId="27" xfId="0" applyNumberFormat="1" applyFont="1" applyBorder="1"/>
    <xf numFmtId="43" fontId="24" fillId="0" borderId="28" xfId="0" applyNumberFormat="1" applyFont="1" applyBorder="1"/>
    <xf numFmtId="43" fontId="24" fillId="0" borderId="29" xfId="0" applyNumberFormat="1" applyFont="1" applyBorder="1"/>
    <xf numFmtId="43" fontId="24" fillId="0" borderId="13" xfId="0" applyNumberFormat="1" applyFont="1" applyBorder="1"/>
    <xf numFmtId="43" fontId="24" fillId="0" borderId="4" xfId="0" applyNumberFormat="1" applyFont="1" applyBorder="1"/>
    <xf numFmtId="0" fontId="4" fillId="0" borderId="1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4" fillId="7" borderId="12" xfId="0" applyFont="1" applyFill="1" applyBorder="1" applyAlignment="1">
      <alignment horizontal="center" vertical="center" wrapText="1"/>
    </xf>
  </cellXfs>
  <cellStyles count="15">
    <cellStyle name="Comma" xfId="1" builtinId="3"/>
    <cellStyle name="Comma 2" xfId="2"/>
    <cellStyle name="Comma 2 2" xfId="3"/>
    <cellStyle name="Comma 3" xfId="4"/>
    <cellStyle name="Comma 8" xfId="5"/>
    <cellStyle name="Normal" xfId="0" builtinId="0"/>
    <cellStyle name="Normal 10 2" xfId="6"/>
    <cellStyle name="Normal 10 2 2" xfId="7"/>
    <cellStyle name="Normal 12" xfId="8"/>
    <cellStyle name="Normal 3" xfId="9"/>
    <cellStyle name="Normal 3 2" xfId="10"/>
    <cellStyle name="Normal 6" xfId="11"/>
    <cellStyle name="Normal 6 2" xfId="12"/>
    <cellStyle name="Normal_FA-IT" xfId="13"/>
    <cellStyle name="Percent 7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ffice%20works\COMPANY\0002021\SAKAMBARI\Sakambari%20Processors%2031.03.2020%20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Cash Flow"/>
      <sheetName val="Notes"/>
      <sheetName val="Depreciation Co's Act"/>
      <sheetName val="Comp"/>
      <sheetName val="Detail Sheet"/>
    </sheetNames>
    <sheetDataSet>
      <sheetData sheetId="0"/>
      <sheetData sheetId="1"/>
      <sheetData sheetId="2"/>
      <sheetData sheetId="3"/>
      <sheetData sheetId="4">
        <row r="26">
          <cell r="I26">
            <v>78618388.251845837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view="pageBreakPreview" topLeftCell="A7" zoomScale="80" zoomScaleNormal="80" zoomScaleSheetLayoutView="80" workbookViewId="0">
      <selection activeCell="D31" sqref="D31"/>
    </sheetView>
  </sheetViews>
  <sheetFormatPr defaultColWidth="9.140625" defaultRowHeight="15.75" x14ac:dyDescent="0.25"/>
  <cols>
    <col min="1" max="1" width="13.7109375" style="7" bestFit="1" customWidth="1"/>
    <col min="2" max="2" width="35.7109375" style="16" customWidth="1"/>
    <col min="3" max="3" width="15.140625" style="39" bestFit="1" customWidth="1"/>
    <col min="4" max="4" width="11.42578125" style="7" bestFit="1" customWidth="1"/>
    <col min="5" max="5" width="15.7109375" style="40" bestFit="1" customWidth="1"/>
    <col min="6" max="6" width="14.85546875" style="40" customWidth="1"/>
    <col min="7" max="7" width="10.140625" style="7" customWidth="1"/>
    <col min="8" max="8" width="13.140625" style="56" customWidth="1"/>
    <col min="9" max="9" width="14.140625" style="40" customWidth="1"/>
    <col min="10" max="10" width="16.140625" style="40" customWidth="1"/>
    <col min="11" max="11" width="9.85546875" style="40" bestFit="1" customWidth="1"/>
    <col min="12" max="12" width="11" style="40" bestFit="1" customWidth="1"/>
    <col min="13" max="16384" width="9.140625" style="7"/>
  </cols>
  <sheetData>
    <row r="1" spans="1:12" x14ac:dyDescent="0.25">
      <c r="A1" s="10"/>
      <c r="B1" s="10"/>
      <c r="C1" s="10"/>
      <c r="D1" s="10"/>
      <c r="E1" s="10"/>
      <c r="F1" s="10"/>
      <c r="G1" s="10"/>
      <c r="H1" s="52"/>
      <c r="I1" s="10"/>
      <c r="J1" s="43"/>
    </row>
    <row r="2" spans="1:12" x14ac:dyDescent="0.25">
      <c r="A2" s="10"/>
      <c r="B2" s="10"/>
      <c r="C2" s="10"/>
      <c r="D2" s="10"/>
      <c r="E2" s="10"/>
      <c r="F2" s="10"/>
      <c r="G2" s="10"/>
      <c r="H2" s="52"/>
      <c r="I2" s="10"/>
      <c r="J2" s="43"/>
    </row>
    <row r="3" spans="1:12" x14ac:dyDescent="0.25">
      <c r="A3" s="228" t="s">
        <v>27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2" x14ac:dyDescent="0.25">
      <c r="A4" s="229" t="s">
        <v>16</v>
      </c>
      <c r="B4" s="229"/>
      <c r="C4" s="229"/>
      <c r="D4" s="229"/>
      <c r="E4" s="229"/>
      <c r="F4" s="229"/>
      <c r="G4" s="229"/>
      <c r="H4" s="229"/>
      <c r="I4" s="229"/>
      <c r="J4" s="229"/>
    </row>
    <row r="5" spans="1:12" s="16" customFormat="1" x14ac:dyDescent="0.25">
      <c r="A5" s="230" t="s">
        <v>30</v>
      </c>
      <c r="B5" s="230"/>
      <c r="C5" s="230"/>
      <c r="D5" s="230"/>
      <c r="E5" s="230"/>
      <c r="F5" s="230"/>
      <c r="G5" s="230"/>
      <c r="H5" s="230"/>
      <c r="I5" s="230"/>
      <c r="J5" s="230"/>
      <c r="K5" s="39"/>
      <c r="L5" s="39"/>
    </row>
    <row r="6" spans="1:12" s="40" customFormat="1" x14ac:dyDescent="0.25">
      <c r="A6" s="10"/>
      <c r="B6" s="10"/>
      <c r="C6" s="22"/>
      <c r="D6" s="10"/>
      <c r="E6" s="22"/>
      <c r="F6" s="41"/>
      <c r="G6" s="10"/>
      <c r="H6" s="52"/>
      <c r="I6" s="22"/>
      <c r="J6" s="22"/>
    </row>
    <row r="7" spans="1:12" s="40" customFormat="1" ht="47.25" x14ac:dyDescent="0.25">
      <c r="A7" s="1" t="s">
        <v>25</v>
      </c>
      <c r="B7" s="1" t="s">
        <v>0</v>
      </c>
      <c r="C7" s="23" t="s">
        <v>18</v>
      </c>
      <c r="D7" s="1" t="s">
        <v>17</v>
      </c>
      <c r="E7" s="24" t="s">
        <v>4</v>
      </c>
      <c r="F7" s="24" t="s">
        <v>21</v>
      </c>
      <c r="G7" s="1" t="s">
        <v>1</v>
      </c>
      <c r="H7" s="53" t="s">
        <v>32</v>
      </c>
      <c r="I7" s="24" t="s">
        <v>24</v>
      </c>
      <c r="J7" s="24" t="s">
        <v>3</v>
      </c>
    </row>
    <row r="8" spans="1:12" s="40" customFormat="1" x14ac:dyDescent="0.25">
      <c r="A8" s="227" t="s">
        <v>8</v>
      </c>
      <c r="B8" s="227"/>
      <c r="C8" s="25"/>
      <c r="D8" s="1"/>
      <c r="E8" s="24"/>
      <c r="F8" s="28"/>
      <c r="G8" s="1"/>
      <c r="H8" s="53"/>
      <c r="I8" s="24"/>
      <c r="J8" s="24"/>
    </row>
    <row r="9" spans="1:12" s="40" customFormat="1" x14ac:dyDescent="0.25">
      <c r="A9" s="1" t="s">
        <v>7</v>
      </c>
      <c r="B9" s="2" t="s">
        <v>6</v>
      </c>
      <c r="C9" s="26">
        <v>500</v>
      </c>
      <c r="D9" s="21">
        <v>0</v>
      </c>
      <c r="E9" s="26">
        <v>0</v>
      </c>
      <c r="F9" s="28">
        <v>0</v>
      </c>
      <c r="G9" s="4">
        <v>0</v>
      </c>
      <c r="H9" s="54">
        <v>0</v>
      </c>
      <c r="I9" s="24">
        <v>0</v>
      </c>
      <c r="J9" s="32">
        <f>C9-I9</f>
        <v>500</v>
      </c>
    </row>
    <row r="10" spans="1:12" s="40" customFormat="1" x14ac:dyDescent="0.25">
      <c r="A10" s="1"/>
      <c r="B10" s="2"/>
      <c r="C10" s="27"/>
      <c r="D10" s="1"/>
      <c r="E10" s="24"/>
      <c r="F10" s="28"/>
      <c r="G10" s="1"/>
      <c r="H10" s="53"/>
      <c r="I10" s="24"/>
      <c r="J10" s="32"/>
    </row>
    <row r="11" spans="1:12" s="40" customFormat="1" x14ac:dyDescent="0.25">
      <c r="A11" s="227" t="s">
        <v>9</v>
      </c>
      <c r="B11" s="227"/>
      <c r="C11" s="25"/>
      <c r="D11" s="1"/>
      <c r="E11" s="24"/>
      <c r="F11" s="28"/>
      <c r="G11" s="1"/>
      <c r="H11" s="53"/>
      <c r="I11" s="24"/>
      <c r="J11" s="24"/>
    </row>
    <row r="12" spans="1:12" s="40" customFormat="1" x14ac:dyDescent="0.25">
      <c r="A12" s="17"/>
      <c r="B12" s="2" t="s">
        <v>5</v>
      </c>
      <c r="C12" s="29">
        <v>0</v>
      </c>
      <c r="D12" s="3">
        <v>60</v>
      </c>
      <c r="E12" s="26">
        <f>ROUND(C12*5%,0.1)</f>
        <v>0</v>
      </c>
      <c r="F12" s="28">
        <f>C12-E12</f>
        <v>0</v>
      </c>
      <c r="G12" s="4" t="e">
        <f>(1)-(E12/C12)^(1/D12)</f>
        <v>#DIV/0!</v>
      </c>
      <c r="H12" s="54" t="e">
        <f>(#REF!-A12)</f>
        <v>#REF!</v>
      </c>
      <c r="I12" s="32" t="e">
        <f>C12*G12*H12/365</f>
        <v>#DIV/0!</v>
      </c>
      <c r="J12" s="32" t="e">
        <f>C12-I12</f>
        <v>#DIV/0!</v>
      </c>
    </row>
    <row r="13" spans="1:12" s="40" customFormat="1" x14ac:dyDescent="0.25">
      <c r="A13" s="17"/>
      <c r="B13" s="2"/>
      <c r="C13" s="27"/>
      <c r="D13" s="3"/>
      <c r="E13" s="26"/>
      <c r="F13" s="26"/>
      <c r="G13" s="4"/>
      <c r="H13" s="54"/>
      <c r="I13" s="32"/>
      <c r="J13" s="32"/>
    </row>
    <row r="14" spans="1:12" s="40" customFormat="1" x14ac:dyDescent="0.25">
      <c r="A14" s="227" t="s">
        <v>23</v>
      </c>
      <c r="B14" s="227"/>
      <c r="C14" s="25"/>
      <c r="D14" s="3"/>
      <c r="E14" s="26"/>
      <c r="F14" s="26"/>
      <c r="G14" s="4"/>
      <c r="H14" s="54"/>
      <c r="I14" s="32"/>
      <c r="J14" s="32"/>
    </row>
    <row r="15" spans="1:12" s="40" customFormat="1" x14ac:dyDescent="0.25">
      <c r="A15" s="17">
        <v>41754</v>
      </c>
      <c r="B15" s="2" t="s">
        <v>10</v>
      </c>
      <c r="C15" s="31">
        <v>720000</v>
      </c>
      <c r="D15" s="3">
        <v>5</v>
      </c>
      <c r="E15" s="26">
        <f>ROUND(C15*5%,0.1)</f>
        <v>36000</v>
      </c>
      <c r="F15" s="28">
        <f>C15-E15</f>
        <v>684000</v>
      </c>
      <c r="G15" s="4">
        <f>(1)-(E15/C15)^(1/D15)</f>
        <v>0.45071972834694107</v>
      </c>
      <c r="H15" s="54" t="e">
        <f>(#REF!-A15)</f>
        <v>#REF!</v>
      </c>
      <c r="I15" s="32" t="e">
        <f>C15*G15*H15/365</f>
        <v>#REF!</v>
      </c>
      <c r="J15" s="32" t="e">
        <f>C15-I15</f>
        <v>#REF!</v>
      </c>
    </row>
    <row r="16" spans="1:12" s="40" customFormat="1" x14ac:dyDescent="0.25">
      <c r="A16" s="17">
        <v>41928</v>
      </c>
      <c r="B16" s="2" t="s">
        <v>11</v>
      </c>
      <c r="C16" s="31">
        <v>400000</v>
      </c>
      <c r="D16" s="3">
        <v>5</v>
      </c>
      <c r="E16" s="26">
        <f t="shared" ref="E16:E22" si="0">ROUND(C16*5%,0.1)</f>
        <v>20000</v>
      </c>
      <c r="F16" s="28">
        <f>C16-E16</f>
        <v>380000</v>
      </c>
      <c r="G16" s="4">
        <f>(1)-(E16/C16)^(1/D16)</f>
        <v>0.45071972834694107</v>
      </c>
      <c r="H16" s="54" t="e">
        <f>(#REF!-A16)</f>
        <v>#REF!</v>
      </c>
      <c r="I16" s="32" t="e">
        <f>C16*G16*H16/365</f>
        <v>#REF!</v>
      </c>
      <c r="J16" s="32" t="e">
        <f>C16-I16</f>
        <v>#REF!</v>
      </c>
    </row>
    <row r="17" spans="1:10" x14ac:dyDescent="0.25">
      <c r="A17" s="17"/>
      <c r="B17" s="2" t="s">
        <v>11</v>
      </c>
      <c r="C17" s="31">
        <v>0</v>
      </c>
      <c r="D17" s="3">
        <v>5</v>
      </c>
      <c r="E17" s="26">
        <f t="shared" si="0"/>
        <v>0</v>
      </c>
      <c r="F17" s="28">
        <f t="shared" ref="F17:F22" si="1">C17-E17</f>
        <v>0</v>
      </c>
      <c r="G17" s="4" t="e">
        <f t="shared" ref="G17:G30" si="2">(1)-(E17/C17)^(1/D17)</f>
        <v>#DIV/0!</v>
      </c>
      <c r="H17" s="54" t="e">
        <f>(#REF!-A17)</f>
        <v>#REF!</v>
      </c>
      <c r="I17" s="32" t="e">
        <f t="shared" ref="I17:I22" si="3">C17*G17*H17/365</f>
        <v>#DIV/0!</v>
      </c>
      <c r="J17" s="32" t="e">
        <f t="shared" ref="J17:J22" si="4">C17-I17</f>
        <v>#DIV/0!</v>
      </c>
    </row>
    <row r="18" spans="1:10" x14ac:dyDescent="0.25">
      <c r="A18" s="17"/>
      <c r="B18" s="2" t="s">
        <v>12</v>
      </c>
      <c r="C18" s="31">
        <v>0</v>
      </c>
      <c r="D18" s="3">
        <v>10</v>
      </c>
      <c r="E18" s="26">
        <f t="shared" si="0"/>
        <v>0</v>
      </c>
      <c r="F18" s="28">
        <f t="shared" si="1"/>
        <v>0</v>
      </c>
      <c r="G18" s="4" t="e">
        <f t="shared" si="2"/>
        <v>#DIV/0!</v>
      </c>
      <c r="H18" s="54" t="e">
        <f>(#REF!-A18)</f>
        <v>#REF!</v>
      </c>
      <c r="I18" s="32" t="e">
        <f t="shared" si="3"/>
        <v>#DIV/0!</v>
      </c>
      <c r="J18" s="32" t="e">
        <f t="shared" si="4"/>
        <v>#DIV/0!</v>
      </c>
    </row>
    <row r="19" spans="1:10" x14ac:dyDescent="0.25">
      <c r="A19" s="17"/>
      <c r="B19" s="2" t="s">
        <v>13</v>
      </c>
      <c r="C19" s="31">
        <v>0</v>
      </c>
      <c r="D19" s="3">
        <v>10</v>
      </c>
      <c r="E19" s="26">
        <f t="shared" si="0"/>
        <v>0</v>
      </c>
      <c r="F19" s="28">
        <f t="shared" si="1"/>
        <v>0</v>
      </c>
      <c r="G19" s="4" t="e">
        <f t="shared" si="2"/>
        <v>#DIV/0!</v>
      </c>
      <c r="H19" s="54" t="e">
        <f>(#REF!-A19)</f>
        <v>#REF!</v>
      </c>
      <c r="I19" s="32" t="e">
        <f t="shared" si="3"/>
        <v>#DIV/0!</v>
      </c>
      <c r="J19" s="32" t="e">
        <f t="shared" si="4"/>
        <v>#DIV/0!</v>
      </c>
    </row>
    <row r="20" spans="1:10" x14ac:dyDescent="0.25">
      <c r="A20" s="227" t="s">
        <v>33</v>
      </c>
      <c r="B20" s="227"/>
      <c r="C20" s="31">
        <v>0</v>
      </c>
      <c r="D20" s="3">
        <v>10</v>
      </c>
      <c r="E20" s="26">
        <f t="shared" si="0"/>
        <v>0</v>
      </c>
      <c r="F20" s="28">
        <f t="shared" si="1"/>
        <v>0</v>
      </c>
      <c r="G20" s="4" t="e">
        <f t="shared" si="2"/>
        <v>#DIV/0!</v>
      </c>
      <c r="H20" s="54" t="e">
        <f>(#REF!-A20)</f>
        <v>#REF!</v>
      </c>
      <c r="I20" s="32" t="e">
        <f t="shared" si="3"/>
        <v>#DIV/0!</v>
      </c>
      <c r="J20" s="32" t="e">
        <f t="shared" si="4"/>
        <v>#DIV/0!</v>
      </c>
    </row>
    <row r="21" spans="1:10" x14ac:dyDescent="0.25">
      <c r="A21" s="58">
        <v>42472</v>
      </c>
      <c r="B21" s="2" t="s">
        <v>34</v>
      </c>
      <c r="C21" s="31">
        <v>0</v>
      </c>
      <c r="D21" s="3">
        <v>10</v>
      </c>
      <c r="E21" s="26">
        <f t="shared" si="0"/>
        <v>0</v>
      </c>
      <c r="F21" s="28">
        <f t="shared" si="1"/>
        <v>0</v>
      </c>
      <c r="G21" s="4" t="e">
        <f t="shared" si="2"/>
        <v>#DIV/0!</v>
      </c>
      <c r="H21" s="54" t="e">
        <f>(#REF!-A21)</f>
        <v>#REF!</v>
      </c>
      <c r="I21" s="32" t="e">
        <f t="shared" si="3"/>
        <v>#DIV/0!</v>
      </c>
      <c r="J21" s="32" t="e">
        <f t="shared" si="4"/>
        <v>#DIV/0!</v>
      </c>
    </row>
    <row r="22" spans="1:10" x14ac:dyDescent="0.25">
      <c r="A22" s="58">
        <v>42475</v>
      </c>
      <c r="B22" s="2" t="s">
        <v>10</v>
      </c>
      <c r="C22" s="31">
        <v>0</v>
      </c>
      <c r="D22" s="1">
        <v>5</v>
      </c>
      <c r="E22" s="26">
        <f t="shared" si="0"/>
        <v>0</v>
      </c>
      <c r="F22" s="28">
        <f t="shared" si="1"/>
        <v>0</v>
      </c>
      <c r="G22" s="4" t="e">
        <f t="shared" si="2"/>
        <v>#DIV/0!</v>
      </c>
      <c r="H22" s="54" t="e">
        <f>(#REF!-A22)</f>
        <v>#REF!</v>
      </c>
      <c r="I22" s="32" t="e">
        <f t="shared" si="3"/>
        <v>#DIV/0!</v>
      </c>
      <c r="J22" s="32" t="e">
        <f t="shared" si="4"/>
        <v>#DIV/0!</v>
      </c>
    </row>
    <row r="23" spans="1:10" x14ac:dyDescent="0.25">
      <c r="A23" s="18"/>
      <c r="B23" s="2"/>
      <c r="C23" s="27"/>
      <c r="D23" s="3">
        <v>0</v>
      </c>
      <c r="E23" s="26">
        <f>C23-D23</f>
        <v>0</v>
      </c>
      <c r="F23" s="68"/>
      <c r="G23" s="4" t="e">
        <f t="shared" si="2"/>
        <v>#DIV/0!</v>
      </c>
      <c r="H23" s="4" t="e">
        <f>F23-G23</f>
        <v>#DIV/0!</v>
      </c>
      <c r="I23" s="32">
        <f>ROUND(C23*5%,0.1)</f>
        <v>0</v>
      </c>
      <c r="J23" s="32">
        <f>C23-I23</f>
        <v>0</v>
      </c>
    </row>
    <row r="24" spans="1:10" x14ac:dyDescent="0.25">
      <c r="A24" s="18"/>
      <c r="B24" s="2"/>
      <c r="C24" s="27"/>
      <c r="D24" s="5">
        <v>0</v>
      </c>
      <c r="E24" s="26">
        <f t="shared" ref="E24:E36" si="5">C24-D24</f>
        <v>0</v>
      </c>
      <c r="F24" s="68"/>
      <c r="G24" s="4" t="e">
        <f t="shared" si="2"/>
        <v>#DIV/0!</v>
      </c>
      <c r="H24" s="4" t="e">
        <f>F24-G24</f>
        <v>#DIV/0!</v>
      </c>
      <c r="I24" s="32">
        <f t="shared" ref="I24:I36" si="6">ROUND(C24*5%,0.1)</f>
        <v>0</v>
      </c>
      <c r="J24" s="32">
        <f t="shared" ref="J24:J36" si="7">C24-I24</f>
        <v>0</v>
      </c>
    </row>
    <row r="25" spans="1:10" x14ac:dyDescent="0.25">
      <c r="A25" s="59"/>
      <c r="B25" s="60"/>
      <c r="C25" s="63"/>
      <c r="D25" s="66">
        <v>0</v>
      </c>
      <c r="E25" s="26">
        <f t="shared" si="5"/>
        <v>0</v>
      </c>
      <c r="F25" s="59"/>
      <c r="G25" s="4" t="e">
        <f t="shared" si="2"/>
        <v>#DIV/0!</v>
      </c>
      <c r="H25" s="4" t="e">
        <f t="shared" ref="H25:H30" si="8">F25-G25</f>
        <v>#DIV/0!</v>
      </c>
      <c r="I25" s="32">
        <f t="shared" si="6"/>
        <v>0</v>
      </c>
      <c r="J25" s="32">
        <f t="shared" si="7"/>
        <v>0</v>
      </c>
    </row>
    <row r="26" spans="1:10" x14ac:dyDescent="0.25">
      <c r="A26" s="61"/>
      <c r="B26" s="62" t="s">
        <v>2</v>
      </c>
      <c r="C26" s="64">
        <f>SUM(C21:C24)</f>
        <v>0</v>
      </c>
      <c r="D26" s="67">
        <v>0</v>
      </c>
      <c r="E26" s="26">
        <f t="shared" si="5"/>
        <v>0</v>
      </c>
      <c r="F26" s="59"/>
      <c r="G26" s="4" t="e">
        <f t="shared" si="2"/>
        <v>#DIV/0!</v>
      </c>
      <c r="H26" s="4" t="e">
        <f t="shared" si="8"/>
        <v>#DIV/0!</v>
      </c>
      <c r="I26" s="32">
        <f t="shared" si="6"/>
        <v>0</v>
      </c>
      <c r="J26" s="32">
        <f t="shared" si="7"/>
        <v>0</v>
      </c>
    </row>
    <row r="27" spans="1:10" x14ac:dyDescent="0.25">
      <c r="B27" s="8">
        <v>42825</v>
      </c>
      <c r="C27" s="34"/>
      <c r="D27" s="10">
        <v>0</v>
      </c>
      <c r="E27" s="26">
        <f t="shared" si="5"/>
        <v>0</v>
      </c>
      <c r="F27" s="9"/>
      <c r="G27" s="4" t="e">
        <f t="shared" si="2"/>
        <v>#DIV/0!</v>
      </c>
      <c r="H27" s="4" t="e">
        <f t="shared" si="8"/>
        <v>#DIV/0!</v>
      </c>
      <c r="I27" s="32">
        <f t="shared" si="6"/>
        <v>0</v>
      </c>
      <c r="J27" s="32">
        <f t="shared" si="7"/>
        <v>0</v>
      </c>
    </row>
    <row r="28" spans="1:10" ht="15.75" customHeight="1" x14ac:dyDescent="0.25">
      <c r="A28" s="10"/>
      <c r="B28" s="11"/>
      <c r="C28" s="36"/>
      <c r="D28" s="9">
        <v>0</v>
      </c>
      <c r="E28" s="26">
        <f t="shared" si="5"/>
        <v>0</v>
      </c>
      <c r="F28" s="9"/>
      <c r="G28" s="4" t="e">
        <f t="shared" si="2"/>
        <v>#DIV/0!</v>
      </c>
      <c r="H28" s="4" t="e">
        <f t="shared" si="8"/>
        <v>#DIV/0!</v>
      </c>
      <c r="I28" s="32">
        <f t="shared" si="6"/>
        <v>0</v>
      </c>
      <c r="J28" s="32">
        <f t="shared" si="7"/>
        <v>0</v>
      </c>
    </row>
    <row r="29" spans="1:10" x14ac:dyDescent="0.25">
      <c r="B29" s="7"/>
      <c r="C29" s="37"/>
      <c r="D29" s="9">
        <v>0</v>
      </c>
      <c r="E29" s="26">
        <f t="shared" si="5"/>
        <v>0</v>
      </c>
      <c r="F29" s="9"/>
      <c r="G29" s="4" t="e">
        <f t="shared" si="2"/>
        <v>#DIV/0!</v>
      </c>
      <c r="H29" s="4" t="e">
        <f t="shared" si="8"/>
        <v>#DIV/0!</v>
      </c>
      <c r="I29" s="32">
        <f t="shared" si="6"/>
        <v>0</v>
      </c>
      <c r="J29" s="32">
        <f t="shared" si="7"/>
        <v>0</v>
      </c>
    </row>
    <row r="30" spans="1:10" x14ac:dyDescent="0.25">
      <c r="B30" s="7"/>
      <c r="C30" s="37"/>
      <c r="D30" s="14">
        <v>0</v>
      </c>
      <c r="E30" s="26">
        <f t="shared" si="5"/>
        <v>0</v>
      </c>
      <c r="F30" s="7"/>
      <c r="G30" s="4" t="e">
        <f t="shared" si="2"/>
        <v>#DIV/0!</v>
      </c>
      <c r="H30" s="4" t="e">
        <f t="shared" si="8"/>
        <v>#DIV/0!</v>
      </c>
      <c r="I30" s="32">
        <f t="shared" si="6"/>
        <v>0</v>
      </c>
      <c r="J30" s="32">
        <f t="shared" si="7"/>
        <v>0</v>
      </c>
    </row>
    <row r="31" spans="1:10" x14ac:dyDescent="0.25">
      <c r="A31" s="9">
        <v>42475</v>
      </c>
      <c r="B31" s="15" t="s">
        <v>10</v>
      </c>
      <c r="C31" s="38">
        <v>55000</v>
      </c>
      <c r="D31" s="9">
        <v>23771</v>
      </c>
      <c r="E31" s="26">
        <f t="shared" si="5"/>
        <v>31229</v>
      </c>
      <c r="F31" s="9">
        <v>5</v>
      </c>
      <c r="G31" s="4">
        <f>(1)-(E31/C31)^(1/D31)</f>
        <v>2.3809654492890076E-5</v>
      </c>
      <c r="H31" s="4">
        <f>F31-G31</f>
        <v>4.9999761903455067</v>
      </c>
      <c r="I31" s="32">
        <f t="shared" si="6"/>
        <v>2750</v>
      </c>
      <c r="J31" s="32">
        <f t="shared" si="7"/>
        <v>52250</v>
      </c>
    </row>
    <row r="32" spans="1:10" x14ac:dyDescent="0.25">
      <c r="A32" s="9"/>
      <c r="B32" s="15"/>
      <c r="C32" s="38"/>
      <c r="D32" s="9"/>
      <c r="E32" s="26"/>
      <c r="F32" s="9"/>
      <c r="G32" s="4"/>
      <c r="H32" s="4"/>
      <c r="I32" s="32"/>
      <c r="J32" s="32"/>
    </row>
    <row r="33" spans="1:10" x14ac:dyDescent="0.25">
      <c r="A33" s="13" t="s">
        <v>35</v>
      </c>
      <c r="B33" s="15"/>
      <c r="C33" s="38"/>
      <c r="D33" s="9"/>
      <c r="E33" s="26">
        <f t="shared" si="5"/>
        <v>0</v>
      </c>
      <c r="F33" s="9"/>
      <c r="G33" s="4"/>
      <c r="H33" s="4"/>
      <c r="I33" s="32">
        <f t="shared" si="6"/>
        <v>0</v>
      </c>
      <c r="J33" s="32">
        <f t="shared" si="7"/>
        <v>0</v>
      </c>
    </row>
    <row r="34" spans="1:10" x14ac:dyDescent="0.25">
      <c r="A34" s="9"/>
      <c r="B34" s="15"/>
      <c r="C34" s="38"/>
      <c r="D34" s="9">
        <v>0</v>
      </c>
      <c r="E34" s="26">
        <f t="shared" si="5"/>
        <v>0</v>
      </c>
      <c r="F34" s="9"/>
      <c r="G34" s="4" t="e">
        <f>(1)-(E34/C34)^(1/D34)</f>
        <v>#DIV/0!</v>
      </c>
      <c r="H34" s="4" t="e">
        <f>F34-G34</f>
        <v>#DIV/0!</v>
      </c>
      <c r="I34" s="32">
        <f t="shared" si="6"/>
        <v>0</v>
      </c>
      <c r="J34" s="32">
        <f t="shared" si="7"/>
        <v>0</v>
      </c>
    </row>
    <row r="35" spans="1:10" x14ac:dyDescent="0.25">
      <c r="A35" s="9"/>
      <c r="B35" s="15"/>
      <c r="C35" s="38"/>
      <c r="D35" s="9">
        <v>0</v>
      </c>
      <c r="E35" s="26">
        <f t="shared" si="5"/>
        <v>0</v>
      </c>
      <c r="F35" s="9"/>
      <c r="G35" s="4" t="e">
        <f>(1)-(E35/C35)^(1/D35)</f>
        <v>#DIV/0!</v>
      </c>
      <c r="H35" s="4" t="e">
        <f>F35-G35</f>
        <v>#DIV/0!</v>
      </c>
      <c r="I35" s="32">
        <f t="shared" si="6"/>
        <v>0</v>
      </c>
      <c r="J35" s="32">
        <f t="shared" si="7"/>
        <v>0</v>
      </c>
    </row>
    <row r="36" spans="1:10" x14ac:dyDescent="0.25">
      <c r="A36" s="9"/>
      <c r="B36" s="15"/>
      <c r="C36" s="38"/>
      <c r="D36" s="9">
        <v>0</v>
      </c>
      <c r="E36" s="26">
        <f t="shared" si="5"/>
        <v>0</v>
      </c>
      <c r="F36" s="9"/>
      <c r="G36" s="4"/>
      <c r="H36" s="4">
        <f>F36-G36</f>
        <v>0</v>
      </c>
      <c r="I36" s="32">
        <f t="shared" si="6"/>
        <v>0</v>
      </c>
      <c r="J36" s="32">
        <f t="shared" si="7"/>
        <v>0</v>
      </c>
    </row>
    <row r="37" spans="1:10" x14ac:dyDescent="0.25">
      <c r="A37" s="9">
        <v>42472</v>
      </c>
      <c r="B37" s="15" t="s">
        <v>34</v>
      </c>
      <c r="C37" s="33">
        <v>363715</v>
      </c>
      <c r="D37" s="3">
        <v>109869</v>
      </c>
      <c r="E37" s="30"/>
      <c r="F37" s="26">
        <v>8</v>
      </c>
      <c r="G37" s="4"/>
      <c r="H37" s="4">
        <f>F37-G37</f>
        <v>8</v>
      </c>
      <c r="I37" s="32">
        <f>ROUND(C37*5%,0.1)</f>
        <v>18186</v>
      </c>
      <c r="J37" s="32"/>
    </row>
    <row r="38" spans="1:10" x14ac:dyDescent="0.25">
      <c r="A38" s="10"/>
      <c r="B38" s="11"/>
      <c r="C38" s="36"/>
      <c r="D38" s="9"/>
      <c r="E38" s="35"/>
      <c r="F38" s="35"/>
      <c r="G38" s="9"/>
      <c r="H38" s="55"/>
    </row>
    <row r="39" spans="1:10" x14ac:dyDescent="0.25">
      <c r="A39" s="9"/>
      <c r="B39" s="15"/>
      <c r="C39" s="38"/>
      <c r="D39" s="9"/>
      <c r="E39" s="35"/>
      <c r="F39" s="35"/>
      <c r="G39" s="9"/>
      <c r="H39" s="55"/>
    </row>
    <row r="40" spans="1:10" x14ac:dyDescent="0.25">
      <c r="A40" s="9"/>
      <c r="B40" s="15"/>
      <c r="C40" s="38"/>
      <c r="D40" s="9"/>
      <c r="E40" s="35"/>
      <c r="F40" s="35"/>
      <c r="G40" s="9"/>
      <c r="H40" s="55"/>
    </row>
    <row r="41" spans="1:10" x14ac:dyDescent="0.25">
      <c r="B41" s="65">
        <v>42825</v>
      </c>
    </row>
  </sheetData>
  <mergeCells count="7">
    <mergeCell ref="A20:B20"/>
    <mergeCell ref="A14:B14"/>
    <mergeCell ref="A3:J3"/>
    <mergeCell ref="A4:J4"/>
    <mergeCell ref="A5:J5"/>
    <mergeCell ref="A8:B8"/>
    <mergeCell ref="A11:B11"/>
  </mergeCells>
  <phoneticPr fontId="0" type="noConversion"/>
  <printOptions horizontalCentered="1"/>
  <pageMargins left="0.25" right="0" top="0.5" bottom="0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5" sqref="D5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9"/>
  <sheetViews>
    <sheetView tabSelected="1" topLeftCell="B15" zoomScale="86" zoomScaleNormal="80" zoomScaleSheetLayoutView="10" workbookViewId="0">
      <pane ySplit="4" topLeftCell="A97" activePane="bottomLeft" state="frozen"/>
      <selection activeCell="B16" sqref="B16"/>
      <selection pane="bottomLeft" activeCell="P106" sqref="P106"/>
    </sheetView>
  </sheetViews>
  <sheetFormatPr defaultColWidth="9.140625" defaultRowHeight="15.75" x14ac:dyDescent="0.25"/>
  <cols>
    <col min="1" max="1" width="13.7109375" style="7" bestFit="1" customWidth="1"/>
    <col min="2" max="2" width="35.7109375" style="16" customWidth="1"/>
    <col min="3" max="3" width="15.140625" style="39" bestFit="1" customWidth="1"/>
    <col min="4" max="4" width="16.7109375" style="40" bestFit="1" customWidth="1"/>
    <col min="5" max="5" width="14.140625" style="40" customWidth="1"/>
    <col min="6" max="6" width="13.28515625" style="7" bestFit="1" customWidth="1"/>
    <col min="7" max="7" width="13.42578125" style="7" bestFit="1" customWidth="1"/>
    <col min="8" max="8" width="13" style="7" customWidth="1"/>
    <col min="9" max="9" width="15.7109375" style="40" bestFit="1" customWidth="1"/>
    <col min="10" max="10" width="14.85546875" style="40" customWidth="1"/>
    <col min="11" max="11" width="13.7109375" style="40" customWidth="1"/>
    <col min="12" max="12" width="10.140625" style="7" customWidth="1"/>
    <col min="13" max="13" width="14.140625" style="40" customWidth="1"/>
    <col min="14" max="14" width="13.5703125" style="40" customWidth="1"/>
    <col min="15" max="15" width="16.140625" style="40" customWidth="1"/>
    <col min="16" max="16" width="14.85546875" style="40" bestFit="1" customWidth="1"/>
    <col min="17" max="17" width="11" style="40" bestFit="1" customWidth="1"/>
    <col min="18" max="18" width="12.85546875" style="7" bestFit="1" customWidth="1"/>
    <col min="19" max="16384" width="9.140625" style="7"/>
  </cols>
  <sheetData>
    <row r="1" spans="1:18" x14ac:dyDescent="0.25">
      <c r="B1" s="12"/>
      <c r="C1" s="7"/>
      <c r="D1" s="7"/>
      <c r="E1" s="7"/>
      <c r="I1" s="7"/>
      <c r="J1" s="7"/>
      <c r="K1" s="7"/>
      <c r="M1" s="7"/>
      <c r="N1" s="43"/>
      <c r="O1" s="43"/>
    </row>
    <row r="2" spans="1:18" x14ac:dyDescent="0.25">
      <c r="A2" s="44" t="s">
        <v>28</v>
      </c>
      <c r="B2" s="12"/>
      <c r="C2" s="7"/>
      <c r="D2" s="7"/>
      <c r="E2" s="7"/>
      <c r="I2" s="7"/>
      <c r="J2" s="7"/>
      <c r="K2" s="7"/>
      <c r="M2" s="7"/>
      <c r="N2" s="43"/>
      <c r="O2" s="43"/>
    </row>
    <row r="3" spans="1:18" s="40" customFormat="1" ht="16.5" x14ac:dyDescent="0.25">
      <c r="A3" s="48"/>
      <c r="B3" s="49" t="s">
        <v>29</v>
      </c>
      <c r="C3" s="137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  <c r="O3" s="47"/>
      <c r="R3" s="7"/>
    </row>
    <row r="4" spans="1:18" s="40" customFormat="1" ht="16.5" x14ac:dyDescent="0.25">
      <c r="A4" s="50">
        <v>8</v>
      </c>
      <c r="B4" s="51" t="s">
        <v>31</v>
      </c>
      <c r="C4" s="165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  <c r="O4" s="168"/>
      <c r="R4" s="7"/>
    </row>
    <row r="5" spans="1:18" s="40" customFormat="1" x14ac:dyDescent="0.25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  <c r="O5" s="170"/>
      <c r="R5" s="7"/>
    </row>
    <row r="6" spans="1:18" s="40" customFormat="1" x14ac:dyDescent="0.25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43"/>
      <c r="O6" s="43"/>
      <c r="R6" s="7"/>
    </row>
    <row r="7" spans="1:18" s="40" customFormat="1" x14ac:dyDescent="0.25">
      <c r="A7" s="171" t="s">
        <v>136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43"/>
      <c r="O7" s="43"/>
      <c r="R7" s="7"/>
    </row>
    <row r="8" spans="1:18" s="40" customFormat="1" ht="31.5" x14ac:dyDescent="0.25">
      <c r="A8" s="155">
        <v>44055</v>
      </c>
      <c r="B8" s="155" t="s">
        <v>137</v>
      </c>
      <c r="C8" s="171">
        <v>2400000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43"/>
      <c r="O8" s="43"/>
      <c r="R8" s="7"/>
    </row>
    <row r="9" spans="1:18" s="40" customFormat="1" ht="31.5" x14ac:dyDescent="0.25">
      <c r="A9" s="155">
        <v>44082</v>
      </c>
      <c r="B9" s="155" t="s">
        <v>137</v>
      </c>
      <c r="C9" s="171">
        <f>975000+525000</f>
        <v>1500000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43"/>
      <c r="O9" s="43"/>
      <c r="R9" s="7"/>
    </row>
    <row r="10" spans="1:18" s="40" customFormat="1" ht="31.5" x14ac:dyDescent="0.25">
      <c r="A10" s="155">
        <v>44089</v>
      </c>
      <c r="B10" s="155" t="s">
        <v>137</v>
      </c>
      <c r="C10" s="171">
        <v>1125000</v>
      </c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43"/>
      <c r="O10" s="43"/>
      <c r="R10" s="7"/>
    </row>
    <row r="11" spans="1:18" s="40" customFormat="1" ht="31.5" x14ac:dyDescent="0.25">
      <c r="A11" s="155">
        <v>44105</v>
      </c>
      <c r="B11" s="155" t="s">
        <v>137</v>
      </c>
      <c r="C11" s="171">
        <f>175000+1875000</f>
        <v>2050000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43"/>
      <c r="O11" s="43"/>
      <c r="R11" s="7"/>
    </row>
    <row r="12" spans="1:18" s="40" customFormat="1" ht="31.5" x14ac:dyDescent="0.25">
      <c r="A12" s="155">
        <v>44113</v>
      </c>
      <c r="B12" s="155" t="s">
        <v>137</v>
      </c>
      <c r="C12" s="171">
        <f>131000+150000+160000</f>
        <v>441000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43"/>
      <c r="O12" s="43"/>
      <c r="R12" s="7"/>
    </row>
    <row r="13" spans="1:18" s="40" customFormat="1" ht="31.5" x14ac:dyDescent="0.25">
      <c r="A13" s="155">
        <v>44117</v>
      </c>
      <c r="B13" s="155" t="s">
        <v>137</v>
      </c>
      <c r="C13" s="171">
        <v>620000</v>
      </c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43"/>
      <c r="O13" s="43"/>
      <c r="R13" s="7"/>
    </row>
    <row r="14" spans="1:18" x14ac:dyDescent="0.25">
      <c r="A14" s="227"/>
      <c r="B14" s="227"/>
      <c r="C14" s="25"/>
      <c r="D14" s="24"/>
      <c r="E14" s="24"/>
      <c r="F14" s="1"/>
      <c r="G14" s="1"/>
      <c r="H14" s="1"/>
      <c r="I14" s="24"/>
      <c r="J14" s="28"/>
      <c r="K14" s="171"/>
      <c r="L14" s="171"/>
      <c r="M14" s="171"/>
      <c r="N14" s="43"/>
      <c r="O14" s="43"/>
    </row>
    <row r="15" spans="1:18" x14ac:dyDescent="0.25">
      <c r="A15" s="229" t="s">
        <v>153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</row>
    <row r="16" spans="1:18" s="16" customFormat="1" x14ac:dyDescent="0.25">
      <c r="A16" s="230" t="s">
        <v>26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39"/>
      <c r="Q16" s="39"/>
    </row>
    <row r="17" spans="1:18" x14ac:dyDescent="0.25">
      <c r="A17" s="171"/>
      <c r="B17" s="171"/>
      <c r="C17" s="22"/>
      <c r="D17" s="22"/>
      <c r="E17" s="22"/>
      <c r="F17" s="171"/>
      <c r="G17" s="171"/>
      <c r="H17" s="171"/>
      <c r="I17" s="22"/>
      <c r="J17" s="41"/>
      <c r="K17" s="41"/>
      <c r="L17" s="171"/>
      <c r="M17" s="22"/>
      <c r="N17" s="22"/>
      <c r="O17" s="22"/>
    </row>
    <row r="18" spans="1:18" ht="63" x14ac:dyDescent="0.25">
      <c r="A18" s="1" t="s">
        <v>25</v>
      </c>
      <c r="B18" s="1" t="s">
        <v>0</v>
      </c>
      <c r="C18" s="23" t="s">
        <v>18</v>
      </c>
      <c r="D18" s="24" t="s">
        <v>113</v>
      </c>
      <c r="E18" s="24" t="s">
        <v>114</v>
      </c>
      <c r="F18" s="1" t="s">
        <v>17</v>
      </c>
      <c r="G18" s="1" t="s">
        <v>152</v>
      </c>
      <c r="H18" s="1" t="s">
        <v>22</v>
      </c>
      <c r="I18" s="24" t="s">
        <v>4</v>
      </c>
      <c r="J18" s="24" t="s">
        <v>21</v>
      </c>
      <c r="K18" s="24" t="s">
        <v>20</v>
      </c>
      <c r="L18" s="1" t="s">
        <v>1</v>
      </c>
      <c r="M18" s="24" t="s">
        <v>115</v>
      </c>
      <c r="N18" s="24" t="s">
        <v>19</v>
      </c>
      <c r="O18" s="24" t="s">
        <v>116</v>
      </c>
    </row>
    <row r="19" spans="1:18" x14ac:dyDescent="0.25">
      <c r="A19" s="227" t="s">
        <v>8</v>
      </c>
      <c r="B19" s="227"/>
      <c r="C19" s="25"/>
      <c r="D19" s="24"/>
      <c r="E19" s="24"/>
      <c r="F19" s="1"/>
      <c r="G19" s="1"/>
      <c r="H19" s="1"/>
      <c r="I19" s="24"/>
      <c r="J19" s="28"/>
      <c r="K19" s="28"/>
      <c r="L19" s="1"/>
      <c r="M19" s="24"/>
      <c r="N19" s="24"/>
      <c r="O19" s="24"/>
    </row>
    <row r="20" spans="1:18" x14ac:dyDescent="0.25">
      <c r="A20" s="1" t="s">
        <v>7</v>
      </c>
      <c r="B20" s="2" t="s">
        <v>6</v>
      </c>
      <c r="C20" s="31">
        <f>9453253</f>
        <v>9453253</v>
      </c>
      <c r="D20" s="26">
        <v>0</v>
      </c>
      <c r="E20" s="30">
        <f>C20-D20</f>
        <v>9453253</v>
      </c>
      <c r="F20" s="21">
        <v>0</v>
      </c>
      <c r="G20" s="21">
        <v>0</v>
      </c>
      <c r="H20" s="21">
        <v>0</v>
      </c>
      <c r="I20" s="26">
        <v>0</v>
      </c>
      <c r="J20" s="28">
        <v>0</v>
      </c>
      <c r="K20" s="26">
        <f>IF(D20&gt;J20,(D20-J20),(0))</f>
        <v>0</v>
      </c>
      <c r="L20" s="4">
        <f>IF(H20&gt;0,((1)-(I20/E20)^(1/H20)),(0))</f>
        <v>0</v>
      </c>
      <c r="M20" s="24">
        <v>0</v>
      </c>
      <c r="N20" s="24">
        <v>0</v>
      </c>
      <c r="O20" s="150">
        <f>E20-SUM(M20:N20)</f>
        <v>9453253</v>
      </c>
    </row>
    <row r="21" spans="1:18" x14ac:dyDescent="0.25">
      <c r="A21" s="1"/>
      <c r="B21" s="2"/>
      <c r="C21" s="27"/>
      <c r="D21" s="28"/>
      <c r="E21" s="28"/>
      <c r="F21" s="1"/>
      <c r="G21" s="1"/>
      <c r="H21" s="1"/>
      <c r="I21" s="24"/>
      <c r="J21" s="28"/>
      <c r="K21" s="28"/>
      <c r="L21" s="1"/>
      <c r="M21" s="24"/>
      <c r="N21" s="24"/>
      <c r="O21" s="32"/>
    </row>
    <row r="22" spans="1:18" x14ac:dyDescent="0.25">
      <c r="A22" s="227" t="s">
        <v>9</v>
      </c>
      <c r="B22" s="227"/>
      <c r="C22" s="25"/>
      <c r="D22" s="26">
        <f>C22-E22</f>
        <v>0</v>
      </c>
      <c r="E22" s="28"/>
      <c r="F22" s="1"/>
      <c r="G22" s="1"/>
      <c r="H22" s="1"/>
      <c r="I22" s="24"/>
      <c r="J22" s="28"/>
      <c r="K22" s="28"/>
      <c r="L22" s="1"/>
      <c r="M22" s="24"/>
      <c r="N22" s="24"/>
      <c r="O22" s="24"/>
    </row>
    <row r="23" spans="1:18" x14ac:dyDescent="0.25">
      <c r="A23" s="17">
        <v>43009</v>
      </c>
      <c r="B23" s="83" t="s">
        <v>47</v>
      </c>
      <c r="C23" s="31">
        <v>3613265.77</v>
      </c>
      <c r="D23" s="26">
        <f>170280.208832637+327332+296212</f>
        <v>793824.20883263694</v>
      </c>
      <c r="E23" s="28">
        <f t="shared" ref="E23" si="0">C23-D23</f>
        <v>2819441.5611673631</v>
      </c>
      <c r="F23" s="3">
        <v>30</v>
      </c>
      <c r="G23" s="3">
        <f t="shared" ref="G23" si="1">($B$108-A23)/365</f>
        <v>2.4986301369863013</v>
      </c>
      <c r="H23" s="3">
        <f t="shared" ref="H23" si="2">F23-G23</f>
        <v>27.5013698630137</v>
      </c>
      <c r="I23" s="26">
        <f t="shared" ref="I23" si="3">ROUND(C23*5%,0.1)</f>
        <v>180663</v>
      </c>
      <c r="J23" s="28">
        <f t="shared" ref="J23" si="4">C23-I23</f>
        <v>3432602.77</v>
      </c>
      <c r="K23" s="26">
        <f t="shared" ref="K23" si="5">IF(D23&gt;J23,(D23-J23),(0))</f>
        <v>0</v>
      </c>
      <c r="L23" s="4">
        <f t="shared" ref="L23" si="6">IF(H23&gt;0,((1)-(I23/E23)^(1/H23)),(0))</f>
        <v>9.5081104630574953E-2</v>
      </c>
      <c r="M23" s="150">
        <f t="shared" ref="M23" si="7">ROUND(E23*L23,0.1)</f>
        <v>268076</v>
      </c>
      <c r="N23" s="42">
        <f t="shared" ref="N23" si="8">IF(AND(H23&lt;0,J23&gt;D23),(J23-D23),0)</f>
        <v>0</v>
      </c>
      <c r="O23" s="150">
        <f t="shared" ref="O23" si="9">E23-SUM(M23:M23)</f>
        <v>2551365.5611673631</v>
      </c>
    </row>
    <row r="24" spans="1:18" x14ac:dyDescent="0.25">
      <c r="A24" s="17">
        <v>43009</v>
      </c>
      <c r="B24" s="83" t="s">
        <v>48</v>
      </c>
      <c r="C24" s="31">
        <f>30767523.19-698360</f>
        <v>30069163.190000001</v>
      </c>
      <c r="D24" s="26">
        <f>1417050.74866265+2724015+2465038</f>
        <v>6606103.7486626497</v>
      </c>
      <c r="E24" s="28">
        <f t="shared" ref="E24:E28" si="10">C24-D24</f>
        <v>23463059.441337351</v>
      </c>
      <c r="F24" s="3">
        <v>30</v>
      </c>
      <c r="G24" s="3">
        <f t="shared" ref="G24:G28" si="11">($B$108-A24)/365</f>
        <v>2.4986301369863013</v>
      </c>
      <c r="H24" s="3">
        <f t="shared" ref="H24:H28" si="12">F24-G24</f>
        <v>27.5013698630137</v>
      </c>
      <c r="I24" s="26">
        <f t="shared" ref="I24:I28" si="13">ROUND(C24*5%,0.1)</f>
        <v>1503458</v>
      </c>
      <c r="J24" s="28">
        <f t="shared" ref="J24:J28" si="14">C24-I24</f>
        <v>28565705.190000001</v>
      </c>
      <c r="K24" s="26">
        <f t="shared" ref="K24:K28" si="15">IF(D24&gt;J24,(D24-J24),(0))</f>
        <v>0</v>
      </c>
      <c r="L24" s="4">
        <f t="shared" ref="L24:L28" si="16">IF(H24&gt;0,((1)-(I24/E24)^(1/H24)),(0))</f>
        <v>9.5081063777978425E-2</v>
      </c>
      <c r="M24" s="150">
        <f t="shared" ref="M24:M28" si="17">ROUND(E24*L24,0.1)</f>
        <v>2230893</v>
      </c>
      <c r="N24" s="42">
        <f t="shared" ref="N24:N28" si="18">IF(AND(H24&lt;0,J24&gt;D24),(J24-D24),0)</f>
        <v>0</v>
      </c>
      <c r="O24" s="150">
        <f t="shared" ref="O24:O28" si="19">E24-SUM(M24:M24)</f>
        <v>21232166.441337351</v>
      </c>
    </row>
    <row r="25" spans="1:18" x14ac:dyDescent="0.25">
      <c r="A25" s="17">
        <v>43059</v>
      </c>
      <c r="B25" s="83" t="s">
        <v>48</v>
      </c>
      <c r="C25" s="31">
        <v>698360</v>
      </c>
      <c r="D25" s="26">
        <f>23819.6910517369+64128+58031</f>
        <v>145978.69105173688</v>
      </c>
      <c r="E25" s="28">
        <f t="shared" si="10"/>
        <v>552381.30894826306</v>
      </c>
      <c r="F25" s="3">
        <v>30</v>
      </c>
      <c r="G25" s="3">
        <f t="shared" si="11"/>
        <v>2.3616438356164382</v>
      </c>
      <c r="H25" s="3">
        <f t="shared" si="12"/>
        <v>27.638356164383563</v>
      </c>
      <c r="I25" s="26">
        <f t="shared" si="13"/>
        <v>34918</v>
      </c>
      <c r="J25" s="28">
        <f t="shared" si="14"/>
        <v>663442</v>
      </c>
      <c r="K25" s="26">
        <f t="shared" si="15"/>
        <v>0</v>
      </c>
      <c r="L25" s="4">
        <f t="shared" si="16"/>
        <v>9.5077474737835677E-2</v>
      </c>
      <c r="M25" s="150">
        <f t="shared" si="17"/>
        <v>52519</v>
      </c>
      <c r="N25" s="42">
        <f t="shared" si="18"/>
        <v>0</v>
      </c>
      <c r="O25" s="150">
        <f t="shared" si="19"/>
        <v>499862.30894826306</v>
      </c>
    </row>
    <row r="26" spans="1:18" x14ac:dyDescent="0.25">
      <c r="A26" s="17">
        <v>43667</v>
      </c>
      <c r="B26" s="83"/>
      <c r="C26" s="157">
        <v>153000</v>
      </c>
      <c r="D26" s="164">
        <v>10118.371478528294</v>
      </c>
      <c r="E26" s="28">
        <f t="shared" si="10"/>
        <v>142881.62852147169</v>
      </c>
      <c r="F26" s="3">
        <v>30</v>
      </c>
      <c r="G26" s="3">
        <f t="shared" si="11"/>
        <v>0.69589041095890414</v>
      </c>
      <c r="H26" s="3">
        <f t="shared" si="12"/>
        <v>29.304109589041097</v>
      </c>
      <c r="I26" s="26">
        <f t="shared" si="13"/>
        <v>7650</v>
      </c>
      <c r="J26" s="28">
        <f t="shared" si="14"/>
        <v>145350</v>
      </c>
      <c r="K26" s="26">
        <f t="shared" si="15"/>
        <v>0</v>
      </c>
      <c r="L26" s="4">
        <f t="shared" si="16"/>
        <v>9.5066853838280618E-2</v>
      </c>
      <c r="M26" s="150">
        <f t="shared" si="17"/>
        <v>13583</v>
      </c>
      <c r="N26" s="42">
        <f t="shared" si="18"/>
        <v>0</v>
      </c>
      <c r="O26" s="150">
        <f t="shared" si="19"/>
        <v>129298.62852147169</v>
      </c>
    </row>
    <row r="27" spans="1:18" x14ac:dyDescent="0.25">
      <c r="A27" s="17">
        <v>43733</v>
      </c>
      <c r="B27" s="83"/>
      <c r="C27" s="157">
        <v>36000</v>
      </c>
      <c r="D27" s="164">
        <v>1762.1619619854739</v>
      </c>
      <c r="E27" s="28">
        <f t="shared" si="10"/>
        <v>34237.838038014524</v>
      </c>
      <c r="F27" s="3">
        <v>30</v>
      </c>
      <c r="G27" s="3">
        <f t="shared" si="11"/>
        <v>0.51506849315068493</v>
      </c>
      <c r="H27" s="3">
        <f t="shared" si="12"/>
        <v>29.484931506849314</v>
      </c>
      <c r="I27" s="26">
        <f t="shared" si="13"/>
        <v>1800</v>
      </c>
      <c r="J27" s="28">
        <f t="shared" si="14"/>
        <v>34200</v>
      </c>
      <c r="K27" s="26">
        <f t="shared" si="15"/>
        <v>0</v>
      </c>
      <c r="L27" s="4">
        <f t="shared" si="16"/>
        <v>9.5072096319864796E-2</v>
      </c>
      <c r="M27" s="150">
        <f t="shared" si="17"/>
        <v>3255</v>
      </c>
      <c r="N27" s="42">
        <f t="shared" si="18"/>
        <v>0</v>
      </c>
      <c r="O27" s="150">
        <f t="shared" si="19"/>
        <v>30982.838038014524</v>
      </c>
    </row>
    <row r="28" spans="1:18" x14ac:dyDescent="0.25">
      <c r="A28" s="17">
        <v>43861</v>
      </c>
      <c r="B28" s="83"/>
      <c r="C28" s="157">
        <v>55489.52</v>
      </c>
      <c r="D28" s="164">
        <v>866.90467042710031</v>
      </c>
      <c r="E28" s="28">
        <f t="shared" si="10"/>
        <v>54622.615329572895</v>
      </c>
      <c r="F28" s="3">
        <v>30</v>
      </c>
      <c r="G28" s="3">
        <f t="shared" si="11"/>
        <v>0.16438356164383561</v>
      </c>
      <c r="H28" s="3">
        <f t="shared" si="12"/>
        <v>29.835616438356166</v>
      </c>
      <c r="I28" s="26">
        <f t="shared" si="13"/>
        <v>2774</v>
      </c>
      <c r="J28" s="28">
        <f t="shared" si="14"/>
        <v>52715.519999999997</v>
      </c>
      <c r="K28" s="26">
        <f t="shared" si="15"/>
        <v>0</v>
      </c>
      <c r="L28" s="4">
        <f t="shared" si="16"/>
        <v>9.505934247384018E-2</v>
      </c>
      <c r="M28" s="150">
        <f t="shared" si="17"/>
        <v>5192</v>
      </c>
      <c r="N28" s="42">
        <f t="shared" si="18"/>
        <v>0</v>
      </c>
      <c r="O28" s="150">
        <f t="shared" si="19"/>
        <v>49430.615329572895</v>
      </c>
      <c r="P28" s="174">
        <f>SUM(M23:M28)+SUM('00 Assets Pur. after 31.03.2017'!I49:I57)</f>
        <v>2752648</v>
      </c>
    </row>
    <row r="29" spans="1:18" x14ac:dyDescent="0.25">
      <c r="A29" s="17"/>
      <c r="B29" s="2"/>
      <c r="C29" s="27"/>
      <c r="D29" s="26"/>
      <c r="E29" s="26"/>
      <c r="F29" s="3"/>
      <c r="G29" s="3"/>
      <c r="H29" s="3"/>
      <c r="I29" s="26"/>
      <c r="J29" s="26"/>
      <c r="K29" s="26"/>
      <c r="L29" s="4"/>
      <c r="M29" s="32"/>
      <c r="N29" s="32"/>
      <c r="O29" s="32"/>
    </row>
    <row r="30" spans="1:18" x14ac:dyDescent="0.25">
      <c r="A30" s="227" t="s">
        <v>102</v>
      </c>
      <c r="B30" s="227"/>
      <c r="C30" s="25"/>
      <c r="D30" s="26"/>
      <c r="E30" s="26"/>
      <c r="F30" s="3"/>
      <c r="G30" s="3"/>
      <c r="H30" s="3"/>
      <c r="I30" s="26"/>
      <c r="J30" s="26"/>
      <c r="K30" s="26"/>
      <c r="L30" s="4"/>
      <c r="M30" s="32"/>
      <c r="N30" s="32"/>
      <c r="O30" s="32"/>
    </row>
    <row r="31" spans="1:18" x14ac:dyDescent="0.25">
      <c r="A31" s="17">
        <v>43009</v>
      </c>
      <c r="B31" s="83" t="s">
        <v>73</v>
      </c>
      <c r="C31" s="31">
        <f>37675604.9-418000</f>
        <v>37257604.899999999</v>
      </c>
      <c r="D31" s="26">
        <f>3344770.00244432+6148977+5034063</f>
        <v>14527810.002444319</v>
      </c>
      <c r="E31" s="26">
        <f t="shared" ref="E31" si="20">C31-D31</f>
        <v>22729794.897555679</v>
      </c>
      <c r="F31" s="3">
        <v>15</v>
      </c>
      <c r="G31" s="3">
        <f t="shared" ref="G31" si="21">($B$108-A31)/365</f>
        <v>2.4986301369863013</v>
      </c>
      <c r="H31" s="3">
        <f t="shared" ref="H31" si="22">F31-G31</f>
        <v>12.501369863013698</v>
      </c>
      <c r="I31" s="26">
        <f t="shared" ref="I31" si="23">ROUND(C31*5%,0.1)</f>
        <v>1862880</v>
      </c>
      <c r="J31" s="28">
        <f t="shared" ref="J31" si="24">C31-I31</f>
        <v>35394724.899999999</v>
      </c>
      <c r="K31" s="26">
        <f t="shared" ref="K31" si="25">IF(D31&gt;J31,(D31-J31),(0))</f>
        <v>0</v>
      </c>
      <c r="L31" s="4">
        <f t="shared" ref="L31" si="26">IF(H31&gt;0,((1)-(I31/E31)^(1/H31)),(0))</f>
        <v>0.18135300366303275</v>
      </c>
      <c r="M31" s="150">
        <f t="shared" ref="M31" si="27">ROUND(E31*L31,0.1)</f>
        <v>4122117</v>
      </c>
      <c r="N31" s="42">
        <f t="shared" ref="N31" si="28">IF(AND(H31&lt;0,J31&gt;D31),(J31-D31),0)</f>
        <v>0</v>
      </c>
      <c r="O31" s="150">
        <f t="shared" ref="O31" si="29">E31-SUM(M31:M31)</f>
        <v>18607677.897555679</v>
      </c>
      <c r="R31" s="57"/>
    </row>
    <row r="32" spans="1:18" x14ac:dyDescent="0.25">
      <c r="A32" s="17">
        <v>43009</v>
      </c>
      <c r="B32" s="83" t="s">
        <v>69</v>
      </c>
      <c r="C32" s="31">
        <f>6881621.12-137300</f>
        <v>6744321.1200000001</v>
      </c>
      <c r="D32" s="26">
        <f>605465.73685068+1113080+911259</f>
        <v>2629804.7368506799</v>
      </c>
      <c r="E32" s="26">
        <f t="shared" ref="E32:E38" si="30">C32-D32</f>
        <v>4114516.3831493203</v>
      </c>
      <c r="F32" s="3">
        <v>15</v>
      </c>
      <c r="G32" s="3">
        <f t="shared" ref="G32:G38" si="31">($B$108-A32)/365</f>
        <v>2.4986301369863013</v>
      </c>
      <c r="H32" s="3">
        <f t="shared" ref="H32:H38" si="32">F32-G32</f>
        <v>12.501369863013698</v>
      </c>
      <c r="I32" s="26">
        <f t="shared" ref="I32:I38" si="33">ROUND(C32*5%,0.1)</f>
        <v>337216</v>
      </c>
      <c r="J32" s="28">
        <f t="shared" ref="J32:J38" si="34">C32-I32</f>
        <v>6407105.1200000001</v>
      </c>
      <c r="K32" s="26">
        <f t="shared" ref="K32:K38" si="35">IF(D32&gt;J32,(D32-J32),(0))</f>
        <v>0</v>
      </c>
      <c r="L32" s="4">
        <f t="shared" ref="L32:L38" si="36">IF(H32&gt;0,((1)-(I32/E32)^(1/H32)),(0))</f>
        <v>0.18135300164392443</v>
      </c>
      <c r="M32" s="150">
        <f t="shared" ref="M32:M38" si="37">ROUND(E32*L32,0.1)</f>
        <v>746180</v>
      </c>
      <c r="N32" s="42">
        <f t="shared" ref="N32:N38" si="38">IF(AND(H32&lt;0,J32&gt;D32),(J32-D32),0)</f>
        <v>0</v>
      </c>
      <c r="O32" s="150">
        <f t="shared" ref="O32:O38" si="39">E32-SUM(M32:M32)</f>
        <v>3368336.3831493203</v>
      </c>
      <c r="R32" s="57"/>
    </row>
    <row r="33" spans="1:18" x14ac:dyDescent="0.25">
      <c r="A33" s="17">
        <v>43024</v>
      </c>
      <c r="B33" s="83" t="s">
        <v>78</v>
      </c>
      <c r="C33" s="31">
        <v>18500</v>
      </c>
      <c r="D33" s="26">
        <f>1523.18463812417+3078+2520</f>
        <v>7121.1846381241703</v>
      </c>
      <c r="E33" s="26">
        <f t="shared" si="30"/>
        <v>11378.81536187583</v>
      </c>
      <c r="F33" s="3">
        <v>15</v>
      </c>
      <c r="G33" s="3">
        <f t="shared" si="31"/>
        <v>2.4575342465753423</v>
      </c>
      <c r="H33" s="3">
        <f t="shared" si="32"/>
        <v>12.542465753424658</v>
      </c>
      <c r="I33" s="26">
        <f t="shared" si="33"/>
        <v>925</v>
      </c>
      <c r="J33" s="28">
        <f t="shared" si="34"/>
        <v>17575</v>
      </c>
      <c r="K33" s="26">
        <f t="shared" si="35"/>
        <v>0</v>
      </c>
      <c r="L33" s="4">
        <f t="shared" si="36"/>
        <v>0.1813489926124997</v>
      </c>
      <c r="M33" s="150">
        <f t="shared" si="37"/>
        <v>2064</v>
      </c>
      <c r="N33" s="42">
        <f t="shared" si="38"/>
        <v>0</v>
      </c>
      <c r="O33" s="150">
        <f t="shared" si="39"/>
        <v>9314.8153618758297</v>
      </c>
    </row>
    <row r="34" spans="1:18" x14ac:dyDescent="0.25">
      <c r="A34" s="17">
        <v>43034</v>
      </c>
      <c r="B34" s="83" t="s">
        <v>78</v>
      </c>
      <c r="C34" s="31">
        <v>42000</v>
      </c>
      <c r="D34" s="26">
        <f>3249.72508921835+7026+5752</f>
        <v>16027.725089218351</v>
      </c>
      <c r="E34" s="26">
        <f t="shared" si="30"/>
        <v>25972.274910781649</v>
      </c>
      <c r="F34" s="3">
        <v>15</v>
      </c>
      <c r="G34" s="3">
        <f t="shared" si="31"/>
        <v>2.43013698630137</v>
      </c>
      <c r="H34" s="3">
        <f t="shared" si="32"/>
        <v>12.56986301369863</v>
      </c>
      <c r="I34" s="26">
        <f t="shared" si="33"/>
        <v>2100</v>
      </c>
      <c r="J34" s="28">
        <f t="shared" si="34"/>
        <v>39900</v>
      </c>
      <c r="K34" s="26">
        <f t="shared" si="35"/>
        <v>0</v>
      </c>
      <c r="L34" s="4">
        <f t="shared" si="36"/>
        <v>0.18134217286252163</v>
      </c>
      <c r="M34" s="150">
        <f t="shared" si="37"/>
        <v>4710</v>
      </c>
      <c r="N34" s="42">
        <f t="shared" si="38"/>
        <v>0</v>
      </c>
      <c r="O34" s="150">
        <f t="shared" si="39"/>
        <v>21262.274910781649</v>
      </c>
    </row>
    <row r="35" spans="1:18" x14ac:dyDescent="0.25">
      <c r="A35" s="17">
        <v>43078</v>
      </c>
      <c r="B35" s="83" t="s">
        <v>73</v>
      </c>
      <c r="C35" s="31">
        <v>68000</v>
      </c>
      <c r="D35" s="26">
        <f>3777.45822336492+11641+9531</f>
        <v>24949.45822336492</v>
      </c>
      <c r="E35" s="26">
        <f t="shared" si="30"/>
        <v>43050.54177663508</v>
      </c>
      <c r="F35" s="3">
        <v>15</v>
      </c>
      <c r="G35" s="3">
        <f t="shared" si="31"/>
        <v>2.3095890410958906</v>
      </c>
      <c r="H35" s="3">
        <f t="shared" si="32"/>
        <v>12.69041095890411</v>
      </c>
      <c r="I35" s="26">
        <f t="shared" si="33"/>
        <v>3400</v>
      </c>
      <c r="J35" s="28">
        <f t="shared" si="34"/>
        <v>64600</v>
      </c>
      <c r="K35" s="26">
        <f t="shared" si="35"/>
        <v>0</v>
      </c>
      <c r="L35" s="4">
        <f t="shared" si="36"/>
        <v>0.18130261326014208</v>
      </c>
      <c r="M35" s="150">
        <f t="shared" si="37"/>
        <v>7805</v>
      </c>
      <c r="N35" s="42">
        <f t="shared" si="38"/>
        <v>0</v>
      </c>
      <c r="O35" s="150">
        <f t="shared" si="39"/>
        <v>35245.54177663508</v>
      </c>
    </row>
    <row r="36" spans="1:18" x14ac:dyDescent="0.25">
      <c r="A36" s="17">
        <v>43078</v>
      </c>
      <c r="B36" s="83" t="s">
        <v>73</v>
      </c>
      <c r="C36" s="31">
        <v>350000</v>
      </c>
      <c r="D36" s="26">
        <f>19442.7996790842+59919+49058</f>
        <v>128419.7996790842</v>
      </c>
      <c r="E36" s="26">
        <f t="shared" si="30"/>
        <v>221580.20032091578</v>
      </c>
      <c r="F36" s="3">
        <v>15</v>
      </c>
      <c r="G36" s="3">
        <f t="shared" si="31"/>
        <v>2.3095890410958906</v>
      </c>
      <c r="H36" s="3">
        <f t="shared" si="32"/>
        <v>12.69041095890411</v>
      </c>
      <c r="I36" s="26">
        <f t="shared" si="33"/>
        <v>17500</v>
      </c>
      <c r="J36" s="28">
        <f t="shared" si="34"/>
        <v>332500</v>
      </c>
      <c r="K36" s="26">
        <f t="shared" si="35"/>
        <v>0</v>
      </c>
      <c r="L36" s="4">
        <f t="shared" si="36"/>
        <v>0.18130160280573049</v>
      </c>
      <c r="M36" s="150">
        <f t="shared" si="37"/>
        <v>40173</v>
      </c>
      <c r="N36" s="42">
        <f t="shared" si="38"/>
        <v>0</v>
      </c>
      <c r="O36" s="150">
        <f t="shared" si="39"/>
        <v>181407.20032091578</v>
      </c>
    </row>
    <row r="37" spans="1:18" x14ac:dyDescent="0.25">
      <c r="A37" s="17">
        <v>43080</v>
      </c>
      <c r="B37" s="83" t="s">
        <v>78</v>
      </c>
      <c r="C37" s="31">
        <v>13000</v>
      </c>
      <c r="D37" s="26">
        <f>709.265396456386+2228+1824</f>
        <v>4761.265396456386</v>
      </c>
      <c r="E37" s="26">
        <f t="shared" si="30"/>
        <v>8238.734603543613</v>
      </c>
      <c r="F37" s="3">
        <v>15</v>
      </c>
      <c r="G37" s="3">
        <f t="shared" si="31"/>
        <v>2.3041095890410959</v>
      </c>
      <c r="H37" s="3">
        <f t="shared" si="32"/>
        <v>12.695890410958905</v>
      </c>
      <c r="I37" s="26">
        <f t="shared" si="33"/>
        <v>650</v>
      </c>
      <c r="J37" s="28">
        <f t="shared" si="34"/>
        <v>12350</v>
      </c>
      <c r="K37" s="26">
        <f t="shared" si="35"/>
        <v>0</v>
      </c>
      <c r="L37" s="4">
        <f t="shared" si="36"/>
        <v>0.18129836902301277</v>
      </c>
      <c r="M37" s="150">
        <f t="shared" si="37"/>
        <v>1494</v>
      </c>
      <c r="N37" s="42">
        <f t="shared" si="38"/>
        <v>0</v>
      </c>
      <c r="O37" s="150">
        <f t="shared" si="39"/>
        <v>6744.734603543613</v>
      </c>
    </row>
    <row r="38" spans="1:18" x14ac:dyDescent="0.25">
      <c r="A38" s="17">
        <v>43189</v>
      </c>
      <c r="B38" s="83" t="s">
        <v>78</v>
      </c>
      <c r="C38" s="31">
        <v>63800</v>
      </c>
      <c r="D38" s="26">
        <f>31.6441484572849+11545+9454</f>
        <v>21030.644148457286</v>
      </c>
      <c r="E38" s="26">
        <f t="shared" si="30"/>
        <v>42769.355851542714</v>
      </c>
      <c r="F38" s="3">
        <v>15</v>
      </c>
      <c r="G38" s="3">
        <f t="shared" si="31"/>
        <v>2.0054794520547947</v>
      </c>
      <c r="H38" s="3">
        <f t="shared" si="32"/>
        <v>12.994520547945205</v>
      </c>
      <c r="I38" s="26">
        <f t="shared" si="33"/>
        <v>3190</v>
      </c>
      <c r="J38" s="28">
        <f t="shared" si="34"/>
        <v>60610</v>
      </c>
      <c r="K38" s="26">
        <f t="shared" si="35"/>
        <v>0</v>
      </c>
      <c r="L38" s="4">
        <f t="shared" si="36"/>
        <v>0.1810737060395603</v>
      </c>
      <c r="M38" s="150">
        <f t="shared" si="37"/>
        <v>7744</v>
      </c>
      <c r="N38" s="42">
        <f t="shared" si="38"/>
        <v>0</v>
      </c>
      <c r="O38" s="150">
        <f t="shared" si="39"/>
        <v>35025.355851542714</v>
      </c>
    </row>
    <row r="39" spans="1:18" x14ac:dyDescent="0.25">
      <c r="A39" s="17"/>
      <c r="B39" s="83"/>
      <c r="C39" s="31"/>
      <c r="D39" s="26"/>
      <c r="E39" s="26"/>
      <c r="F39" s="3"/>
      <c r="G39" s="3"/>
      <c r="H39" s="3"/>
      <c r="I39" s="26"/>
      <c r="J39" s="28"/>
      <c r="K39" s="26"/>
      <c r="L39" s="4"/>
      <c r="M39" s="32"/>
      <c r="N39" s="42"/>
      <c r="O39" s="32"/>
    </row>
    <row r="40" spans="1:18" x14ac:dyDescent="0.25">
      <c r="A40" s="227" t="s">
        <v>103</v>
      </c>
      <c r="B40" s="227"/>
      <c r="C40" s="25"/>
      <c r="D40" s="26"/>
      <c r="E40" s="26"/>
      <c r="F40" s="3"/>
      <c r="G40" s="3"/>
      <c r="H40" s="3"/>
      <c r="I40" s="26"/>
      <c r="J40" s="26"/>
      <c r="K40" s="26"/>
      <c r="L40" s="4"/>
      <c r="M40" s="32"/>
      <c r="N40" s="32"/>
      <c r="O40" s="32"/>
    </row>
    <row r="41" spans="1:18" x14ac:dyDescent="0.25">
      <c r="A41" s="232" t="s">
        <v>79</v>
      </c>
      <c r="B41" s="232"/>
      <c r="C41" s="25"/>
      <c r="D41" s="26"/>
      <c r="E41" s="26"/>
      <c r="F41" s="3"/>
      <c r="G41" s="3"/>
      <c r="H41" s="3"/>
      <c r="I41" s="26"/>
      <c r="J41" s="28"/>
      <c r="K41" s="26"/>
      <c r="L41" s="4"/>
      <c r="M41" s="32"/>
      <c r="N41" s="42"/>
      <c r="O41" s="32"/>
      <c r="R41" s="57"/>
    </row>
    <row r="42" spans="1:18" x14ac:dyDescent="0.25">
      <c r="A42" s="17">
        <v>43009</v>
      </c>
      <c r="B42" s="83" t="s">
        <v>43</v>
      </c>
      <c r="C42" s="31">
        <f>621768.5</f>
        <v>621768.5</v>
      </c>
      <c r="D42" s="26">
        <f>55818.9697003391+102617+84010</f>
        <v>242445.9697003391</v>
      </c>
      <c r="E42" s="26">
        <f t="shared" ref="E42:E57" si="40">C42-D42</f>
        <v>379322.53029966087</v>
      </c>
      <c r="F42" s="3">
        <v>15</v>
      </c>
      <c r="G42" s="3">
        <f t="shared" ref="G42" si="41">($B$108-A42)/365</f>
        <v>2.4986301369863013</v>
      </c>
      <c r="H42" s="3">
        <f t="shared" ref="H42" si="42">F42-G42</f>
        <v>12.501369863013698</v>
      </c>
      <c r="I42" s="26">
        <f t="shared" ref="I42:I57" si="43">ROUND(C42*5%,0.1)</f>
        <v>31088</v>
      </c>
      <c r="J42" s="28">
        <f t="shared" ref="J42:J57" si="44">C42-I42</f>
        <v>590680.5</v>
      </c>
      <c r="K42" s="26">
        <f>IF(D42&gt;J42,(D42-J42),(0))</f>
        <v>0</v>
      </c>
      <c r="L42" s="4">
        <f t="shared" ref="L42:L57" si="45">IF(H42&gt;0,((1)-(I42/E42)^(1/H42)),(0))</f>
        <v>0.1813537905834256</v>
      </c>
      <c r="M42" s="150">
        <f t="shared" ref="M42:M57" si="46">ROUND(E42*L42,0.1)</f>
        <v>68792</v>
      </c>
      <c r="N42" s="42">
        <f>IF(AND(H42&lt;0,J42&gt;D42),(J42-D42),0)</f>
        <v>0</v>
      </c>
      <c r="O42" s="32">
        <f t="shared" ref="O42:O57" si="47">E42-SUM(M42:M42)</f>
        <v>310530.53029966087</v>
      </c>
      <c r="R42" s="57"/>
    </row>
    <row r="43" spans="1:18" x14ac:dyDescent="0.25">
      <c r="A43" s="17">
        <v>43009</v>
      </c>
      <c r="B43" s="83" t="s">
        <v>45</v>
      </c>
      <c r="C43" s="31">
        <v>210000</v>
      </c>
      <c r="D43" s="26">
        <f>18852.5718316834+34658+28374</f>
        <v>81884.571831683395</v>
      </c>
      <c r="E43" s="26">
        <f t="shared" ref="E43:E54" si="48">C43-D43</f>
        <v>128115.4281683166</v>
      </c>
      <c r="F43" s="3">
        <v>15</v>
      </c>
      <c r="G43" s="3">
        <f t="shared" ref="G43:G54" si="49">($B$108-A43)/365</f>
        <v>2.4986301369863013</v>
      </c>
      <c r="H43" s="3">
        <f t="shared" ref="H43:H54" si="50">F43-G43</f>
        <v>12.501369863013698</v>
      </c>
      <c r="I43" s="26">
        <f t="shared" ref="I43:I54" si="51">ROUND(C43*5%,0.1)</f>
        <v>10500</v>
      </c>
      <c r="J43" s="28">
        <f t="shared" ref="J43:J54" si="52">C43-I43</f>
        <v>199500</v>
      </c>
      <c r="K43" s="26">
        <f t="shared" ref="K43:K54" si="53">IF(D43&gt;J43,(D43-J43),(0))</f>
        <v>0</v>
      </c>
      <c r="L43" s="4">
        <f t="shared" ref="L43:L54" si="54">IF(H43&gt;0,((1)-(I43/E43)^(1/H43)),(0))</f>
        <v>0.18135322931417053</v>
      </c>
      <c r="M43" s="150">
        <f t="shared" ref="M43:M54" si="55">ROUND(E43*L43,0.1)</f>
        <v>23234</v>
      </c>
      <c r="N43" s="42">
        <f t="shared" ref="N43:N54" si="56">IF(AND(H43&lt;0,J43&gt;D43),(J43-D43),0)</f>
        <v>0</v>
      </c>
      <c r="O43" s="32">
        <f t="shared" ref="O43:O54" si="57">E43-SUM(M43:M43)</f>
        <v>104881.4281683166</v>
      </c>
      <c r="R43" s="57"/>
    </row>
    <row r="44" spans="1:18" x14ac:dyDescent="0.25">
      <c r="A44" s="17">
        <v>43009</v>
      </c>
      <c r="B44" s="83" t="s">
        <v>44</v>
      </c>
      <c r="C44" s="31">
        <v>299000</v>
      </c>
      <c r="D44" s="26">
        <f>26842.471322254+49347+40399</f>
        <v>116588.471322254</v>
      </c>
      <c r="E44" s="26">
        <f t="shared" si="48"/>
        <v>182411.52867774601</v>
      </c>
      <c r="F44" s="3">
        <v>15</v>
      </c>
      <c r="G44" s="3">
        <f t="shared" si="49"/>
        <v>2.4986301369863013</v>
      </c>
      <c r="H44" s="3">
        <f t="shared" si="50"/>
        <v>12.501369863013698</v>
      </c>
      <c r="I44" s="26">
        <f t="shared" si="51"/>
        <v>14950</v>
      </c>
      <c r="J44" s="28">
        <f t="shared" si="52"/>
        <v>284050</v>
      </c>
      <c r="K44" s="26">
        <f t="shared" si="53"/>
        <v>0</v>
      </c>
      <c r="L44" s="4">
        <f t="shared" si="54"/>
        <v>0.18135307204097229</v>
      </c>
      <c r="M44" s="150">
        <f t="shared" si="55"/>
        <v>33081</v>
      </c>
      <c r="N44" s="42">
        <f t="shared" si="56"/>
        <v>0</v>
      </c>
      <c r="O44" s="32">
        <f t="shared" si="57"/>
        <v>149330.52867774601</v>
      </c>
      <c r="R44" s="57"/>
    </row>
    <row r="45" spans="1:18" x14ac:dyDescent="0.25">
      <c r="A45" s="17">
        <v>43102</v>
      </c>
      <c r="B45" s="83" t="s">
        <v>44</v>
      </c>
      <c r="C45" s="31">
        <v>598000</v>
      </c>
      <c r="D45" s="26">
        <f>26100.966589595+103646+84862</f>
        <v>214608.96658959502</v>
      </c>
      <c r="E45" s="26">
        <f t="shared" si="48"/>
        <v>383391.03341040498</v>
      </c>
      <c r="F45" s="3">
        <v>15</v>
      </c>
      <c r="G45" s="3">
        <f t="shared" si="49"/>
        <v>2.2438356164383562</v>
      </c>
      <c r="H45" s="3">
        <f t="shared" si="50"/>
        <v>12.756164383561643</v>
      </c>
      <c r="I45" s="26">
        <f t="shared" si="51"/>
        <v>29900</v>
      </c>
      <c r="J45" s="28">
        <f t="shared" si="52"/>
        <v>568100</v>
      </c>
      <c r="K45" s="26">
        <f t="shared" si="53"/>
        <v>0</v>
      </c>
      <c r="L45" s="4">
        <f t="shared" si="54"/>
        <v>0.18126694185768477</v>
      </c>
      <c r="M45" s="150">
        <f t="shared" si="55"/>
        <v>69496</v>
      </c>
      <c r="N45" s="42">
        <f t="shared" si="56"/>
        <v>0</v>
      </c>
      <c r="O45" s="32">
        <f t="shared" si="57"/>
        <v>313895.03341040498</v>
      </c>
      <c r="R45" s="57"/>
    </row>
    <row r="46" spans="1:18" x14ac:dyDescent="0.25">
      <c r="A46" s="17">
        <v>43131</v>
      </c>
      <c r="B46" s="83" t="s">
        <v>46</v>
      </c>
      <c r="C46" s="31">
        <v>35000</v>
      </c>
      <c r="D46" s="26">
        <f>1024.21891166604+6156+5040</f>
        <v>12220.218911666041</v>
      </c>
      <c r="E46" s="26">
        <f t="shared" si="48"/>
        <v>22779.781088333959</v>
      </c>
      <c r="F46" s="3">
        <v>15</v>
      </c>
      <c r="G46" s="3">
        <f t="shared" si="49"/>
        <v>2.1643835616438358</v>
      </c>
      <c r="H46" s="3">
        <f t="shared" si="50"/>
        <v>12.835616438356164</v>
      </c>
      <c r="I46" s="26">
        <f t="shared" si="51"/>
        <v>1750</v>
      </c>
      <c r="J46" s="28">
        <f t="shared" si="52"/>
        <v>33250</v>
      </c>
      <c r="K46" s="26">
        <f t="shared" si="53"/>
        <v>0</v>
      </c>
      <c r="L46" s="4">
        <f t="shared" si="54"/>
        <v>0.18121402389504637</v>
      </c>
      <c r="M46" s="150">
        <f t="shared" si="55"/>
        <v>4128</v>
      </c>
      <c r="N46" s="42">
        <f t="shared" si="56"/>
        <v>0</v>
      </c>
      <c r="O46" s="32">
        <f t="shared" si="57"/>
        <v>18651.781088333959</v>
      </c>
      <c r="R46" s="57"/>
    </row>
    <row r="47" spans="1:18" s="147" customFormat="1" x14ac:dyDescent="0.25">
      <c r="A47" s="17">
        <v>43295</v>
      </c>
      <c r="B47" s="83" t="s">
        <v>71</v>
      </c>
      <c r="C47" s="31">
        <v>295000</v>
      </c>
      <c r="D47" s="26">
        <f>38042.4167190244+46580</f>
        <v>84622.41671902439</v>
      </c>
      <c r="E47" s="26">
        <f t="shared" si="48"/>
        <v>210377.58328097561</v>
      </c>
      <c r="F47" s="3">
        <v>15</v>
      </c>
      <c r="G47" s="3">
        <f t="shared" si="49"/>
        <v>1.715068493150685</v>
      </c>
      <c r="H47" s="3">
        <f t="shared" si="50"/>
        <v>13.284931506849315</v>
      </c>
      <c r="I47" s="26">
        <f t="shared" si="51"/>
        <v>14750</v>
      </c>
      <c r="J47" s="28">
        <f t="shared" si="52"/>
        <v>280250</v>
      </c>
      <c r="K47" s="26">
        <f t="shared" si="53"/>
        <v>0</v>
      </c>
      <c r="L47" s="4">
        <f t="shared" si="54"/>
        <v>0.18131081724682707</v>
      </c>
      <c r="M47" s="150">
        <f t="shared" si="55"/>
        <v>38144</v>
      </c>
      <c r="N47" s="42">
        <f t="shared" si="56"/>
        <v>0</v>
      </c>
      <c r="O47" s="32">
        <f t="shared" si="57"/>
        <v>172233.58328097561</v>
      </c>
      <c r="P47" s="145"/>
      <c r="Q47" s="145"/>
      <c r="R47" s="146"/>
    </row>
    <row r="48" spans="1:18" s="147" customFormat="1" x14ac:dyDescent="0.25">
      <c r="A48" s="17">
        <v>43227</v>
      </c>
      <c r="B48" s="83" t="s">
        <v>71</v>
      </c>
      <c r="C48" s="31">
        <v>46566</v>
      </c>
      <c r="D48" s="26">
        <f>7575.86782530629+7063</f>
        <v>14638.86782530629</v>
      </c>
      <c r="E48" s="26">
        <f t="shared" si="48"/>
        <v>31927.13217469371</v>
      </c>
      <c r="F48" s="3">
        <v>15</v>
      </c>
      <c r="G48" s="3">
        <f t="shared" si="49"/>
        <v>1.9013698630136986</v>
      </c>
      <c r="H48" s="3">
        <f t="shared" si="50"/>
        <v>13.098630136986301</v>
      </c>
      <c r="I48" s="26">
        <f t="shared" si="51"/>
        <v>2328</v>
      </c>
      <c r="J48" s="28">
        <f t="shared" si="52"/>
        <v>44238</v>
      </c>
      <c r="K48" s="26">
        <f t="shared" si="53"/>
        <v>0</v>
      </c>
      <c r="L48" s="4">
        <f t="shared" si="54"/>
        <v>0.18118927587248679</v>
      </c>
      <c r="M48" s="150">
        <f t="shared" si="55"/>
        <v>5785</v>
      </c>
      <c r="N48" s="42">
        <f t="shared" si="56"/>
        <v>0</v>
      </c>
      <c r="O48" s="32">
        <f t="shared" si="57"/>
        <v>26142.13217469371</v>
      </c>
      <c r="P48" s="145"/>
      <c r="Q48" s="145"/>
      <c r="R48" s="146"/>
    </row>
    <row r="49" spans="1:18" s="147" customFormat="1" x14ac:dyDescent="0.25">
      <c r="A49" s="17">
        <v>43227</v>
      </c>
      <c r="B49" s="83" t="s">
        <v>71</v>
      </c>
      <c r="C49" s="31">
        <v>54327</v>
      </c>
      <c r="D49" s="26">
        <f>8838.51246285734+8240</f>
        <v>17078.512462857339</v>
      </c>
      <c r="E49" s="26">
        <f t="shared" si="48"/>
        <v>37248.487537142661</v>
      </c>
      <c r="F49" s="3">
        <v>15</v>
      </c>
      <c r="G49" s="3">
        <f t="shared" si="49"/>
        <v>1.9013698630136986</v>
      </c>
      <c r="H49" s="3">
        <f t="shared" si="50"/>
        <v>13.098630136986301</v>
      </c>
      <c r="I49" s="26">
        <f t="shared" si="51"/>
        <v>2716</v>
      </c>
      <c r="J49" s="28">
        <f t="shared" si="52"/>
        <v>51611</v>
      </c>
      <c r="K49" s="26">
        <f t="shared" si="53"/>
        <v>0</v>
      </c>
      <c r="L49" s="4">
        <f t="shared" si="54"/>
        <v>0.18118955557646732</v>
      </c>
      <c r="M49" s="150">
        <f t="shared" si="55"/>
        <v>6749</v>
      </c>
      <c r="N49" s="42">
        <f t="shared" si="56"/>
        <v>0</v>
      </c>
      <c r="O49" s="32">
        <f t="shared" si="57"/>
        <v>30499.487537142661</v>
      </c>
      <c r="P49" s="145"/>
      <c r="Q49" s="145"/>
      <c r="R49" s="146"/>
    </row>
    <row r="50" spans="1:18" x14ac:dyDescent="0.25">
      <c r="A50" s="163">
        <v>43728</v>
      </c>
      <c r="B50" s="83"/>
      <c r="C50" s="162">
        <v>127000</v>
      </c>
      <c r="D50" s="26">
        <v>12157.20568709265</v>
      </c>
      <c r="E50" s="26">
        <f t="shared" si="48"/>
        <v>114842.79431290735</v>
      </c>
      <c r="F50" s="3">
        <v>15</v>
      </c>
      <c r="G50" s="3">
        <f t="shared" si="49"/>
        <v>0.52876712328767128</v>
      </c>
      <c r="H50" s="3">
        <f t="shared" si="50"/>
        <v>14.471232876712328</v>
      </c>
      <c r="I50" s="26">
        <f t="shared" si="51"/>
        <v>6350</v>
      </c>
      <c r="J50" s="28">
        <f t="shared" si="52"/>
        <v>120650</v>
      </c>
      <c r="K50" s="26">
        <f t="shared" si="53"/>
        <v>0</v>
      </c>
      <c r="L50" s="4">
        <f t="shared" si="54"/>
        <v>0.18131805955401914</v>
      </c>
      <c r="M50" s="150">
        <f t="shared" si="55"/>
        <v>20823</v>
      </c>
      <c r="N50" s="42">
        <f t="shared" si="56"/>
        <v>0</v>
      </c>
      <c r="O50" s="32">
        <f t="shared" si="57"/>
        <v>94019.794312907354</v>
      </c>
      <c r="R50" s="57"/>
    </row>
    <row r="51" spans="1:18" x14ac:dyDescent="0.25">
      <c r="A51" s="163">
        <v>43606</v>
      </c>
      <c r="B51" s="83"/>
      <c r="C51" s="162">
        <v>200000</v>
      </c>
      <c r="D51" s="26">
        <v>31247.356627099543</v>
      </c>
      <c r="E51" s="26">
        <f t="shared" si="48"/>
        <v>168752.64337290046</v>
      </c>
      <c r="F51" s="3">
        <v>15</v>
      </c>
      <c r="G51" s="3">
        <f t="shared" si="49"/>
        <v>0.86301369863013699</v>
      </c>
      <c r="H51" s="3">
        <f t="shared" si="50"/>
        <v>14.136986301369863</v>
      </c>
      <c r="I51" s="26">
        <f t="shared" si="51"/>
        <v>10000</v>
      </c>
      <c r="J51" s="28">
        <f t="shared" si="52"/>
        <v>190000</v>
      </c>
      <c r="K51" s="26">
        <f t="shared" si="53"/>
        <v>0</v>
      </c>
      <c r="L51" s="4">
        <f t="shared" si="54"/>
        <v>0.18117957019061171</v>
      </c>
      <c r="M51" s="150">
        <f t="shared" si="55"/>
        <v>30575</v>
      </c>
      <c r="N51" s="42">
        <f t="shared" si="56"/>
        <v>0</v>
      </c>
      <c r="O51" s="32">
        <f t="shared" si="57"/>
        <v>138177.64337290046</v>
      </c>
      <c r="R51" s="57"/>
    </row>
    <row r="52" spans="1:18" x14ac:dyDescent="0.25">
      <c r="A52" s="163">
        <v>43783</v>
      </c>
      <c r="B52" s="83"/>
      <c r="C52" s="162">
        <v>144068</v>
      </c>
      <c r="D52" s="26">
        <v>9861.1285732399447</v>
      </c>
      <c r="E52" s="26">
        <f t="shared" si="48"/>
        <v>134206.87142676004</v>
      </c>
      <c r="F52" s="3">
        <v>15</v>
      </c>
      <c r="G52" s="3">
        <f t="shared" si="49"/>
        <v>0.37808219178082192</v>
      </c>
      <c r="H52" s="3">
        <f t="shared" si="50"/>
        <v>14.621917808219179</v>
      </c>
      <c r="I52" s="26">
        <f t="shared" si="51"/>
        <v>7203</v>
      </c>
      <c r="J52" s="28">
        <f t="shared" si="52"/>
        <v>136865</v>
      </c>
      <c r="K52" s="26">
        <f t="shared" si="53"/>
        <v>0</v>
      </c>
      <c r="L52" s="4">
        <f t="shared" si="54"/>
        <v>0.18129731360707357</v>
      </c>
      <c r="M52" s="150">
        <f t="shared" si="55"/>
        <v>24331</v>
      </c>
      <c r="N52" s="42">
        <f t="shared" si="56"/>
        <v>0</v>
      </c>
      <c r="O52" s="32">
        <f t="shared" si="57"/>
        <v>109875.87142676004</v>
      </c>
      <c r="R52" s="57"/>
    </row>
    <row r="53" spans="1:18" x14ac:dyDescent="0.25">
      <c r="A53" s="163">
        <v>43642</v>
      </c>
      <c r="B53" s="83"/>
      <c r="C53" s="162">
        <v>90201.74</v>
      </c>
      <c r="D53" s="26">
        <v>12482.293200235106</v>
      </c>
      <c r="E53" s="26">
        <f t="shared" si="48"/>
        <v>77719.446799764904</v>
      </c>
      <c r="F53" s="3">
        <v>15</v>
      </c>
      <c r="G53" s="3">
        <f t="shared" si="49"/>
        <v>0.76438356164383559</v>
      </c>
      <c r="H53" s="3">
        <f t="shared" si="50"/>
        <v>14.235616438356164</v>
      </c>
      <c r="I53" s="26">
        <f t="shared" si="51"/>
        <v>4510</v>
      </c>
      <c r="J53" s="28">
        <f t="shared" si="52"/>
        <v>85691.74</v>
      </c>
      <c r="K53" s="26">
        <f t="shared" si="53"/>
        <v>0</v>
      </c>
      <c r="L53" s="4">
        <f t="shared" si="54"/>
        <v>0.18125113393997794</v>
      </c>
      <c r="M53" s="150">
        <f t="shared" si="55"/>
        <v>14087</v>
      </c>
      <c r="N53" s="42">
        <f t="shared" si="56"/>
        <v>0</v>
      </c>
      <c r="O53" s="32">
        <f t="shared" si="57"/>
        <v>63632.446799764904</v>
      </c>
      <c r="R53" s="57"/>
    </row>
    <row r="54" spans="1:18" x14ac:dyDescent="0.25">
      <c r="A54" s="163">
        <v>43739</v>
      </c>
      <c r="B54" s="83"/>
      <c r="C54" s="162">
        <v>138000</v>
      </c>
      <c r="D54" s="26">
        <v>12457.27950867035</v>
      </c>
      <c r="E54" s="26">
        <f t="shared" si="48"/>
        <v>125542.72049132964</v>
      </c>
      <c r="F54" s="3">
        <v>15</v>
      </c>
      <c r="G54" s="3">
        <f t="shared" si="49"/>
        <v>0.49863013698630138</v>
      </c>
      <c r="H54" s="3">
        <f t="shared" si="50"/>
        <v>14.501369863013698</v>
      </c>
      <c r="I54" s="26">
        <f t="shared" si="51"/>
        <v>6900</v>
      </c>
      <c r="J54" s="28">
        <f t="shared" si="52"/>
        <v>131100</v>
      </c>
      <c r="K54" s="26">
        <f t="shared" si="53"/>
        <v>0</v>
      </c>
      <c r="L54" s="4">
        <f t="shared" si="54"/>
        <v>0.18131727612137072</v>
      </c>
      <c r="M54" s="150">
        <f t="shared" si="55"/>
        <v>22763</v>
      </c>
      <c r="N54" s="42">
        <f t="shared" si="56"/>
        <v>0</v>
      </c>
      <c r="O54" s="32">
        <f t="shared" si="57"/>
        <v>102779.72049132964</v>
      </c>
      <c r="R54" s="57"/>
    </row>
    <row r="55" spans="1:18" x14ac:dyDescent="0.25">
      <c r="A55" s="163"/>
      <c r="B55" s="83"/>
      <c r="C55" s="31"/>
      <c r="D55" s="26"/>
      <c r="E55" s="26"/>
      <c r="F55" s="3"/>
      <c r="G55" s="3"/>
      <c r="H55" s="3"/>
      <c r="I55" s="26"/>
      <c r="J55" s="28"/>
      <c r="K55" s="26"/>
      <c r="L55" s="4"/>
      <c r="M55" s="150"/>
      <c r="N55" s="42"/>
      <c r="O55" s="32"/>
      <c r="R55" s="57"/>
    </row>
    <row r="56" spans="1:18" x14ac:dyDescent="0.25">
      <c r="A56" s="90" t="s">
        <v>80</v>
      </c>
      <c r="B56" s="83"/>
      <c r="C56" s="31"/>
      <c r="D56" s="26"/>
      <c r="E56" s="26"/>
      <c r="F56" s="3"/>
      <c r="G56" s="3"/>
      <c r="H56" s="3"/>
      <c r="I56" s="26"/>
      <c r="J56" s="28"/>
      <c r="K56" s="26"/>
      <c r="L56" s="4"/>
      <c r="M56" s="150"/>
      <c r="N56" s="42"/>
      <c r="O56" s="32"/>
      <c r="R56" s="57"/>
    </row>
    <row r="57" spans="1:18" x14ac:dyDescent="0.25">
      <c r="A57" s="17">
        <v>43009</v>
      </c>
      <c r="B57" s="83" t="s">
        <v>61</v>
      </c>
      <c r="C57" s="31">
        <v>11881742</v>
      </c>
      <c r="D57" s="26">
        <f>1066673.36148469+1960957+1605402</f>
        <v>4633032.3614846896</v>
      </c>
      <c r="E57" s="26">
        <f t="shared" si="40"/>
        <v>7248709.6385153104</v>
      </c>
      <c r="F57" s="3">
        <v>15</v>
      </c>
      <c r="G57" s="3">
        <f>($B$108-A57)/365</f>
        <v>2.4986301369863013</v>
      </c>
      <c r="H57" s="3">
        <f>F57-G57</f>
        <v>12.501369863013698</v>
      </c>
      <c r="I57" s="26">
        <f t="shared" si="43"/>
        <v>594087</v>
      </c>
      <c r="J57" s="28">
        <f t="shared" si="44"/>
        <v>11287655</v>
      </c>
      <c r="K57" s="26">
        <f>IF(D57&gt;J57,(D57-J57),(0))</f>
        <v>0</v>
      </c>
      <c r="L57" s="4">
        <f t="shared" si="45"/>
        <v>0.18135300633068863</v>
      </c>
      <c r="M57" s="150">
        <f t="shared" si="46"/>
        <v>1314575</v>
      </c>
      <c r="N57" s="42">
        <f>IF(AND(H57&lt;0,J57&gt;D57),(J57-D57),0)</f>
        <v>0</v>
      </c>
      <c r="O57" s="32">
        <f t="shared" si="47"/>
        <v>5934134.6385153104</v>
      </c>
      <c r="R57" s="57"/>
    </row>
    <row r="58" spans="1:18" x14ac:dyDescent="0.25">
      <c r="A58" s="17">
        <v>43026</v>
      </c>
      <c r="B58" s="83" t="s">
        <v>61</v>
      </c>
      <c r="C58" s="31">
        <v>1437100</v>
      </c>
      <c r="D58" s="26">
        <f>116897.055527682+239368+195968</f>
        <v>552233.05552768195</v>
      </c>
      <c r="E58" s="26">
        <f t="shared" ref="E58:E60" si="58">C58-D58</f>
        <v>884866.94447231805</v>
      </c>
      <c r="F58" s="3">
        <v>15</v>
      </c>
      <c r="G58" s="3">
        <f t="shared" ref="G58:G60" si="59">($B$108-A58)/365</f>
        <v>2.452054794520548</v>
      </c>
      <c r="H58" s="3">
        <f t="shared" ref="H58:H60" si="60">F58-G58</f>
        <v>12.547945205479452</v>
      </c>
      <c r="I58" s="26">
        <f t="shared" ref="I58:I60" si="61">ROUND(C58*5%,0.1)</f>
        <v>71855</v>
      </c>
      <c r="J58" s="28">
        <f t="shared" ref="J58:J60" si="62">C58-I58</f>
        <v>1365245</v>
      </c>
      <c r="K58" s="26">
        <f t="shared" ref="K58:K60" si="63">IF(D58&gt;J58,(D58-J58),(0))</f>
        <v>0</v>
      </c>
      <c r="L58" s="4">
        <f t="shared" ref="L58:L60" si="64">IF(H58&gt;0,((1)-(I58/E58)^(1/H58)),(0))</f>
        <v>0.18134741364820683</v>
      </c>
      <c r="M58" s="150">
        <f t="shared" ref="M58:M60" si="65">ROUND(E58*L58,0.1)</f>
        <v>160468</v>
      </c>
      <c r="N58" s="42">
        <f t="shared" ref="N58:N60" si="66">IF(AND(H58&lt;0,J58&gt;D58),(J58-D58),0)</f>
        <v>0</v>
      </c>
      <c r="O58" s="32">
        <f t="shared" ref="O58:O60" si="67">E58-SUM(M58:M58)</f>
        <v>724398.94447231805</v>
      </c>
      <c r="R58" s="57"/>
    </row>
    <row r="59" spans="1:18" x14ac:dyDescent="0.25">
      <c r="A59" s="17">
        <v>43046</v>
      </c>
      <c r="B59" s="83" t="s">
        <v>62</v>
      </c>
      <c r="C59" s="31">
        <v>178880</v>
      </c>
      <c r="D59" s="26">
        <f>12776.0620650413+30115+24655</f>
        <v>67546.062065041304</v>
      </c>
      <c r="E59" s="26">
        <f t="shared" si="58"/>
        <v>111333.9379349587</v>
      </c>
      <c r="F59" s="3">
        <v>15</v>
      </c>
      <c r="G59" s="3">
        <f t="shared" si="59"/>
        <v>2.3972602739726026</v>
      </c>
      <c r="H59" s="3">
        <f t="shared" si="60"/>
        <v>12.602739726027398</v>
      </c>
      <c r="I59" s="26">
        <f t="shared" si="61"/>
        <v>8944</v>
      </c>
      <c r="J59" s="28">
        <f t="shared" si="62"/>
        <v>169936</v>
      </c>
      <c r="K59" s="26">
        <f t="shared" si="63"/>
        <v>0</v>
      </c>
      <c r="L59" s="4">
        <f t="shared" si="64"/>
        <v>0.18133442147691015</v>
      </c>
      <c r="M59" s="150">
        <f t="shared" si="65"/>
        <v>20189</v>
      </c>
      <c r="N59" s="42">
        <f t="shared" si="66"/>
        <v>0</v>
      </c>
      <c r="O59" s="32">
        <f t="shared" si="67"/>
        <v>91144.937934958696</v>
      </c>
      <c r="R59" s="57"/>
    </row>
    <row r="60" spans="1:18" x14ac:dyDescent="0.25">
      <c r="A60" s="17">
        <v>43067</v>
      </c>
      <c r="B60" s="83" t="s">
        <v>62</v>
      </c>
      <c r="C60" s="31">
        <v>167523</v>
      </c>
      <c r="D60" s="26">
        <f>10220.0879532254+28516+23347</f>
        <v>62083.087953225404</v>
      </c>
      <c r="E60" s="26">
        <f t="shared" si="58"/>
        <v>105439.9120467746</v>
      </c>
      <c r="F60" s="3">
        <v>15</v>
      </c>
      <c r="G60" s="3">
        <f t="shared" si="59"/>
        <v>2.3397260273972602</v>
      </c>
      <c r="H60" s="3">
        <f t="shared" si="60"/>
        <v>12.66027397260274</v>
      </c>
      <c r="I60" s="26">
        <f t="shared" si="61"/>
        <v>8376</v>
      </c>
      <c r="J60" s="28">
        <f t="shared" si="62"/>
        <v>159147</v>
      </c>
      <c r="K60" s="26">
        <f t="shared" si="63"/>
        <v>0</v>
      </c>
      <c r="L60" s="4">
        <f t="shared" si="64"/>
        <v>0.18131554677812889</v>
      </c>
      <c r="M60" s="150">
        <f t="shared" si="65"/>
        <v>19118</v>
      </c>
      <c r="N60" s="42">
        <f t="shared" si="66"/>
        <v>0</v>
      </c>
      <c r="O60" s="32">
        <f t="shared" si="67"/>
        <v>86321.912046774596</v>
      </c>
      <c r="R60" s="57"/>
    </row>
    <row r="61" spans="1:18" x14ac:dyDescent="0.25">
      <c r="A61" s="17"/>
      <c r="B61" s="83"/>
      <c r="C61" s="31"/>
      <c r="D61" s="26"/>
      <c r="E61" s="26"/>
      <c r="F61" s="3"/>
      <c r="G61" s="3"/>
      <c r="H61" s="3"/>
      <c r="I61" s="26"/>
      <c r="J61" s="28"/>
      <c r="K61" s="26"/>
      <c r="L61" s="4"/>
      <c r="M61" s="150"/>
      <c r="N61" s="42"/>
      <c r="O61" s="32"/>
      <c r="R61" s="57"/>
    </row>
    <row r="62" spans="1:18" x14ac:dyDescent="0.25">
      <c r="A62" s="90" t="s">
        <v>81</v>
      </c>
      <c r="B62" s="83"/>
      <c r="C62" s="31"/>
      <c r="D62" s="26"/>
      <c r="E62" s="26"/>
      <c r="F62" s="3"/>
      <c r="G62" s="3"/>
      <c r="H62" s="3"/>
      <c r="I62" s="26"/>
      <c r="J62" s="28"/>
      <c r="K62" s="26"/>
      <c r="L62" s="4"/>
      <c r="M62" s="150"/>
      <c r="N62" s="42"/>
      <c r="O62" s="32"/>
      <c r="R62" s="57"/>
    </row>
    <row r="63" spans="1:18" x14ac:dyDescent="0.25">
      <c r="A63" s="17">
        <v>43009</v>
      </c>
      <c r="B63" s="83" t="s">
        <v>63</v>
      </c>
      <c r="C63" s="31">
        <v>10150</v>
      </c>
      <c r="D63" s="26">
        <f>910.937018759546+1675+1371</f>
        <v>3956.9370187595459</v>
      </c>
      <c r="E63" s="26">
        <f>C63-D63</f>
        <v>6193.0629812404541</v>
      </c>
      <c r="F63" s="3">
        <v>15</v>
      </c>
      <c r="G63" s="3">
        <f>($B$108-A63)/365</f>
        <v>2.4986301369863013</v>
      </c>
      <c r="H63" s="3">
        <f>F63-G63</f>
        <v>12.501369863013698</v>
      </c>
      <c r="I63" s="26">
        <f>ROUND(C63*5%,0.1)</f>
        <v>508</v>
      </c>
      <c r="J63" s="28">
        <f>C63-I63</f>
        <v>9642</v>
      </c>
      <c r="K63" s="26">
        <f>IF(D63&gt;J63,(D63-J63),(0))</f>
        <v>0</v>
      </c>
      <c r="L63" s="4">
        <f>IF(H63&gt;0,((1)-(I63/E63)^(1/H63)),(0))</f>
        <v>0.18129738479786417</v>
      </c>
      <c r="M63" s="150">
        <f>ROUND(E63*L63,0.1)</f>
        <v>1123</v>
      </c>
      <c r="N63" s="42">
        <f>IF(AND(H63&lt;0,J63&gt;D63),(J63-D63),0)</f>
        <v>0</v>
      </c>
      <c r="O63" s="32">
        <f>E63-SUM(M63:M63)</f>
        <v>5070.0629812404541</v>
      </c>
      <c r="R63" s="57"/>
    </row>
    <row r="64" spans="1:18" x14ac:dyDescent="0.25">
      <c r="A64" s="17">
        <v>43009</v>
      </c>
      <c r="B64" s="83" t="s">
        <v>64</v>
      </c>
      <c r="C64" s="31">
        <v>17800</v>
      </c>
      <c r="D64" s="26">
        <f>1597.97989811412+2938+2405</f>
        <v>6940.9798981141203</v>
      </c>
      <c r="E64" s="26">
        <f t="shared" ref="E64:E79" si="68">C64-D64</f>
        <v>10859.020101885879</v>
      </c>
      <c r="F64" s="3">
        <v>15</v>
      </c>
      <c r="G64" s="3">
        <f t="shared" ref="G64:G79" si="69">($B$108-A64)/365</f>
        <v>2.4986301369863013</v>
      </c>
      <c r="H64" s="3">
        <f t="shared" ref="H64:H79" si="70">F64-G64</f>
        <v>12.501369863013698</v>
      </c>
      <c r="I64" s="26">
        <f t="shared" ref="I64:I79" si="71">ROUND(C64*5%,0.1)</f>
        <v>890</v>
      </c>
      <c r="J64" s="28">
        <f t="shared" ref="J64:J79" si="72">C64-I64</f>
        <v>16910</v>
      </c>
      <c r="K64" s="26">
        <f t="shared" ref="K64:K79" si="73">IF(D64&gt;J64,(D64-J64),(0))</f>
        <v>0</v>
      </c>
      <c r="L64" s="4">
        <f t="shared" ref="L64:L79" si="74">IF(H64&gt;0,((1)-(I64/E64)^(1/H64)),(0))</f>
        <v>0.18135149486864577</v>
      </c>
      <c r="M64" s="150">
        <f t="shared" ref="M64:M79" si="75">ROUND(E64*L64,0.1)</f>
        <v>1969</v>
      </c>
      <c r="N64" s="42">
        <f t="shared" ref="N64:N79" si="76">IF(AND(H64&lt;0,J64&gt;D64),(J64-D64),0)</f>
        <v>0</v>
      </c>
      <c r="O64" s="32">
        <f t="shared" ref="O64:O79" si="77">E64-SUM(M64:M64)</f>
        <v>8890.0201018858788</v>
      </c>
      <c r="R64" s="57"/>
    </row>
    <row r="65" spans="1:18" x14ac:dyDescent="0.25">
      <c r="A65" s="17">
        <v>43009</v>
      </c>
      <c r="B65" s="83" t="s">
        <v>65</v>
      </c>
      <c r="C65" s="31">
        <v>4400</v>
      </c>
      <c r="D65" s="26">
        <f>395.006266949557+726+595</f>
        <v>1716.0062669495569</v>
      </c>
      <c r="E65" s="26">
        <f t="shared" si="68"/>
        <v>2683.9937330504431</v>
      </c>
      <c r="F65" s="3">
        <v>15</v>
      </c>
      <c r="G65" s="3">
        <f t="shared" si="69"/>
        <v>2.4986301369863013</v>
      </c>
      <c r="H65" s="3">
        <f t="shared" si="70"/>
        <v>12.501369863013698</v>
      </c>
      <c r="I65" s="26">
        <f t="shared" si="71"/>
        <v>220</v>
      </c>
      <c r="J65" s="28">
        <f t="shared" si="72"/>
        <v>4180</v>
      </c>
      <c r="K65" s="26">
        <f t="shared" si="73"/>
        <v>0</v>
      </c>
      <c r="L65" s="4">
        <f t="shared" si="74"/>
        <v>0.18134518998659999</v>
      </c>
      <c r="M65" s="150">
        <f t="shared" si="75"/>
        <v>487</v>
      </c>
      <c r="N65" s="42">
        <f t="shared" si="76"/>
        <v>0</v>
      </c>
      <c r="O65" s="32">
        <f t="shared" si="77"/>
        <v>2196.9937330504431</v>
      </c>
      <c r="R65" s="57"/>
    </row>
    <row r="66" spans="1:18" x14ac:dyDescent="0.25">
      <c r="A66" s="17">
        <v>43009</v>
      </c>
      <c r="B66" s="83" t="s">
        <v>66</v>
      </c>
      <c r="C66" s="31">
        <v>3400</v>
      </c>
      <c r="D66" s="26">
        <f>305.232115370112+561+459</f>
        <v>1325.2321153701121</v>
      </c>
      <c r="E66" s="26">
        <f t="shared" si="68"/>
        <v>2074.7678846298877</v>
      </c>
      <c r="F66" s="3">
        <v>15</v>
      </c>
      <c r="G66" s="3">
        <f t="shared" si="69"/>
        <v>2.4986301369863013</v>
      </c>
      <c r="H66" s="3">
        <f t="shared" si="70"/>
        <v>12.501369863013698</v>
      </c>
      <c r="I66" s="26">
        <f t="shared" si="71"/>
        <v>170</v>
      </c>
      <c r="J66" s="28">
        <f t="shared" si="72"/>
        <v>3230</v>
      </c>
      <c r="K66" s="26">
        <f t="shared" si="73"/>
        <v>0</v>
      </c>
      <c r="L66" s="4">
        <f t="shared" si="74"/>
        <v>0.18136958349985444</v>
      </c>
      <c r="M66" s="150">
        <f t="shared" si="75"/>
        <v>376</v>
      </c>
      <c r="N66" s="42">
        <f t="shared" si="76"/>
        <v>0</v>
      </c>
      <c r="O66" s="32">
        <f t="shared" si="77"/>
        <v>1698.7678846298877</v>
      </c>
      <c r="R66" s="57"/>
    </row>
    <row r="67" spans="1:18" x14ac:dyDescent="0.25">
      <c r="A67" s="17">
        <v>43009</v>
      </c>
      <c r="B67" s="83" t="s">
        <v>67</v>
      </c>
      <c r="C67" s="31">
        <v>56500</v>
      </c>
      <c r="D67" s="26">
        <f>5072.23956423863+9325+7634</f>
        <v>22031.239564238629</v>
      </c>
      <c r="E67" s="26">
        <f t="shared" si="68"/>
        <v>34468.760435761375</v>
      </c>
      <c r="F67" s="3">
        <v>15</v>
      </c>
      <c r="G67" s="3">
        <f t="shared" si="69"/>
        <v>2.4986301369863013</v>
      </c>
      <c r="H67" s="3">
        <f t="shared" si="70"/>
        <v>12.501369863013698</v>
      </c>
      <c r="I67" s="26">
        <f t="shared" si="71"/>
        <v>2825</v>
      </c>
      <c r="J67" s="28">
        <f t="shared" si="72"/>
        <v>53675</v>
      </c>
      <c r="K67" s="26">
        <f t="shared" si="73"/>
        <v>0</v>
      </c>
      <c r="L67" s="4">
        <f t="shared" si="74"/>
        <v>0.18135248748214616</v>
      </c>
      <c r="M67" s="150">
        <f t="shared" si="75"/>
        <v>6251</v>
      </c>
      <c r="N67" s="42">
        <f t="shared" si="76"/>
        <v>0</v>
      </c>
      <c r="O67" s="32">
        <f t="shared" si="77"/>
        <v>28217.760435761375</v>
      </c>
      <c r="R67" s="57"/>
    </row>
    <row r="68" spans="1:18" x14ac:dyDescent="0.25">
      <c r="A68" s="17">
        <v>43009</v>
      </c>
      <c r="B68" s="83" t="s">
        <v>68</v>
      </c>
      <c r="C68" s="31">
        <v>155166.87</v>
      </c>
      <c r="D68" s="26">
        <f>13930.160112578+25609+20966</f>
        <v>60505.160112578</v>
      </c>
      <c r="E68" s="26">
        <f t="shared" si="68"/>
        <v>94661.709887421996</v>
      </c>
      <c r="F68" s="3">
        <v>15</v>
      </c>
      <c r="G68" s="3">
        <f t="shared" si="69"/>
        <v>2.4986301369863013</v>
      </c>
      <c r="H68" s="3">
        <f t="shared" si="70"/>
        <v>12.501369863013698</v>
      </c>
      <c r="I68" s="26">
        <f t="shared" si="71"/>
        <v>7758</v>
      </c>
      <c r="J68" s="28">
        <f t="shared" si="72"/>
        <v>147408.87</v>
      </c>
      <c r="K68" s="26">
        <f t="shared" si="73"/>
        <v>0</v>
      </c>
      <c r="L68" s="4">
        <f t="shared" si="74"/>
        <v>0.18135510451499182</v>
      </c>
      <c r="M68" s="150">
        <f t="shared" si="75"/>
        <v>17167</v>
      </c>
      <c r="N68" s="42">
        <f t="shared" si="76"/>
        <v>0</v>
      </c>
      <c r="O68" s="32">
        <f t="shared" si="77"/>
        <v>77494.709887421996</v>
      </c>
      <c r="R68" s="57"/>
    </row>
    <row r="69" spans="1:18" x14ac:dyDescent="0.25">
      <c r="A69" s="17">
        <v>43009</v>
      </c>
      <c r="B69" s="83" t="s">
        <v>11</v>
      </c>
      <c r="C69" s="31">
        <v>7200</v>
      </c>
      <c r="D69" s="26">
        <f>646.373891372002+1188+973</f>
        <v>2807.3738913720022</v>
      </c>
      <c r="E69" s="26">
        <f t="shared" si="68"/>
        <v>4392.6261086279974</v>
      </c>
      <c r="F69" s="3">
        <v>15</v>
      </c>
      <c r="G69" s="3">
        <f t="shared" si="69"/>
        <v>2.4986301369863013</v>
      </c>
      <c r="H69" s="3">
        <f t="shared" si="70"/>
        <v>12.501369863013698</v>
      </c>
      <c r="I69" s="26">
        <f t="shared" si="71"/>
        <v>360</v>
      </c>
      <c r="J69" s="28">
        <f t="shared" si="72"/>
        <v>6840</v>
      </c>
      <c r="K69" s="26">
        <f t="shared" si="73"/>
        <v>0</v>
      </c>
      <c r="L69" s="4">
        <f t="shared" si="74"/>
        <v>0.18135467751903167</v>
      </c>
      <c r="M69" s="150">
        <f t="shared" si="75"/>
        <v>797</v>
      </c>
      <c r="N69" s="42">
        <f t="shared" si="76"/>
        <v>0</v>
      </c>
      <c r="O69" s="32">
        <f t="shared" si="77"/>
        <v>3595.6261086279974</v>
      </c>
      <c r="R69" s="57"/>
    </row>
    <row r="70" spans="1:18" x14ac:dyDescent="0.25">
      <c r="A70" s="17">
        <v>43009</v>
      </c>
      <c r="B70" s="83" t="s">
        <v>57</v>
      </c>
      <c r="C70" s="31">
        <v>116700</v>
      </c>
      <c r="D70" s="26">
        <f>10476.6434893212+19260+15768</f>
        <v>45504.643489321199</v>
      </c>
      <c r="E70" s="26">
        <f t="shared" si="68"/>
        <v>71195.356510678801</v>
      </c>
      <c r="F70" s="3">
        <v>15</v>
      </c>
      <c r="G70" s="3">
        <f t="shared" si="69"/>
        <v>2.4986301369863013</v>
      </c>
      <c r="H70" s="3">
        <f t="shared" si="70"/>
        <v>12.501369863013698</v>
      </c>
      <c r="I70" s="26">
        <f t="shared" si="71"/>
        <v>5835</v>
      </c>
      <c r="J70" s="28">
        <f t="shared" si="72"/>
        <v>110865</v>
      </c>
      <c r="K70" s="26">
        <f t="shared" si="73"/>
        <v>0</v>
      </c>
      <c r="L70" s="4">
        <f t="shared" si="74"/>
        <v>0.1813530295892678</v>
      </c>
      <c r="M70" s="150">
        <f t="shared" si="75"/>
        <v>12911</v>
      </c>
      <c r="N70" s="42">
        <f t="shared" si="76"/>
        <v>0</v>
      </c>
      <c r="O70" s="32">
        <f t="shared" si="77"/>
        <v>58284.356510678801</v>
      </c>
      <c r="R70" s="57"/>
    </row>
    <row r="71" spans="1:18" x14ac:dyDescent="0.25">
      <c r="A71" s="17">
        <v>43009</v>
      </c>
      <c r="B71" s="83" t="s">
        <v>59</v>
      </c>
      <c r="C71" s="31">
        <v>26345</v>
      </c>
      <c r="D71" s="26">
        <f>2365.23540743808+4348+3560</f>
        <v>10273.23540743808</v>
      </c>
      <c r="E71" s="26">
        <f t="shared" si="68"/>
        <v>16071.76459256192</v>
      </c>
      <c r="F71" s="3">
        <v>15</v>
      </c>
      <c r="G71" s="3">
        <f t="shared" si="69"/>
        <v>2.4986301369863013</v>
      </c>
      <c r="H71" s="3">
        <f t="shared" si="70"/>
        <v>12.501369863013698</v>
      </c>
      <c r="I71" s="26">
        <f t="shared" si="71"/>
        <v>1317</v>
      </c>
      <c r="J71" s="28">
        <f t="shared" si="72"/>
        <v>25028</v>
      </c>
      <c r="K71" s="26">
        <f t="shared" si="73"/>
        <v>0</v>
      </c>
      <c r="L71" s="4">
        <f t="shared" si="74"/>
        <v>0.18136312885934269</v>
      </c>
      <c r="M71" s="150">
        <f t="shared" si="75"/>
        <v>2915</v>
      </c>
      <c r="N71" s="42">
        <f t="shared" si="76"/>
        <v>0</v>
      </c>
      <c r="O71" s="32">
        <f t="shared" si="77"/>
        <v>13156.76459256192</v>
      </c>
      <c r="R71" s="57"/>
    </row>
    <row r="72" spans="1:18" x14ac:dyDescent="0.25">
      <c r="A72" s="17">
        <v>43009</v>
      </c>
      <c r="B72" s="83" t="s">
        <v>60</v>
      </c>
      <c r="C72" s="31">
        <v>100871.45</v>
      </c>
      <c r="D72" s="26">
        <f>9055.41736522654+16647+13629</f>
        <v>39331.417365226538</v>
      </c>
      <c r="E72" s="26">
        <f t="shared" si="68"/>
        <v>61540.032634773459</v>
      </c>
      <c r="F72" s="3">
        <v>15</v>
      </c>
      <c r="G72" s="3">
        <f t="shared" si="69"/>
        <v>2.4986301369863013</v>
      </c>
      <c r="H72" s="3">
        <f t="shared" si="70"/>
        <v>12.501369863013698</v>
      </c>
      <c r="I72" s="26">
        <f t="shared" si="71"/>
        <v>5044</v>
      </c>
      <c r="J72" s="28">
        <f t="shared" si="72"/>
        <v>95827.45</v>
      </c>
      <c r="K72" s="26">
        <f t="shared" si="73"/>
        <v>0</v>
      </c>
      <c r="L72" s="4">
        <f t="shared" si="74"/>
        <v>0.18134878284336453</v>
      </c>
      <c r="M72" s="150">
        <f t="shared" si="75"/>
        <v>11160</v>
      </c>
      <c r="N72" s="42">
        <f t="shared" si="76"/>
        <v>0</v>
      </c>
      <c r="O72" s="32">
        <f t="shared" si="77"/>
        <v>50380.032634773459</v>
      </c>
      <c r="R72" s="57"/>
    </row>
    <row r="73" spans="1:18" x14ac:dyDescent="0.25">
      <c r="A73" s="17">
        <v>43009</v>
      </c>
      <c r="B73" s="83" t="s">
        <v>70</v>
      </c>
      <c r="C73" s="31">
        <f>753613.44-152542</f>
        <v>601071.43999999994</v>
      </c>
      <c r="D73" s="26">
        <f>53960.4468091633+99200+81214</f>
        <v>234374.44680916332</v>
      </c>
      <c r="E73" s="26">
        <f t="shared" si="68"/>
        <v>366696.99319083663</v>
      </c>
      <c r="F73" s="3">
        <v>15</v>
      </c>
      <c r="G73" s="3">
        <f t="shared" si="69"/>
        <v>2.4986301369863013</v>
      </c>
      <c r="H73" s="3">
        <f t="shared" si="70"/>
        <v>12.501369863013698</v>
      </c>
      <c r="I73" s="26">
        <f t="shared" si="71"/>
        <v>30054</v>
      </c>
      <c r="J73" s="28">
        <f t="shared" si="72"/>
        <v>571017.43999999994</v>
      </c>
      <c r="K73" s="26">
        <f t="shared" si="73"/>
        <v>0</v>
      </c>
      <c r="L73" s="4">
        <f t="shared" si="74"/>
        <v>0.18135216380346963</v>
      </c>
      <c r="M73" s="150">
        <f t="shared" si="75"/>
        <v>66501</v>
      </c>
      <c r="N73" s="42">
        <f t="shared" si="76"/>
        <v>0</v>
      </c>
      <c r="O73" s="32">
        <f t="shared" si="77"/>
        <v>300195.99319083663</v>
      </c>
      <c r="R73" s="57"/>
    </row>
    <row r="74" spans="1:18" x14ac:dyDescent="0.25">
      <c r="A74" s="17">
        <v>43009</v>
      </c>
      <c r="B74" s="83" t="s">
        <v>71</v>
      </c>
      <c r="C74" s="31">
        <v>160852</v>
      </c>
      <c r="D74" s="26">
        <f>14440.1352395455+26547+21733</f>
        <v>62720.135239545503</v>
      </c>
      <c r="E74" s="26">
        <f t="shared" si="68"/>
        <v>98131.864760454497</v>
      </c>
      <c r="F74" s="3">
        <v>15</v>
      </c>
      <c r="G74" s="3">
        <f t="shared" si="69"/>
        <v>2.4986301369863013</v>
      </c>
      <c r="H74" s="3">
        <f t="shared" si="70"/>
        <v>12.501369863013698</v>
      </c>
      <c r="I74" s="26">
        <f t="shared" si="71"/>
        <v>8043</v>
      </c>
      <c r="J74" s="28">
        <f t="shared" si="72"/>
        <v>152809</v>
      </c>
      <c r="K74" s="26">
        <f t="shared" si="73"/>
        <v>0</v>
      </c>
      <c r="L74" s="4">
        <f t="shared" si="74"/>
        <v>0.18135019096328986</v>
      </c>
      <c r="M74" s="150">
        <f t="shared" si="75"/>
        <v>17796</v>
      </c>
      <c r="N74" s="42">
        <f t="shared" si="76"/>
        <v>0</v>
      </c>
      <c r="O74" s="32">
        <f t="shared" si="77"/>
        <v>80335.864760454497</v>
      </c>
      <c r="R74" s="57"/>
    </row>
    <row r="75" spans="1:18" x14ac:dyDescent="0.25">
      <c r="A75" s="17">
        <v>43032</v>
      </c>
      <c r="B75" s="83" t="s">
        <v>74</v>
      </c>
      <c r="C75" s="31">
        <v>35000</v>
      </c>
      <c r="D75" s="26">
        <f>2742.82352615652+5849+4788</f>
        <v>13379.823526156521</v>
      </c>
      <c r="E75" s="26">
        <f t="shared" si="68"/>
        <v>21620.176473843479</v>
      </c>
      <c r="F75" s="3">
        <v>15</v>
      </c>
      <c r="G75" s="3">
        <f t="shared" si="69"/>
        <v>2.4356164383561643</v>
      </c>
      <c r="H75" s="3">
        <f t="shared" si="70"/>
        <v>12.564383561643837</v>
      </c>
      <c r="I75" s="26">
        <f t="shared" si="71"/>
        <v>1750</v>
      </c>
      <c r="J75" s="28">
        <f t="shared" si="72"/>
        <v>33250</v>
      </c>
      <c r="K75" s="26">
        <f t="shared" si="73"/>
        <v>0</v>
      </c>
      <c r="L75" s="4">
        <f t="shared" si="74"/>
        <v>0.18134316914644011</v>
      </c>
      <c r="M75" s="150">
        <f t="shared" si="75"/>
        <v>3921</v>
      </c>
      <c r="N75" s="42">
        <f t="shared" si="76"/>
        <v>0</v>
      </c>
      <c r="O75" s="32">
        <f t="shared" si="77"/>
        <v>17699.176473843479</v>
      </c>
      <c r="R75" s="57"/>
    </row>
    <row r="76" spans="1:18" x14ac:dyDescent="0.25">
      <c r="A76" s="17">
        <v>43059</v>
      </c>
      <c r="B76" s="83" t="s">
        <v>75</v>
      </c>
      <c r="C76" s="31">
        <v>50939</v>
      </c>
      <c r="D76" s="26">
        <f>3309.724722325+8635+7069</f>
        <v>19013.724722325001</v>
      </c>
      <c r="E76" s="26">
        <f t="shared" si="68"/>
        <v>31925.275277674999</v>
      </c>
      <c r="F76" s="3">
        <v>15</v>
      </c>
      <c r="G76" s="3">
        <f t="shared" si="69"/>
        <v>2.3616438356164382</v>
      </c>
      <c r="H76" s="3">
        <f t="shared" si="70"/>
        <v>12.638356164383563</v>
      </c>
      <c r="I76" s="26">
        <f t="shared" si="71"/>
        <v>2547</v>
      </c>
      <c r="J76" s="28">
        <f t="shared" si="72"/>
        <v>48392</v>
      </c>
      <c r="K76" s="26">
        <f t="shared" si="73"/>
        <v>0</v>
      </c>
      <c r="L76" s="4">
        <f t="shared" si="74"/>
        <v>0.18132175678098228</v>
      </c>
      <c r="M76" s="150">
        <f t="shared" si="75"/>
        <v>5789</v>
      </c>
      <c r="N76" s="42">
        <f t="shared" si="76"/>
        <v>0</v>
      </c>
      <c r="O76" s="32">
        <f t="shared" si="77"/>
        <v>26136.275277674999</v>
      </c>
      <c r="R76" s="57"/>
    </row>
    <row r="77" spans="1:18" x14ac:dyDescent="0.25">
      <c r="A77" s="17">
        <v>43060</v>
      </c>
      <c r="B77" s="83" t="s">
        <v>58</v>
      </c>
      <c r="C77" s="31">
        <v>217000</v>
      </c>
      <c r="D77" s="26">
        <f>13991.8719119124+36803+30131</f>
        <v>80925.8719119124</v>
      </c>
      <c r="E77" s="26">
        <f t="shared" si="68"/>
        <v>136074.1280880876</v>
      </c>
      <c r="F77" s="3">
        <v>15</v>
      </c>
      <c r="G77" s="3">
        <f t="shared" si="69"/>
        <v>2.3589041095890413</v>
      </c>
      <c r="H77" s="3">
        <f t="shared" si="70"/>
        <v>12.641095890410959</v>
      </c>
      <c r="I77" s="26">
        <f t="shared" si="71"/>
        <v>10850</v>
      </c>
      <c r="J77" s="28">
        <f t="shared" si="72"/>
        <v>206150</v>
      </c>
      <c r="K77" s="26">
        <f t="shared" si="73"/>
        <v>0</v>
      </c>
      <c r="L77" s="4">
        <f t="shared" si="74"/>
        <v>0.1813220655256359</v>
      </c>
      <c r="M77" s="150">
        <f t="shared" si="75"/>
        <v>24673</v>
      </c>
      <c r="N77" s="42">
        <f t="shared" si="76"/>
        <v>0</v>
      </c>
      <c r="O77" s="32">
        <f t="shared" si="77"/>
        <v>111401.1280880876</v>
      </c>
      <c r="R77" s="57"/>
    </row>
    <row r="78" spans="1:18" x14ac:dyDescent="0.25">
      <c r="A78" s="17">
        <v>43083</v>
      </c>
      <c r="B78" s="83" t="s">
        <v>70</v>
      </c>
      <c r="C78" s="31">
        <v>152542</v>
      </c>
      <c r="D78" s="26">
        <f>8095.5743502516+26182+21437</f>
        <v>55714.574350251598</v>
      </c>
      <c r="E78" s="26">
        <f t="shared" si="68"/>
        <v>96827.425649748402</v>
      </c>
      <c r="F78" s="3">
        <v>15</v>
      </c>
      <c r="G78" s="3">
        <f t="shared" si="69"/>
        <v>2.2958904109589042</v>
      </c>
      <c r="H78" s="3">
        <f t="shared" si="70"/>
        <v>12.704109589041096</v>
      </c>
      <c r="I78" s="26">
        <f t="shared" si="71"/>
        <v>7627</v>
      </c>
      <c r="J78" s="28">
        <f t="shared" si="72"/>
        <v>144915</v>
      </c>
      <c r="K78" s="26">
        <f t="shared" si="73"/>
        <v>0</v>
      </c>
      <c r="L78" s="4">
        <f t="shared" si="74"/>
        <v>0.18129591275091184</v>
      </c>
      <c r="M78" s="150">
        <f t="shared" si="75"/>
        <v>17554</v>
      </c>
      <c r="N78" s="42">
        <f t="shared" si="76"/>
        <v>0</v>
      </c>
      <c r="O78" s="32">
        <f t="shared" si="77"/>
        <v>79273.425649748402</v>
      </c>
      <c r="R78" s="57"/>
    </row>
    <row r="79" spans="1:18" x14ac:dyDescent="0.25">
      <c r="A79" s="17">
        <v>43106</v>
      </c>
      <c r="B79" s="83" t="s">
        <v>76</v>
      </c>
      <c r="C79" s="31">
        <v>44466</v>
      </c>
      <c r="D79" s="26">
        <f>1852.66867399278+7723+6323</f>
        <v>15898.668673992779</v>
      </c>
      <c r="E79" s="26">
        <f t="shared" si="68"/>
        <v>28567.331326007221</v>
      </c>
      <c r="F79" s="3">
        <v>15</v>
      </c>
      <c r="G79" s="3">
        <f t="shared" si="69"/>
        <v>2.2328767123287672</v>
      </c>
      <c r="H79" s="3">
        <f t="shared" si="70"/>
        <v>12.767123287671232</v>
      </c>
      <c r="I79" s="26">
        <f t="shared" si="71"/>
        <v>2223</v>
      </c>
      <c r="J79" s="28">
        <f t="shared" si="72"/>
        <v>42243</v>
      </c>
      <c r="K79" s="26">
        <f t="shared" si="73"/>
        <v>0</v>
      </c>
      <c r="L79" s="4">
        <f t="shared" si="74"/>
        <v>0.18126806126422645</v>
      </c>
      <c r="M79" s="150">
        <f t="shared" si="75"/>
        <v>5178</v>
      </c>
      <c r="N79" s="42">
        <f t="shared" si="76"/>
        <v>0</v>
      </c>
      <c r="O79" s="32">
        <f t="shared" si="77"/>
        <v>23389.331326007221</v>
      </c>
      <c r="P79" s="40">
        <f>SUM(M42:M79)+SUM('00 Assets Pur. after 31.03.2017'!I9:I14)</f>
        <v>2346989</v>
      </c>
      <c r="R79" s="57"/>
    </row>
    <row r="80" spans="1:18" x14ac:dyDescent="0.25">
      <c r="A80" s="17"/>
      <c r="B80" s="83"/>
      <c r="C80" s="31"/>
      <c r="D80" s="26"/>
      <c r="E80" s="26"/>
      <c r="F80" s="3"/>
      <c r="G80" s="3"/>
      <c r="H80" s="3"/>
      <c r="I80" s="26"/>
      <c r="J80" s="28"/>
      <c r="K80" s="26"/>
      <c r="L80" s="4"/>
      <c r="M80" s="32"/>
      <c r="N80" s="42"/>
      <c r="O80" s="32"/>
      <c r="R80" s="57"/>
    </row>
    <row r="81" spans="1:18" x14ac:dyDescent="0.25">
      <c r="A81" s="227" t="s">
        <v>14</v>
      </c>
      <c r="B81" s="227"/>
      <c r="C81" s="25"/>
      <c r="D81" s="26"/>
      <c r="E81" s="26"/>
      <c r="F81" s="3"/>
      <c r="G81" s="3"/>
      <c r="H81" s="3"/>
      <c r="I81" s="26"/>
      <c r="J81" s="26"/>
      <c r="K81" s="26"/>
      <c r="L81" s="4"/>
      <c r="M81" s="32"/>
      <c r="N81" s="32"/>
      <c r="O81" s="32"/>
      <c r="R81" s="57"/>
    </row>
    <row r="82" spans="1:18" x14ac:dyDescent="0.25">
      <c r="A82" s="17">
        <v>43009</v>
      </c>
      <c r="B82" s="83" t="s">
        <v>38</v>
      </c>
      <c r="C82" s="31">
        <v>15000</v>
      </c>
      <c r="D82" s="26">
        <f>1925.53416623188+3396+2514</f>
        <v>7835.5341662318797</v>
      </c>
      <c r="E82" s="26">
        <f>C82-D82</f>
        <v>7164.4658337681203</v>
      </c>
      <c r="F82" s="3">
        <v>10</v>
      </c>
      <c r="G82" s="3">
        <f>($B$108-A82)/365</f>
        <v>2.4986301369863013</v>
      </c>
      <c r="H82" s="3">
        <f>F82-G82</f>
        <v>7.5013698630136982</v>
      </c>
      <c r="I82" s="26">
        <f>ROUND(C82*5%,0.1)</f>
        <v>750</v>
      </c>
      <c r="J82" s="28">
        <f>C82-I82</f>
        <v>14250</v>
      </c>
      <c r="K82" s="26">
        <f>IF(D82&gt;J82,(D82-J82),(0))</f>
        <v>0</v>
      </c>
      <c r="L82" s="4">
        <f>IF(H82&gt;0,((1)-(I82/E82)^(1/H82)),(0))</f>
        <v>0.25981401506897384</v>
      </c>
      <c r="M82" s="150">
        <f>ROUND(E82*L82,0.1)</f>
        <v>1861</v>
      </c>
      <c r="N82" s="42">
        <f>IF(AND(H82&lt;0,J82&gt;D82),(J82-D82),0)</f>
        <v>0</v>
      </c>
      <c r="O82" s="150">
        <f>E82-SUM(M82:M82)</f>
        <v>5303.4658337681203</v>
      </c>
      <c r="R82" s="57"/>
    </row>
    <row r="83" spans="1:18" x14ac:dyDescent="0.25">
      <c r="A83" s="17">
        <v>43009</v>
      </c>
      <c r="B83" s="83" t="s">
        <v>49</v>
      </c>
      <c r="C83" s="31">
        <v>30102</v>
      </c>
      <c r="D83" s="26">
        <f>3864.2354712852+6815+5045</f>
        <v>15724.235471285199</v>
      </c>
      <c r="E83" s="26">
        <f t="shared" ref="E83:E90" si="78">C83-D83</f>
        <v>14377.764528714801</v>
      </c>
      <c r="F83" s="3">
        <v>10</v>
      </c>
      <c r="G83" s="3">
        <f t="shared" ref="G83:G90" si="79">($B$108-A83)/365</f>
        <v>2.4986301369863013</v>
      </c>
      <c r="H83" s="3">
        <f t="shared" ref="H83:H90" si="80">F83-G83</f>
        <v>7.5013698630136982</v>
      </c>
      <c r="I83" s="26">
        <f t="shared" ref="I83:I90" si="81">ROUND(C83*5%,0.1)</f>
        <v>1505</v>
      </c>
      <c r="J83" s="28">
        <f t="shared" ref="J83:J90" si="82">C83-I83</f>
        <v>28597</v>
      </c>
      <c r="K83" s="26">
        <f t="shared" ref="K83:K90" si="83">IF(D83&gt;J83,(D83-J83),(0))</f>
        <v>0</v>
      </c>
      <c r="L83" s="4">
        <f t="shared" ref="L83:L90" si="84">IF(H83&gt;0,((1)-(I83/E83)^(1/H83)),(0))</f>
        <v>0.25982135695251873</v>
      </c>
      <c r="M83" s="150">
        <f t="shared" ref="M83:M90" si="85">ROUND(E83*L83,0.1)</f>
        <v>3736</v>
      </c>
      <c r="N83" s="42">
        <f t="shared" ref="N83:N90" si="86">IF(AND(H83&lt;0,J83&gt;D83),(J83-D83),0)</f>
        <v>0</v>
      </c>
      <c r="O83" s="150">
        <f t="shared" ref="O83:O90" si="87">E83-SUM(M83:M83)</f>
        <v>10641.764528714801</v>
      </c>
      <c r="R83" s="57"/>
    </row>
    <row r="84" spans="1:18" x14ac:dyDescent="0.25">
      <c r="A84" s="17">
        <v>43009</v>
      </c>
      <c r="B84" s="83" t="s">
        <v>50</v>
      </c>
      <c r="C84" s="31">
        <v>58668</v>
      </c>
      <c r="D84" s="26">
        <f>7531.44326618248+13283+9832</f>
        <v>30646.443266182479</v>
      </c>
      <c r="E84" s="26">
        <f t="shared" si="78"/>
        <v>28021.556733817521</v>
      </c>
      <c r="F84" s="3">
        <v>10</v>
      </c>
      <c r="G84" s="3">
        <f t="shared" si="79"/>
        <v>2.4986301369863013</v>
      </c>
      <c r="H84" s="3">
        <f t="shared" si="80"/>
        <v>7.5013698630136982</v>
      </c>
      <c r="I84" s="26">
        <f t="shared" si="81"/>
        <v>2933</v>
      </c>
      <c r="J84" s="28">
        <f t="shared" si="82"/>
        <v>55735</v>
      </c>
      <c r="K84" s="26">
        <f t="shared" si="83"/>
        <v>0</v>
      </c>
      <c r="L84" s="4">
        <f t="shared" si="84"/>
        <v>0.25982711173406381</v>
      </c>
      <c r="M84" s="150">
        <f t="shared" si="85"/>
        <v>7281</v>
      </c>
      <c r="N84" s="42">
        <f t="shared" si="86"/>
        <v>0</v>
      </c>
      <c r="O84" s="150">
        <f t="shared" si="87"/>
        <v>20740.556733817521</v>
      </c>
      <c r="R84" s="57"/>
    </row>
    <row r="85" spans="1:18" x14ac:dyDescent="0.25">
      <c r="A85" s="17">
        <v>43009</v>
      </c>
      <c r="B85" s="83" t="s">
        <v>51</v>
      </c>
      <c r="C85" s="31">
        <v>210</v>
      </c>
      <c r="D85" s="26">
        <f>26.5976027135316+47+35</f>
        <v>108.5976027135316</v>
      </c>
      <c r="E85" s="26">
        <f t="shared" si="78"/>
        <v>101.4023972864684</v>
      </c>
      <c r="F85" s="3">
        <v>10</v>
      </c>
      <c r="G85" s="3">
        <f t="shared" si="79"/>
        <v>2.4986301369863013</v>
      </c>
      <c r="H85" s="3">
        <f t="shared" si="80"/>
        <v>7.5013698630136982</v>
      </c>
      <c r="I85" s="26">
        <f t="shared" si="81"/>
        <v>11</v>
      </c>
      <c r="J85" s="28">
        <f t="shared" si="82"/>
        <v>199</v>
      </c>
      <c r="K85" s="26">
        <f t="shared" si="83"/>
        <v>0</v>
      </c>
      <c r="L85" s="4">
        <f t="shared" si="84"/>
        <v>0.25629149208292468</v>
      </c>
      <c r="M85" s="150">
        <f t="shared" si="85"/>
        <v>26</v>
      </c>
      <c r="N85" s="42">
        <f t="shared" si="86"/>
        <v>0</v>
      </c>
      <c r="O85" s="150">
        <f t="shared" si="87"/>
        <v>75.4023972864684</v>
      </c>
    </row>
    <row r="86" spans="1:18" x14ac:dyDescent="0.25">
      <c r="A86" s="17">
        <v>43009</v>
      </c>
      <c r="B86" s="83" t="s">
        <v>52</v>
      </c>
      <c r="C86" s="31">
        <v>63700</v>
      </c>
      <c r="D86" s="26">
        <f>8177.10175926473+14421+10676</f>
        <v>33274.101759264726</v>
      </c>
      <c r="E86" s="26">
        <f t="shared" si="78"/>
        <v>30425.898240735274</v>
      </c>
      <c r="F86" s="3">
        <v>10</v>
      </c>
      <c r="G86" s="3">
        <f t="shared" si="79"/>
        <v>2.4986301369863013</v>
      </c>
      <c r="H86" s="3">
        <f t="shared" si="80"/>
        <v>7.5013698630136982</v>
      </c>
      <c r="I86" s="26">
        <f t="shared" si="81"/>
        <v>3185</v>
      </c>
      <c r="J86" s="28">
        <f t="shared" si="82"/>
        <v>60515</v>
      </c>
      <c r="K86" s="26">
        <f t="shared" si="83"/>
        <v>0</v>
      </c>
      <c r="L86" s="4">
        <f t="shared" si="84"/>
        <v>0.25981660955780428</v>
      </c>
      <c r="M86" s="150">
        <f t="shared" si="85"/>
        <v>7905</v>
      </c>
      <c r="N86" s="42">
        <f t="shared" si="86"/>
        <v>0</v>
      </c>
      <c r="O86" s="150">
        <f t="shared" si="87"/>
        <v>22520.898240735274</v>
      </c>
    </row>
    <row r="87" spans="1:18" x14ac:dyDescent="0.25">
      <c r="A87" s="17">
        <v>43009</v>
      </c>
      <c r="B87" s="83" t="s">
        <v>53</v>
      </c>
      <c r="C87" s="31">
        <v>30336.639999999999</v>
      </c>
      <c r="D87" s="26">
        <f>3894.15897285329+6868+5084</f>
        <v>15846.158972853289</v>
      </c>
      <c r="E87" s="26">
        <f t="shared" si="78"/>
        <v>14490.48102714671</v>
      </c>
      <c r="F87" s="3">
        <v>10</v>
      </c>
      <c r="G87" s="3">
        <f t="shared" si="79"/>
        <v>2.4986301369863013</v>
      </c>
      <c r="H87" s="3">
        <f t="shared" si="80"/>
        <v>7.5013698630136982</v>
      </c>
      <c r="I87" s="26">
        <f t="shared" si="81"/>
        <v>1517</v>
      </c>
      <c r="J87" s="28">
        <f t="shared" si="82"/>
        <v>28819.64</v>
      </c>
      <c r="K87" s="26">
        <f t="shared" si="83"/>
        <v>0</v>
      </c>
      <c r="L87" s="4">
        <f t="shared" si="84"/>
        <v>0.25980825980005162</v>
      </c>
      <c r="M87" s="150">
        <f t="shared" si="85"/>
        <v>3765</v>
      </c>
      <c r="N87" s="42">
        <f t="shared" si="86"/>
        <v>0</v>
      </c>
      <c r="O87" s="150">
        <f t="shared" si="87"/>
        <v>10725.48102714671</v>
      </c>
    </row>
    <row r="88" spans="1:18" x14ac:dyDescent="0.25">
      <c r="A88" s="17">
        <v>43009</v>
      </c>
      <c r="B88" s="83" t="s">
        <v>54</v>
      </c>
      <c r="C88" s="31">
        <v>1722</v>
      </c>
      <c r="D88" s="26">
        <f>221.124865021889+390+289</f>
        <v>900.12486502188904</v>
      </c>
      <c r="E88" s="26">
        <f t="shared" si="78"/>
        <v>821.87513497811096</v>
      </c>
      <c r="F88" s="3">
        <v>10</v>
      </c>
      <c r="G88" s="3">
        <f t="shared" si="79"/>
        <v>2.4986301369863013</v>
      </c>
      <c r="H88" s="3">
        <f t="shared" si="80"/>
        <v>7.5013698630136982</v>
      </c>
      <c r="I88" s="26">
        <f t="shared" si="81"/>
        <v>86</v>
      </c>
      <c r="J88" s="28">
        <f t="shared" si="82"/>
        <v>1636</v>
      </c>
      <c r="K88" s="26">
        <f t="shared" si="83"/>
        <v>0</v>
      </c>
      <c r="L88" s="4">
        <f t="shared" si="84"/>
        <v>0.25985600974381473</v>
      </c>
      <c r="M88" s="150">
        <f t="shared" si="85"/>
        <v>214</v>
      </c>
      <c r="N88" s="42">
        <f t="shared" si="86"/>
        <v>0</v>
      </c>
      <c r="O88" s="150">
        <f t="shared" si="87"/>
        <v>607.87513497811096</v>
      </c>
    </row>
    <row r="89" spans="1:18" x14ac:dyDescent="0.25">
      <c r="A89" s="17">
        <v>43009</v>
      </c>
      <c r="B89" s="83" t="s">
        <v>55</v>
      </c>
      <c r="C89" s="31">
        <f>236017+150000</f>
        <v>386017</v>
      </c>
      <c r="D89" s="26">
        <f>49552.4845603678+87392+64693</f>
        <v>201637.4845603678</v>
      </c>
      <c r="E89" s="26">
        <f t="shared" si="78"/>
        <v>184379.5154396322</v>
      </c>
      <c r="F89" s="3">
        <v>10</v>
      </c>
      <c r="G89" s="3">
        <f t="shared" si="79"/>
        <v>2.4986301369863013</v>
      </c>
      <c r="H89" s="3">
        <f t="shared" si="80"/>
        <v>7.5013698630136982</v>
      </c>
      <c r="I89" s="26">
        <f t="shared" si="81"/>
        <v>19301</v>
      </c>
      <c r="J89" s="28">
        <f t="shared" si="82"/>
        <v>366716</v>
      </c>
      <c r="K89" s="26">
        <f t="shared" si="83"/>
        <v>0</v>
      </c>
      <c r="L89" s="4">
        <f t="shared" si="84"/>
        <v>0.25981635663362812</v>
      </c>
      <c r="M89" s="150">
        <f t="shared" si="85"/>
        <v>47905</v>
      </c>
      <c r="N89" s="42">
        <f t="shared" si="86"/>
        <v>0</v>
      </c>
      <c r="O89" s="150">
        <f t="shared" si="87"/>
        <v>136474.5154396322</v>
      </c>
    </row>
    <row r="90" spans="1:18" x14ac:dyDescent="0.25">
      <c r="A90" s="163">
        <v>43657</v>
      </c>
      <c r="B90" s="83"/>
      <c r="C90" s="162">
        <v>120654</v>
      </c>
      <c r="D90" s="26">
        <v>22590</v>
      </c>
      <c r="E90" s="26">
        <f t="shared" si="78"/>
        <v>98064</v>
      </c>
      <c r="F90" s="3">
        <v>10</v>
      </c>
      <c r="G90" s="3">
        <f t="shared" si="79"/>
        <v>0.72328767123287674</v>
      </c>
      <c r="H90" s="3">
        <f t="shared" si="80"/>
        <v>9.2767123287671236</v>
      </c>
      <c r="I90" s="26">
        <f t="shared" si="81"/>
        <v>6033</v>
      </c>
      <c r="J90" s="28">
        <f t="shared" si="82"/>
        <v>114621</v>
      </c>
      <c r="K90" s="26">
        <f t="shared" si="83"/>
        <v>0</v>
      </c>
      <c r="L90" s="4">
        <f t="shared" si="84"/>
        <v>0.25960987158579796</v>
      </c>
      <c r="M90" s="150">
        <f t="shared" si="85"/>
        <v>25458</v>
      </c>
      <c r="N90" s="42">
        <f t="shared" si="86"/>
        <v>0</v>
      </c>
      <c r="O90" s="150">
        <f t="shared" si="87"/>
        <v>72606</v>
      </c>
      <c r="P90" s="40">
        <f>SUM(M82:M90)+SUM('00 Assets Pur. after 31.03.2017'!I42:I46)</f>
        <v>145351</v>
      </c>
    </row>
    <row r="91" spans="1:18" x14ac:dyDescent="0.25">
      <c r="A91" s="17"/>
      <c r="B91" s="83"/>
      <c r="C91" s="31"/>
      <c r="D91" s="26"/>
      <c r="E91" s="26"/>
      <c r="F91" s="3"/>
      <c r="G91" s="3"/>
      <c r="H91" s="3"/>
      <c r="I91" s="26"/>
      <c r="J91" s="28"/>
      <c r="K91" s="26"/>
      <c r="L91" s="4"/>
      <c r="M91" s="32"/>
      <c r="N91" s="42"/>
      <c r="O91" s="32"/>
    </row>
    <row r="92" spans="1:18" x14ac:dyDescent="0.25">
      <c r="A92" s="227" t="s">
        <v>104</v>
      </c>
      <c r="B92" s="227"/>
      <c r="C92" s="25"/>
      <c r="D92" s="26"/>
      <c r="E92" s="26"/>
      <c r="F92" s="3"/>
      <c r="G92" s="3"/>
      <c r="H92" s="3"/>
      <c r="I92" s="26"/>
      <c r="J92" s="26"/>
      <c r="K92" s="26"/>
      <c r="L92" s="4"/>
      <c r="M92" s="32"/>
      <c r="N92" s="32"/>
      <c r="O92" s="32"/>
    </row>
    <row r="93" spans="1:18" x14ac:dyDescent="0.25">
      <c r="A93" s="17">
        <v>43022</v>
      </c>
      <c r="B93" s="83" t="s">
        <v>56</v>
      </c>
      <c r="C93" s="31">
        <v>129222.46</v>
      </c>
      <c r="D93" s="32">
        <f>37566.0891331884+59399+20905</f>
        <v>117870.08913318839</v>
      </c>
      <c r="E93" s="26">
        <f>C93-D93</f>
        <v>11352.370866811616</v>
      </c>
      <c r="F93" s="3">
        <v>3</v>
      </c>
      <c r="G93" s="3">
        <f>($B$108-A93)/365</f>
        <v>2.463013698630137</v>
      </c>
      <c r="H93" s="3">
        <f>F93-G93</f>
        <v>0.53698630136986303</v>
      </c>
      <c r="I93" s="140">
        <f>ROUND(C93*5%,0.1)</f>
        <v>6461</v>
      </c>
      <c r="J93" s="28">
        <f>C93-I93</f>
        <v>122761.46</v>
      </c>
      <c r="K93" s="26">
        <f>IF(D93&gt;J93,(D93-J93),(0))</f>
        <v>0</v>
      </c>
      <c r="L93" s="4">
        <f>IF(H93&gt;0,((1)-(I93/E93)^(1/H93)),(0))</f>
        <v>0.64993638302969647</v>
      </c>
      <c r="M93" s="150">
        <v>4891</v>
      </c>
      <c r="N93" s="42">
        <f>IF(AND(H93&lt;0,J93&gt;D93),(J93-D93),0)</f>
        <v>0</v>
      </c>
      <c r="O93" s="158">
        <f>E93-SUM(M93:M93)</f>
        <v>6461.370866811616</v>
      </c>
      <c r="P93" s="40">
        <f>E93-I93</f>
        <v>4891.370866811616</v>
      </c>
    </row>
    <row r="94" spans="1:18" x14ac:dyDescent="0.25">
      <c r="A94" s="163">
        <v>43557</v>
      </c>
      <c r="B94" s="83"/>
      <c r="C94" s="84">
        <v>24000</v>
      </c>
      <c r="D94" s="32">
        <v>15116.79474736372</v>
      </c>
      <c r="E94" s="26">
        <f t="shared" ref="E94:E95" si="88">C94-D94</f>
        <v>8883.2052526362804</v>
      </c>
      <c r="F94" s="3">
        <v>3</v>
      </c>
      <c r="G94" s="3">
        <f t="shared" ref="G94:G95" si="89">($B$108-A94)/365</f>
        <v>0.99726027397260275</v>
      </c>
      <c r="H94" s="3">
        <f t="shared" ref="H94:H95" si="90">F94-G94</f>
        <v>2.0027397260273974</v>
      </c>
      <c r="I94" s="26">
        <f t="shared" ref="I94:I95" si="91">ROUND(C94*5%,0.1)</f>
        <v>1200</v>
      </c>
      <c r="J94" s="28">
        <f t="shared" ref="J94:J95" si="92">C94-I94</f>
        <v>22800</v>
      </c>
      <c r="K94" s="26">
        <f t="shared" ref="K94:K95" si="93">IF(D94&gt;J94,(D94-J94),(0))</f>
        <v>0</v>
      </c>
      <c r="L94" s="4">
        <f t="shared" ref="L94:L95" si="94">IF(H94&gt;0,((1)-(I94/E94)^(1/H94)),(0))</f>
        <v>0.63195541573785818</v>
      </c>
      <c r="M94" s="150">
        <f t="shared" ref="M94:M95" si="95">ROUND(E94*L94,0.1)</f>
        <v>5614</v>
      </c>
      <c r="N94" s="42">
        <f t="shared" ref="N94:N95" si="96">IF(AND(H94&lt;0,J94&gt;D94),(J94-D94),0)</f>
        <v>0</v>
      </c>
      <c r="O94" s="150">
        <f t="shared" ref="O94:O95" si="97">E94-SUM(M94:M94)</f>
        <v>3269.2052526362804</v>
      </c>
    </row>
    <row r="95" spans="1:18" x14ac:dyDescent="0.25">
      <c r="A95" s="163">
        <v>43742</v>
      </c>
      <c r="B95" s="83"/>
      <c r="C95" s="162">
        <v>11186.44</v>
      </c>
      <c r="D95" s="32">
        <v>3465.2983981543503</v>
      </c>
      <c r="E95" s="26">
        <f t="shared" si="88"/>
        <v>7721.1416018456503</v>
      </c>
      <c r="F95" s="3">
        <v>3</v>
      </c>
      <c r="G95" s="3">
        <f t="shared" si="89"/>
        <v>0.49041095890410957</v>
      </c>
      <c r="H95" s="3">
        <f t="shared" si="90"/>
        <v>2.5095890410958903</v>
      </c>
      <c r="I95" s="26">
        <f t="shared" si="91"/>
        <v>559</v>
      </c>
      <c r="J95" s="28">
        <f t="shared" si="92"/>
        <v>10627.44</v>
      </c>
      <c r="K95" s="26">
        <f t="shared" si="93"/>
        <v>0</v>
      </c>
      <c r="L95" s="4">
        <f t="shared" si="94"/>
        <v>0.64873499381716959</v>
      </c>
      <c r="M95" s="150">
        <f t="shared" si="95"/>
        <v>5009</v>
      </c>
      <c r="N95" s="42">
        <f t="shared" si="96"/>
        <v>0</v>
      </c>
      <c r="O95" s="150">
        <f t="shared" si="97"/>
        <v>2712.1416018456503</v>
      </c>
    </row>
    <row r="96" spans="1:18" x14ac:dyDescent="0.25">
      <c r="A96" s="18"/>
      <c r="B96" s="2"/>
      <c r="C96" s="27"/>
      <c r="D96" s="26"/>
      <c r="E96" s="26"/>
      <c r="F96" s="3"/>
      <c r="G96" s="3"/>
      <c r="H96" s="3"/>
      <c r="I96" s="26"/>
      <c r="J96" s="26"/>
      <c r="K96" s="26"/>
      <c r="L96" s="4"/>
      <c r="M96" s="32"/>
      <c r="N96" s="32"/>
      <c r="O96" s="32"/>
    </row>
    <row r="97" spans="1:18" x14ac:dyDescent="0.25">
      <c r="A97" s="227" t="s">
        <v>105</v>
      </c>
      <c r="B97" s="227"/>
      <c r="C97" s="25"/>
      <c r="D97" s="26"/>
      <c r="E97" s="26"/>
      <c r="F97" s="3"/>
      <c r="G97" s="3"/>
      <c r="H97" s="3"/>
      <c r="I97" s="26"/>
      <c r="J97" s="26"/>
      <c r="K97" s="26"/>
      <c r="L97" s="4"/>
      <c r="M97" s="32"/>
      <c r="N97" s="32"/>
      <c r="O97" s="32"/>
    </row>
    <row r="98" spans="1:18" s="151" customFormat="1" x14ac:dyDescent="0.25">
      <c r="A98" s="148">
        <v>43021</v>
      </c>
      <c r="B98" s="78" t="s">
        <v>15</v>
      </c>
      <c r="C98" s="31">
        <v>73880</v>
      </c>
      <c r="D98" s="32">
        <f>8855.13092081206+20580+14067</f>
        <v>43502.130920812058</v>
      </c>
      <c r="E98" s="26">
        <f>C98-D98</f>
        <v>30377.869079187942</v>
      </c>
      <c r="F98" s="3">
        <v>8</v>
      </c>
      <c r="G98" s="3">
        <f>($B$108-A98)/365</f>
        <v>2.4657534246575343</v>
      </c>
      <c r="H98" s="3">
        <f>F98-G98</f>
        <v>5.5342465753424657</v>
      </c>
      <c r="I98" s="26">
        <f>ROUND(C98*5%,0.1)</f>
        <v>3694</v>
      </c>
      <c r="J98" s="28">
        <f>C98-I98</f>
        <v>70186</v>
      </c>
      <c r="K98" s="26">
        <f>IF(D98&gt;J98,(D98-J98),(0))</f>
        <v>0</v>
      </c>
      <c r="L98" s="4">
        <f>IF(H98&gt;0,((1)-(I98/E98)^(1/H98)),(0))</f>
        <v>0.31663154881147126</v>
      </c>
      <c r="M98" s="150">
        <f>ROUND(E98*L98,0.1)</f>
        <v>9619</v>
      </c>
      <c r="N98" s="42">
        <f>IF(AND(H98&lt;0,J98&gt;D98),(J98-D98),0)</f>
        <v>0</v>
      </c>
      <c r="O98" s="32">
        <f>E98-SUM(M98:M98)</f>
        <v>20758.869079187942</v>
      </c>
      <c r="P98" s="36"/>
      <c r="Q98" s="36"/>
    </row>
    <row r="99" spans="1:18" x14ac:dyDescent="0.25">
      <c r="A99" s="17"/>
      <c r="B99" s="83"/>
      <c r="C99" s="31"/>
      <c r="D99" s="32"/>
      <c r="E99" s="26"/>
      <c r="F99" s="3"/>
      <c r="G99" s="3"/>
      <c r="H99" s="3"/>
      <c r="I99" s="26"/>
      <c r="J99" s="28"/>
      <c r="K99" s="26"/>
      <c r="L99" s="4"/>
      <c r="M99" s="32"/>
      <c r="N99" s="42"/>
      <c r="O99" s="32"/>
    </row>
    <row r="100" spans="1:18" x14ac:dyDescent="0.25">
      <c r="A100" s="227" t="s">
        <v>106</v>
      </c>
      <c r="B100" s="227"/>
      <c r="C100" s="31"/>
      <c r="D100" s="32"/>
      <c r="E100" s="26"/>
      <c r="F100" s="3"/>
      <c r="G100" s="3"/>
      <c r="H100" s="3"/>
      <c r="I100" s="26"/>
      <c r="J100" s="28"/>
      <c r="K100" s="26"/>
      <c r="L100" s="4"/>
      <c r="M100" s="32"/>
      <c r="N100" s="42"/>
      <c r="O100" s="32"/>
    </row>
    <row r="101" spans="1:18" x14ac:dyDescent="0.25">
      <c r="A101" s="17">
        <v>43009</v>
      </c>
      <c r="B101" s="83" t="s">
        <v>72</v>
      </c>
      <c r="C101" s="31">
        <v>5190806.9000000004</v>
      </c>
      <c r="D101" s="32">
        <f>803995.984662868+1377184+944835</f>
        <v>3126014.9846628681</v>
      </c>
      <c r="E101" s="26">
        <f>C101-D101</f>
        <v>2064791.9153371323</v>
      </c>
      <c r="F101" s="3">
        <v>8</v>
      </c>
      <c r="G101" s="3">
        <f>($B$108-A101)/365</f>
        <v>2.4986301369863013</v>
      </c>
      <c r="H101" s="3">
        <f>F101-G101</f>
        <v>5.5013698630136982</v>
      </c>
      <c r="I101" s="26">
        <f>ROUND(C101*5%,0.1)</f>
        <v>259540</v>
      </c>
      <c r="J101" s="28">
        <f>C101-I101</f>
        <v>4931266.9000000004</v>
      </c>
      <c r="K101" s="26">
        <f>IF(D101&gt;J101,(D101-J101),(0))</f>
        <v>0</v>
      </c>
      <c r="L101" s="4">
        <f>IF(H101&gt;0,((1)-(I101/E101)^(1/H101)),(0))</f>
        <v>0.31406615400701698</v>
      </c>
      <c r="M101" s="150">
        <f>ROUND(E101*L101,0.1)</f>
        <v>648481</v>
      </c>
      <c r="N101" s="42">
        <f>IF(AND(H101&lt;0,J101&gt;D101),(J101-D101),0)</f>
        <v>0</v>
      </c>
      <c r="O101" s="150">
        <f>E101-SUM(M101:M101)</f>
        <v>1416310.9153371323</v>
      </c>
    </row>
    <row r="102" spans="1:18" x14ac:dyDescent="0.25">
      <c r="A102" s="17">
        <v>43102</v>
      </c>
      <c r="B102" s="83" t="s">
        <v>77</v>
      </c>
      <c r="C102" s="31">
        <v>5625</v>
      </c>
      <c r="D102" s="32">
        <f>423.693438192967+1631+1119</f>
        <v>3173.6934381929668</v>
      </c>
      <c r="E102" s="26">
        <f t="shared" ref="E102:E104" si="98">C102-D102</f>
        <v>2451.3065618070332</v>
      </c>
      <c r="F102" s="3">
        <v>8</v>
      </c>
      <c r="G102" s="3">
        <f t="shared" ref="G102:G104" si="99">($B$108-A102)/365</f>
        <v>2.2438356164383562</v>
      </c>
      <c r="H102" s="3">
        <f t="shared" ref="H102:H104" si="100">F102-G102</f>
        <v>5.7561643835616438</v>
      </c>
      <c r="I102" s="26">
        <f t="shared" ref="I102:I104" si="101">ROUND(C102*5%,0.1)</f>
        <v>281</v>
      </c>
      <c r="J102" s="28">
        <f t="shared" ref="J102:J104" si="102">C102-I102</f>
        <v>5344</v>
      </c>
      <c r="K102" s="26">
        <f t="shared" ref="K102:K104" si="103">IF(D102&gt;J102,(D102-J102),(0))</f>
        <v>0</v>
      </c>
      <c r="L102" s="4">
        <f t="shared" ref="L102:L104" si="104">IF(H102&gt;0,((1)-(I102/E102)^(1/H102)),(0))</f>
        <v>0.31360088902522898</v>
      </c>
      <c r="M102" s="150">
        <f t="shared" ref="M102:M104" si="105">ROUND(E102*L102,0.1)</f>
        <v>769</v>
      </c>
      <c r="N102" s="42">
        <f t="shared" ref="N102:N104" si="106">IF(AND(H102&lt;0,J102&gt;D102),(J102-D102),0)</f>
        <v>0</v>
      </c>
      <c r="O102" s="150">
        <f t="shared" ref="O102:O104" si="107">E102-SUM(M102:M102)</f>
        <v>1682.3065618070332</v>
      </c>
    </row>
    <row r="103" spans="1:18" x14ac:dyDescent="0.25">
      <c r="A103" s="17">
        <v>43116</v>
      </c>
      <c r="B103" s="83" t="s">
        <v>77</v>
      </c>
      <c r="C103" s="31">
        <v>27589</v>
      </c>
      <c r="D103" s="32">
        <f>1747.21739271352+8096+5560</f>
        <v>15403.217392713519</v>
      </c>
      <c r="E103" s="26">
        <f t="shared" si="98"/>
        <v>12185.782607286481</v>
      </c>
      <c r="F103" s="3">
        <v>8</v>
      </c>
      <c r="G103" s="3">
        <f t="shared" si="99"/>
        <v>2.2054794520547945</v>
      </c>
      <c r="H103" s="3">
        <f t="shared" si="100"/>
        <v>5.794520547945206</v>
      </c>
      <c r="I103" s="26">
        <f t="shared" si="101"/>
        <v>1379</v>
      </c>
      <c r="J103" s="28">
        <f t="shared" si="102"/>
        <v>26210</v>
      </c>
      <c r="K103" s="26">
        <f t="shared" si="103"/>
        <v>0</v>
      </c>
      <c r="L103" s="4">
        <f t="shared" si="104"/>
        <v>0.31341799831780748</v>
      </c>
      <c r="M103" s="150">
        <f t="shared" si="105"/>
        <v>3819</v>
      </c>
      <c r="N103" s="42">
        <f t="shared" si="106"/>
        <v>0</v>
      </c>
      <c r="O103" s="150">
        <f t="shared" si="107"/>
        <v>8366.7826072864809</v>
      </c>
    </row>
    <row r="104" spans="1:18" s="40" customFormat="1" x14ac:dyDescent="0.25">
      <c r="A104" s="17">
        <v>43218</v>
      </c>
      <c r="B104" s="83" t="s">
        <v>72</v>
      </c>
      <c r="C104" s="31">
        <v>34077.96</v>
      </c>
      <c r="D104" s="32">
        <f>9827+7588</f>
        <v>17415</v>
      </c>
      <c r="E104" s="26">
        <f t="shared" si="98"/>
        <v>16662.96</v>
      </c>
      <c r="F104" s="3">
        <v>8</v>
      </c>
      <c r="G104" s="3">
        <f t="shared" si="99"/>
        <v>1.9260273972602739</v>
      </c>
      <c r="H104" s="3">
        <f t="shared" si="100"/>
        <v>6.0739726027397261</v>
      </c>
      <c r="I104" s="26">
        <f t="shared" si="101"/>
        <v>1704</v>
      </c>
      <c r="J104" s="28">
        <f t="shared" si="102"/>
        <v>32373.96</v>
      </c>
      <c r="K104" s="26">
        <f t="shared" si="103"/>
        <v>0</v>
      </c>
      <c r="L104" s="4">
        <f t="shared" si="104"/>
        <v>0.31299016829163073</v>
      </c>
      <c r="M104" s="150">
        <f t="shared" si="105"/>
        <v>5215</v>
      </c>
      <c r="N104" s="42">
        <f t="shared" si="106"/>
        <v>0</v>
      </c>
      <c r="O104" s="150">
        <f t="shared" si="107"/>
        <v>11447.96</v>
      </c>
      <c r="R104" s="7"/>
    </row>
    <row r="105" spans="1:18" s="40" customFormat="1" x14ac:dyDescent="0.25">
      <c r="A105" s="163">
        <v>43556</v>
      </c>
      <c r="B105" s="83" t="s">
        <v>127</v>
      </c>
      <c r="C105" s="139">
        <v>1364000</v>
      </c>
      <c r="D105" s="138">
        <v>426037</v>
      </c>
      <c r="E105" s="30">
        <f>C105-D105</f>
        <v>937963</v>
      </c>
      <c r="F105" s="141">
        <v>8</v>
      </c>
      <c r="G105" s="141">
        <f>($B$108-A105)/365</f>
        <v>1</v>
      </c>
      <c r="H105" s="141">
        <f>F105-G105</f>
        <v>7</v>
      </c>
      <c r="I105" s="140">
        <f>ROUND(C105*5%,0.1)</f>
        <v>68200</v>
      </c>
      <c r="J105" s="142">
        <f>C105-I105</f>
        <v>1295800</v>
      </c>
      <c r="K105" s="140">
        <f>IF(D105&gt;J105,(D105-J105),(0))</f>
        <v>0</v>
      </c>
      <c r="L105" s="143">
        <f>IF(H105&gt;0,((1)-(I105/E105)^(1/H105)),(0))</f>
        <v>0.31234399755552833</v>
      </c>
      <c r="M105" s="158">
        <f>ROUND(E105*L105,0.1)*5/12</f>
        <v>122069.58333333333</v>
      </c>
      <c r="N105" s="144">
        <f>IF(AND(H105&lt;0,J105&gt;D105),(J105-D105),0)</f>
        <v>0</v>
      </c>
      <c r="O105" s="158">
        <f>E105-SUM(M105:M105)</f>
        <v>815893.41666666663</v>
      </c>
      <c r="P105" s="40">
        <f>SUM(M101:M105)+SUM('00 Assets Pur. after 31.03.2017'!I59:I69)</f>
        <v>1614358.5833333335</v>
      </c>
      <c r="R105" s="7"/>
    </row>
    <row r="106" spans="1:18" s="40" customFormat="1" x14ac:dyDescent="0.25">
      <c r="A106" s="17"/>
      <c r="B106" s="83"/>
      <c r="C106" s="31"/>
      <c r="D106" s="32"/>
      <c r="E106" s="26"/>
      <c r="F106" s="3"/>
      <c r="G106" s="3"/>
      <c r="H106" s="3"/>
      <c r="I106" s="26"/>
      <c r="J106" s="28"/>
      <c r="K106" s="26"/>
      <c r="L106" s="4"/>
      <c r="M106" s="32"/>
      <c r="N106" s="42"/>
      <c r="O106" s="32"/>
      <c r="R106" s="7"/>
    </row>
    <row r="107" spans="1:18" s="40" customFormat="1" x14ac:dyDescent="0.25">
      <c r="A107" s="19"/>
      <c r="B107" s="20" t="s">
        <v>2</v>
      </c>
      <c r="C107" s="30">
        <f>SUM(C20:C105)</f>
        <v>114487134.89999999</v>
      </c>
      <c r="D107" s="30">
        <f>SUM(D20:D105)</f>
        <v>35868747.088837303</v>
      </c>
      <c r="E107" s="30">
        <f>SUM(E20:E105)</f>
        <v>78618387.81116271</v>
      </c>
      <c r="F107" s="5"/>
      <c r="G107" s="5"/>
      <c r="H107" s="6"/>
      <c r="I107" s="30">
        <f>SUM(I20:I104)</f>
        <v>5183491</v>
      </c>
      <c r="J107" s="30">
        <f>SUM(J20:J104)</f>
        <v>98486390.899999991</v>
      </c>
      <c r="K107" s="30">
        <f>SUM(K20:K102)</f>
        <v>0</v>
      </c>
      <c r="L107" s="6"/>
      <c r="M107" s="30">
        <f>SUM(M20:M105)</f>
        <v>10482348.583333334</v>
      </c>
      <c r="N107" s="30">
        <f>SUM(N25:N103)</f>
        <v>0</v>
      </c>
      <c r="O107" s="30">
        <f>SUM(O20:O104)</f>
        <v>67320145.81116271</v>
      </c>
      <c r="R107" s="7"/>
    </row>
    <row r="108" spans="1:18" s="40" customFormat="1" x14ac:dyDescent="0.25">
      <c r="A108" s="7"/>
      <c r="B108" s="8">
        <v>43921</v>
      </c>
      <c r="C108" s="34"/>
      <c r="D108" s="35">
        <f>'00 Assets Pur. after 31.03.2017'!I71-'DEP Sheet With Dummy Figure (2)'!D107</f>
        <v>-34534329.088837303</v>
      </c>
      <c r="E108" s="35"/>
      <c r="F108" s="231"/>
      <c r="G108" s="231"/>
      <c r="H108" s="9"/>
      <c r="I108" s="35"/>
      <c r="J108" s="35"/>
      <c r="K108" s="35"/>
      <c r="L108" s="9"/>
      <c r="M108" s="40">
        <f>M107+'00 Assets Pur. after 31.03.2017'!I71</f>
        <v>11816766.583333334</v>
      </c>
      <c r="O108" s="40">
        <f>O107+'00 Assets Pur. after 31.03.2017'!J71</f>
        <v>75127094.011162698</v>
      </c>
      <c r="R108" s="7"/>
    </row>
    <row r="109" spans="1:18" s="40" customFormat="1" x14ac:dyDescent="0.25">
      <c r="A109" s="171"/>
      <c r="B109" s="11"/>
      <c r="C109" s="36"/>
      <c r="D109" s="35"/>
      <c r="E109" s="35"/>
      <c r="F109" s="9"/>
      <c r="G109" s="9"/>
      <c r="H109" s="9"/>
      <c r="I109" s="35"/>
      <c r="J109" s="35"/>
      <c r="K109" s="35"/>
      <c r="L109" s="9"/>
      <c r="R109" s="7"/>
    </row>
    <row r="110" spans="1:18" s="40" customFormat="1" x14ac:dyDescent="0.25">
      <c r="A110" s="7"/>
      <c r="B110" s="7"/>
      <c r="C110" s="37"/>
      <c r="D110" s="35"/>
      <c r="E110" s="35"/>
      <c r="F110" s="9"/>
      <c r="G110" s="9"/>
      <c r="H110" s="9"/>
      <c r="I110" s="35"/>
      <c r="J110" s="35"/>
      <c r="K110" s="35"/>
      <c r="L110" s="9"/>
      <c r="M110" s="36"/>
      <c r="N110" s="36"/>
      <c r="R110" s="7"/>
    </row>
    <row r="111" spans="1:18" s="40" customFormat="1" x14ac:dyDescent="0.25">
      <c r="A111" s="7"/>
      <c r="B111" s="7"/>
      <c r="C111" s="37"/>
      <c r="D111" s="36"/>
      <c r="E111" s="36"/>
      <c r="F111" s="14"/>
      <c r="G111" s="14"/>
      <c r="H111" s="14"/>
      <c r="I111" s="36"/>
      <c r="L111" s="7"/>
      <c r="M111" s="36"/>
      <c r="R111" s="7"/>
    </row>
    <row r="112" spans="1:18" s="40" customFormat="1" x14ac:dyDescent="0.25">
      <c r="A112" s="9"/>
      <c r="B112" s="15"/>
      <c r="C112" s="38"/>
      <c r="D112" s="35"/>
      <c r="E112" s="35"/>
      <c r="F112" s="9"/>
      <c r="G112" s="9"/>
      <c r="H112" s="9"/>
      <c r="I112" s="35"/>
      <c r="J112" s="35"/>
      <c r="K112" s="35"/>
      <c r="L112" s="9"/>
      <c r="R112" s="7"/>
    </row>
    <row r="113" spans="1:18" s="40" customFormat="1" x14ac:dyDescent="0.25">
      <c r="A113" s="9"/>
      <c r="B113" s="15"/>
      <c r="C113" s="38"/>
      <c r="D113" s="35"/>
      <c r="E113" s="35"/>
      <c r="F113" s="9">
        <f>E105-G113</f>
        <v>876928.20833333337</v>
      </c>
      <c r="G113" s="9">
        <f>M105/2</f>
        <v>61034.791666666664</v>
      </c>
      <c r="H113" s="9"/>
      <c r="I113" s="35"/>
      <c r="J113" s="35"/>
      <c r="K113" s="35"/>
      <c r="L113" s="9"/>
      <c r="R113" s="7"/>
    </row>
    <row r="114" spans="1:18" s="40" customFormat="1" x14ac:dyDescent="0.25">
      <c r="A114" s="9"/>
      <c r="B114" s="15"/>
      <c r="C114" s="38"/>
      <c r="D114" s="35"/>
      <c r="E114" s="35"/>
      <c r="F114" s="9"/>
      <c r="G114" s="9"/>
      <c r="H114" s="9"/>
      <c r="I114" s="35"/>
      <c r="J114" s="35"/>
      <c r="K114" s="35"/>
      <c r="L114" s="9"/>
      <c r="R114" s="7"/>
    </row>
    <row r="115" spans="1:18" s="40" customFormat="1" x14ac:dyDescent="0.25">
      <c r="A115" s="9"/>
      <c r="B115" s="15"/>
      <c r="C115" s="38"/>
      <c r="D115" s="35"/>
      <c r="E115" s="35"/>
      <c r="F115" s="9"/>
      <c r="G115" s="9"/>
      <c r="H115" s="9"/>
      <c r="I115" s="35"/>
      <c r="J115" s="35"/>
      <c r="K115" s="35"/>
      <c r="L115" s="9"/>
      <c r="R115" s="7"/>
    </row>
    <row r="116" spans="1:18" s="40" customFormat="1" x14ac:dyDescent="0.25">
      <c r="A116" s="9"/>
      <c r="B116" s="15"/>
      <c r="C116" s="38"/>
      <c r="D116" s="35"/>
      <c r="E116" s="35"/>
      <c r="F116" s="9"/>
      <c r="G116" s="9"/>
      <c r="H116" s="9"/>
      <c r="I116" s="35"/>
      <c r="J116" s="35"/>
      <c r="K116" s="35"/>
      <c r="L116" s="9"/>
      <c r="R116" s="7"/>
    </row>
    <row r="117" spans="1:18" s="40" customFormat="1" x14ac:dyDescent="0.25">
      <c r="A117" s="9"/>
      <c r="B117" s="15"/>
      <c r="C117" s="38"/>
      <c r="D117" s="35"/>
      <c r="E117" s="35"/>
      <c r="F117" s="9"/>
      <c r="G117" s="9"/>
      <c r="H117" s="9"/>
      <c r="I117" s="35"/>
      <c r="J117" s="35"/>
      <c r="K117" s="35"/>
      <c r="L117" s="9"/>
      <c r="R117" s="7"/>
    </row>
    <row r="118" spans="1:18" s="40" customFormat="1" x14ac:dyDescent="0.25">
      <c r="A118" s="9"/>
      <c r="B118" s="15"/>
      <c r="C118" s="38"/>
      <c r="D118" s="35"/>
      <c r="E118" s="35"/>
      <c r="F118" s="9"/>
      <c r="G118" s="9"/>
      <c r="H118" s="9"/>
      <c r="I118" s="35"/>
      <c r="J118" s="35"/>
      <c r="K118" s="35"/>
      <c r="L118" s="9"/>
      <c r="R118" s="7"/>
    </row>
    <row r="119" spans="1:18" s="40" customFormat="1" x14ac:dyDescent="0.25">
      <c r="A119" s="9"/>
      <c r="B119" s="15"/>
      <c r="C119" s="38"/>
      <c r="D119" s="35"/>
      <c r="E119" s="35"/>
      <c r="F119" s="9"/>
      <c r="G119" s="9"/>
      <c r="H119" s="9"/>
      <c r="I119" s="35"/>
      <c r="J119" s="35"/>
      <c r="K119" s="35"/>
      <c r="L119" s="9"/>
      <c r="R119" s="7"/>
    </row>
  </sheetData>
  <mergeCells count="13">
    <mergeCell ref="A14:B14"/>
    <mergeCell ref="A15:O15"/>
    <mergeCell ref="F108:G108"/>
    <mergeCell ref="A16:O16"/>
    <mergeCell ref="A19:B19"/>
    <mergeCell ref="A22:B22"/>
    <mergeCell ref="A30:B30"/>
    <mergeCell ref="A40:B40"/>
    <mergeCell ref="A41:B41"/>
    <mergeCell ref="A81:B81"/>
    <mergeCell ref="A92:B92"/>
    <mergeCell ref="A97:B97"/>
    <mergeCell ref="A100:B100"/>
  </mergeCells>
  <printOptions horizontalCentered="1"/>
  <pageMargins left="0.25" right="0" top="0.25" bottom="0" header="0" footer="0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"/>
  <sheetViews>
    <sheetView view="pageBreakPreview" zoomScale="80" zoomScaleNormal="80" zoomScaleSheetLayoutView="80" workbookViewId="0">
      <selection activeCell="L26" sqref="L26"/>
    </sheetView>
  </sheetViews>
  <sheetFormatPr defaultColWidth="9.140625" defaultRowHeight="15.75" x14ac:dyDescent="0.25"/>
  <cols>
    <col min="1" max="1" width="13.7109375" style="7" bestFit="1" customWidth="1"/>
    <col min="2" max="2" width="42.28515625" style="16" bestFit="1" customWidth="1"/>
    <col min="3" max="3" width="15.7109375" style="39" bestFit="1" customWidth="1"/>
    <col min="4" max="4" width="11.42578125" style="7" bestFit="1" customWidth="1"/>
    <col min="5" max="5" width="15.7109375" style="40" bestFit="1" customWidth="1"/>
    <col min="6" max="6" width="14.85546875" style="40" customWidth="1"/>
    <col min="7" max="7" width="10.140625" style="7" customWidth="1"/>
    <col min="8" max="8" width="13.140625" style="56" customWidth="1"/>
    <col min="9" max="9" width="14.140625" style="40" customWidth="1"/>
    <col min="10" max="10" width="16.140625" style="40" customWidth="1"/>
    <col min="11" max="11" width="12.7109375" style="40" customWidth="1"/>
    <col min="12" max="12" width="11.7109375" style="40" bestFit="1" customWidth="1"/>
    <col min="13" max="16384" width="9.140625" style="7"/>
  </cols>
  <sheetData>
    <row r="1" spans="1:12" x14ac:dyDescent="0.25">
      <c r="A1" s="10"/>
      <c r="B1" s="10"/>
      <c r="C1" s="10"/>
      <c r="D1" s="10"/>
      <c r="E1" s="10"/>
      <c r="F1" s="10"/>
      <c r="G1" s="10"/>
      <c r="H1" s="52"/>
      <c r="I1" s="10"/>
      <c r="J1" s="43"/>
    </row>
    <row r="2" spans="1:12" x14ac:dyDescent="0.25">
      <c r="A2" s="10"/>
      <c r="B2" s="10"/>
      <c r="C2" s="10"/>
      <c r="D2" s="10"/>
      <c r="E2" s="10"/>
      <c r="F2" s="10"/>
      <c r="G2" s="10"/>
      <c r="H2" s="52"/>
      <c r="I2" s="10"/>
      <c r="J2" s="43"/>
    </row>
    <row r="3" spans="1:12" x14ac:dyDescent="0.25">
      <c r="A3" s="228" t="s">
        <v>27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2" x14ac:dyDescent="0.25">
      <c r="A4" s="229" t="s">
        <v>107</v>
      </c>
      <c r="B4" s="229"/>
      <c r="C4" s="229"/>
      <c r="D4" s="229"/>
      <c r="E4" s="229"/>
      <c r="F4" s="229"/>
      <c r="G4" s="229"/>
      <c r="H4" s="229"/>
      <c r="I4" s="229"/>
      <c r="J4" s="229"/>
    </row>
    <row r="5" spans="1:12" s="16" customFormat="1" x14ac:dyDescent="0.25">
      <c r="A5" s="230" t="s">
        <v>42</v>
      </c>
      <c r="B5" s="230"/>
      <c r="C5" s="230"/>
      <c r="D5" s="230"/>
      <c r="E5" s="230"/>
      <c r="F5" s="230"/>
      <c r="G5" s="230"/>
      <c r="H5" s="230"/>
      <c r="I5" s="230"/>
      <c r="J5" s="230"/>
      <c r="K5" s="39"/>
      <c r="L5" s="39"/>
    </row>
    <row r="6" spans="1:12" s="40" customFormat="1" x14ac:dyDescent="0.25">
      <c r="A6" s="10"/>
      <c r="B6" s="10"/>
      <c r="C6" s="22"/>
      <c r="D6" s="10"/>
      <c r="E6" s="22"/>
      <c r="F6" s="41"/>
      <c r="G6" s="10"/>
      <c r="H6" s="52"/>
      <c r="I6" s="22"/>
      <c r="J6" s="22"/>
    </row>
    <row r="7" spans="1:12" s="40" customFormat="1" ht="47.25" x14ac:dyDescent="0.25">
      <c r="A7" s="1" t="s">
        <v>25</v>
      </c>
      <c r="B7" s="1" t="s">
        <v>0</v>
      </c>
      <c r="C7" s="23" t="s">
        <v>18</v>
      </c>
      <c r="D7" s="1" t="s">
        <v>17</v>
      </c>
      <c r="E7" s="24" t="s">
        <v>4</v>
      </c>
      <c r="F7" s="24" t="s">
        <v>21</v>
      </c>
      <c r="G7" s="1" t="s">
        <v>1</v>
      </c>
      <c r="H7" s="53" t="s">
        <v>32</v>
      </c>
      <c r="I7" s="24" t="s">
        <v>115</v>
      </c>
      <c r="J7" s="24" t="s">
        <v>116</v>
      </c>
    </row>
    <row r="8" spans="1:12" ht="15" customHeight="1" x14ac:dyDescent="0.25">
      <c r="A8" s="88" t="s">
        <v>108</v>
      </c>
      <c r="B8" s="83"/>
      <c r="C8" s="31"/>
      <c r="D8" s="82"/>
      <c r="E8" s="81"/>
      <c r="F8" s="152"/>
      <c r="G8" s="80"/>
      <c r="H8" s="79"/>
      <c r="I8" s="153"/>
      <c r="J8" s="153"/>
    </row>
    <row r="9" spans="1:12" x14ac:dyDescent="0.25">
      <c r="A9" s="17">
        <v>44144</v>
      </c>
      <c r="B9" s="83" t="s">
        <v>150</v>
      </c>
      <c r="C9" s="149">
        <v>141500</v>
      </c>
      <c r="D9" s="82">
        <v>8</v>
      </c>
      <c r="E9" s="81">
        <f>ROUND(C9*5%,0.1)</f>
        <v>7075</v>
      </c>
      <c r="F9" s="152">
        <f>C9-E9</f>
        <v>134425</v>
      </c>
      <c r="G9" s="80">
        <f>(1)-(E9/C9)^(1/D9)</f>
        <v>0.31234397806636793</v>
      </c>
      <c r="H9" s="79">
        <f>($B$72-A9)</f>
        <v>142</v>
      </c>
      <c r="I9" s="153">
        <f>ROUND(C9*G9*H9/365,0)</f>
        <v>17194</v>
      </c>
      <c r="J9" s="153">
        <f>C9-I9</f>
        <v>124306</v>
      </c>
      <c r="K9" s="7"/>
      <c r="L9" s="7"/>
    </row>
    <row r="10" spans="1:12" x14ac:dyDescent="0.25">
      <c r="A10" s="17">
        <v>44197</v>
      </c>
      <c r="B10" s="83" t="s">
        <v>150</v>
      </c>
      <c r="C10" s="149">
        <v>141500</v>
      </c>
      <c r="D10" s="82">
        <v>8</v>
      </c>
      <c r="E10" s="81">
        <f>ROUND(C10*5%,0.1)</f>
        <v>7075</v>
      </c>
      <c r="F10" s="152">
        <f>C10-E10</f>
        <v>134425</v>
      </c>
      <c r="G10" s="80">
        <f>(1)-(E10/C10)^(1/D10)</f>
        <v>0.31234397806636793</v>
      </c>
      <c r="H10" s="79">
        <f>($B$72-A10)</f>
        <v>89</v>
      </c>
      <c r="I10" s="153">
        <f t="shared" ref="I10:I69" si="0">ROUND(C10*G10*H10/365,0)</f>
        <v>10777</v>
      </c>
      <c r="J10" s="153">
        <f>C10-I10</f>
        <v>130723</v>
      </c>
      <c r="K10" s="7"/>
      <c r="L10" s="7"/>
    </row>
    <row r="11" spans="1:12" ht="16.5" customHeight="1" x14ac:dyDescent="0.25">
      <c r="A11" s="17">
        <v>44242</v>
      </c>
      <c r="B11" s="83" t="s">
        <v>129</v>
      </c>
      <c r="C11" s="149">
        <v>526420</v>
      </c>
      <c r="D11" s="82">
        <v>8</v>
      </c>
      <c r="E11" s="81">
        <f t="shared" ref="E11:E14" si="1">ROUND(C11*5%,0.1)</f>
        <v>26321</v>
      </c>
      <c r="F11" s="152">
        <f t="shared" ref="F11:F14" si="2">C11-E11</f>
        <v>500099</v>
      </c>
      <c r="G11" s="80">
        <f t="shared" ref="G11:G14" si="3">(1)-(E11/C11)^(1/D11)</f>
        <v>0.31234397806636793</v>
      </c>
      <c r="H11" s="79">
        <f t="shared" ref="H11:H14" si="4">($B$72-A11)</f>
        <v>44</v>
      </c>
      <c r="I11" s="153">
        <f t="shared" si="0"/>
        <v>19821</v>
      </c>
      <c r="J11" s="153">
        <f t="shared" ref="J11:J14" si="5">C11-I11</f>
        <v>506599</v>
      </c>
      <c r="K11" s="7"/>
      <c r="L11" s="7"/>
    </row>
    <row r="12" spans="1:12" s="151" customFormat="1" x14ac:dyDescent="0.25">
      <c r="A12" s="17">
        <v>43900</v>
      </c>
      <c r="B12" s="17" t="s">
        <v>138</v>
      </c>
      <c r="C12" s="149">
        <v>175000</v>
      </c>
      <c r="D12" s="82">
        <v>8</v>
      </c>
      <c r="E12" s="81">
        <f t="shared" si="1"/>
        <v>8750</v>
      </c>
      <c r="F12" s="152">
        <f t="shared" si="2"/>
        <v>166250</v>
      </c>
      <c r="G12" s="80">
        <f t="shared" si="3"/>
        <v>0.31234397806636793</v>
      </c>
      <c r="H12" s="79">
        <f t="shared" si="4"/>
        <v>386</v>
      </c>
      <c r="I12" s="153">
        <f t="shared" si="0"/>
        <v>57805</v>
      </c>
      <c r="J12" s="153">
        <f t="shared" si="5"/>
        <v>117195</v>
      </c>
    </row>
    <row r="13" spans="1:12" s="151" customFormat="1" x14ac:dyDescent="0.25">
      <c r="A13" s="17">
        <v>44001</v>
      </c>
      <c r="B13" s="17" t="s">
        <v>139</v>
      </c>
      <c r="C13" s="149">
        <v>594000</v>
      </c>
      <c r="D13" s="82">
        <v>8</v>
      </c>
      <c r="E13" s="81">
        <f t="shared" si="1"/>
        <v>29700</v>
      </c>
      <c r="F13" s="152">
        <f t="shared" si="2"/>
        <v>564300</v>
      </c>
      <c r="G13" s="80">
        <f t="shared" si="3"/>
        <v>0.31234397806636793</v>
      </c>
      <c r="H13" s="79">
        <f t="shared" si="4"/>
        <v>285</v>
      </c>
      <c r="I13" s="153">
        <f t="shared" si="0"/>
        <v>144868</v>
      </c>
      <c r="J13" s="153">
        <f t="shared" si="5"/>
        <v>449132</v>
      </c>
    </row>
    <row r="14" spans="1:12" s="151" customFormat="1" x14ac:dyDescent="0.25">
      <c r="A14" s="17">
        <v>44102</v>
      </c>
      <c r="B14" s="17" t="s">
        <v>140</v>
      </c>
      <c r="C14" s="149">
        <v>150000</v>
      </c>
      <c r="D14" s="82">
        <v>8</v>
      </c>
      <c r="E14" s="81">
        <f t="shared" si="1"/>
        <v>7500</v>
      </c>
      <c r="F14" s="152">
        <f t="shared" si="2"/>
        <v>142500</v>
      </c>
      <c r="G14" s="80">
        <f t="shared" si="3"/>
        <v>0.31234397806636793</v>
      </c>
      <c r="H14" s="79">
        <f t="shared" si="4"/>
        <v>184</v>
      </c>
      <c r="I14" s="153">
        <f t="shared" si="0"/>
        <v>23618</v>
      </c>
      <c r="J14" s="153">
        <f t="shared" si="5"/>
        <v>126382</v>
      </c>
    </row>
    <row r="15" spans="1:12" s="151" customFormat="1" x14ac:dyDescent="0.25">
      <c r="A15" s="154"/>
      <c r="B15" s="78"/>
      <c r="C15" s="149"/>
      <c r="D15" s="77"/>
      <c r="E15" s="75"/>
      <c r="F15" s="161"/>
      <c r="G15" s="160"/>
      <c r="H15" s="159"/>
      <c r="I15" s="153"/>
      <c r="J15" s="156"/>
    </row>
    <row r="16" spans="1:12" s="184" customFormat="1" x14ac:dyDescent="0.25">
      <c r="A16" s="175" t="s">
        <v>136</v>
      </c>
      <c r="B16" s="175"/>
      <c r="C16" s="176"/>
      <c r="D16" s="177"/>
      <c r="E16" s="178"/>
      <c r="F16" s="179"/>
      <c r="G16" s="180"/>
      <c r="H16" s="181"/>
      <c r="I16" s="182"/>
      <c r="J16" s="183"/>
      <c r="K16" s="233" t="s">
        <v>154</v>
      </c>
    </row>
    <row r="17" spans="1:11" s="184" customFormat="1" x14ac:dyDescent="0.25">
      <c r="A17" s="185">
        <v>44055</v>
      </c>
      <c r="B17" s="185" t="s">
        <v>137</v>
      </c>
      <c r="C17" s="176">
        <v>2400000</v>
      </c>
      <c r="D17" s="186">
        <v>15</v>
      </c>
      <c r="E17" s="187">
        <f t="shared" ref="E17:E40" si="6">ROUND(C17*5%,0.1)</f>
        <v>120000</v>
      </c>
      <c r="F17" s="188">
        <f t="shared" ref="F17:F40" si="7">C17-E17</f>
        <v>2280000</v>
      </c>
      <c r="G17" s="189">
        <f t="shared" ref="G17:G40" si="8">(1)-(E17/C17)^(1/D17)</f>
        <v>0.18103627252208465</v>
      </c>
      <c r="H17" s="190">
        <f t="shared" ref="H17:H40" si="9">($B$72-A17)</f>
        <v>231</v>
      </c>
      <c r="I17" s="182">
        <f t="shared" si="0"/>
        <v>274977</v>
      </c>
      <c r="J17" s="182">
        <f t="shared" ref="J17:J40" si="10">C17-I17</f>
        <v>2125023</v>
      </c>
      <c r="K17" s="233"/>
    </row>
    <row r="18" spans="1:11" s="184" customFormat="1" x14ac:dyDescent="0.25">
      <c r="A18" s="185">
        <v>44082</v>
      </c>
      <c r="B18" s="185" t="s">
        <v>137</v>
      </c>
      <c r="C18" s="176">
        <f>975000+525000</f>
        <v>1500000</v>
      </c>
      <c r="D18" s="186">
        <v>15</v>
      </c>
      <c r="E18" s="187">
        <f t="shared" si="6"/>
        <v>75000</v>
      </c>
      <c r="F18" s="188">
        <f t="shared" si="7"/>
        <v>1425000</v>
      </c>
      <c r="G18" s="189">
        <f t="shared" si="8"/>
        <v>0.18103627252208465</v>
      </c>
      <c r="H18" s="190">
        <f t="shared" si="9"/>
        <v>204</v>
      </c>
      <c r="I18" s="182">
        <f t="shared" si="0"/>
        <v>151773</v>
      </c>
      <c r="J18" s="182">
        <f t="shared" si="10"/>
        <v>1348227</v>
      </c>
      <c r="K18" s="233"/>
    </row>
    <row r="19" spans="1:11" s="184" customFormat="1" x14ac:dyDescent="0.25">
      <c r="A19" s="185">
        <v>44089</v>
      </c>
      <c r="B19" s="185" t="s">
        <v>137</v>
      </c>
      <c r="C19" s="176">
        <v>1125000</v>
      </c>
      <c r="D19" s="186">
        <v>15</v>
      </c>
      <c r="E19" s="187">
        <f t="shared" si="6"/>
        <v>56250</v>
      </c>
      <c r="F19" s="188">
        <f t="shared" si="7"/>
        <v>1068750</v>
      </c>
      <c r="G19" s="189">
        <f t="shared" si="8"/>
        <v>0.18103627252208465</v>
      </c>
      <c r="H19" s="190">
        <f t="shared" si="9"/>
        <v>197</v>
      </c>
      <c r="I19" s="182">
        <f t="shared" si="0"/>
        <v>109924</v>
      </c>
      <c r="J19" s="182">
        <f t="shared" si="10"/>
        <v>1015076</v>
      </c>
      <c r="K19" s="233"/>
    </row>
    <row r="20" spans="1:11" s="184" customFormat="1" x14ac:dyDescent="0.25">
      <c r="A20" s="185">
        <v>44105</v>
      </c>
      <c r="B20" s="185" t="s">
        <v>137</v>
      </c>
      <c r="C20" s="176">
        <f>175000+1875000</f>
        <v>2050000</v>
      </c>
      <c r="D20" s="186">
        <v>15</v>
      </c>
      <c r="E20" s="187">
        <f t="shared" si="6"/>
        <v>102500</v>
      </c>
      <c r="F20" s="188">
        <f t="shared" si="7"/>
        <v>1947500</v>
      </c>
      <c r="G20" s="189">
        <f t="shared" si="8"/>
        <v>0.18103627252208465</v>
      </c>
      <c r="H20" s="190">
        <f t="shared" si="9"/>
        <v>181</v>
      </c>
      <c r="I20" s="182">
        <f t="shared" si="0"/>
        <v>184037</v>
      </c>
      <c r="J20" s="182">
        <f t="shared" si="10"/>
        <v>1865963</v>
      </c>
      <c r="K20" s="233"/>
    </row>
    <row r="21" spans="1:11" s="184" customFormat="1" x14ac:dyDescent="0.25">
      <c r="A21" s="185">
        <v>44113</v>
      </c>
      <c r="B21" s="185" t="s">
        <v>137</v>
      </c>
      <c r="C21" s="176">
        <f>131000+150000+160000</f>
        <v>441000</v>
      </c>
      <c r="D21" s="186">
        <v>15</v>
      </c>
      <c r="E21" s="187">
        <f t="shared" si="6"/>
        <v>22050</v>
      </c>
      <c r="F21" s="188">
        <f t="shared" si="7"/>
        <v>418950</v>
      </c>
      <c r="G21" s="189">
        <f t="shared" si="8"/>
        <v>0.18103627252208465</v>
      </c>
      <c r="H21" s="190">
        <f t="shared" si="9"/>
        <v>173</v>
      </c>
      <c r="I21" s="182">
        <f t="shared" si="0"/>
        <v>37841</v>
      </c>
      <c r="J21" s="182">
        <f t="shared" si="10"/>
        <v>403159</v>
      </c>
      <c r="K21" s="233"/>
    </row>
    <row r="22" spans="1:11" s="184" customFormat="1" x14ac:dyDescent="0.25">
      <c r="A22" s="185">
        <v>44117</v>
      </c>
      <c r="B22" s="185" t="s">
        <v>137</v>
      </c>
      <c r="C22" s="176">
        <v>620000</v>
      </c>
      <c r="D22" s="186">
        <v>15</v>
      </c>
      <c r="E22" s="187">
        <f t="shared" si="6"/>
        <v>31000</v>
      </c>
      <c r="F22" s="188">
        <f t="shared" si="7"/>
        <v>589000</v>
      </c>
      <c r="G22" s="189">
        <f t="shared" si="8"/>
        <v>0.18103627252208465</v>
      </c>
      <c r="H22" s="190">
        <f t="shared" si="9"/>
        <v>169</v>
      </c>
      <c r="I22" s="182">
        <f t="shared" si="0"/>
        <v>51970</v>
      </c>
      <c r="J22" s="182">
        <f t="shared" si="10"/>
        <v>568030</v>
      </c>
      <c r="K22" s="233"/>
    </row>
    <row r="23" spans="1:11" s="184" customFormat="1" x14ac:dyDescent="0.25">
      <c r="A23" s="185">
        <v>44124</v>
      </c>
      <c r="B23" s="185" t="s">
        <v>137</v>
      </c>
      <c r="C23" s="176">
        <v>1477720.4</v>
      </c>
      <c r="D23" s="186">
        <v>15</v>
      </c>
      <c r="E23" s="187">
        <f t="shared" si="6"/>
        <v>73886</v>
      </c>
      <c r="F23" s="188">
        <f t="shared" si="7"/>
        <v>1403834.4</v>
      </c>
      <c r="G23" s="189">
        <f t="shared" si="8"/>
        <v>0.18103628730095322</v>
      </c>
      <c r="H23" s="190">
        <f t="shared" si="9"/>
        <v>162</v>
      </c>
      <c r="I23" s="182">
        <f t="shared" si="0"/>
        <v>118735</v>
      </c>
      <c r="J23" s="182">
        <f t="shared" si="10"/>
        <v>1358985.4</v>
      </c>
      <c r="K23" s="233"/>
    </row>
    <row r="24" spans="1:11" s="184" customFormat="1" x14ac:dyDescent="0.25">
      <c r="A24" s="185">
        <v>44124</v>
      </c>
      <c r="B24" s="185" t="s">
        <v>147</v>
      </c>
      <c r="C24" s="176">
        <f>162516.02+12880</f>
        <v>175396.02</v>
      </c>
      <c r="D24" s="186">
        <v>15</v>
      </c>
      <c r="E24" s="187">
        <f t="shared" si="6"/>
        <v>8770</v>
      </c>
      <c r="F24" s="188">
        <f t="shared" si="7"/>
        <v>166626.01999999999</v>
      </c>
      <c r="G24" s="189">
        <f t="shared" si="8"/>
        <v>0.18103503363379825</v>
      </c>
      <c r="H24" s="190">
        <f t="shared" si="9"/>
        <v>162</v>
      </c>
      <c r="I24" s="182">
        <f t="shared" si="0"/>
        <v>14093</v>
      </c>
      <c r="J24" s="182">
        <f t="shared" si="10"/>
        <v>161303.01999999999</v>
      </c>
      <c r="K24" s="233"/>
    </row>
    <row r="25" spans="1:11" s="184" customFormat="1" x14ac:dyDescent="0.25">
      <c r="A25" s="185">
        <v>44209</v>
      </c>
      <c r="B25" s="185" t="s">
        <v>147</v>
      </c>
      <c r="C25" s="176">
        <v>211349.66</v>
      </c>
      <c r="D25" s="186">
        <v>15</v>
      </c>
      <c r="E25" s="187">
        <f t="shared" si="6"/>
        <v>10567</v>
      </c>
      <c r="F25" s="188">
        <f t="shared" si="7"/>
        <v>200782.66</v>
      </c>
      <c r="G25" s="189">
        <f t="shared" si="8"/>
        <v>0.1810387680259351</v>
      </c>
      <c r="H25" s="190">
        <f t="shared" si="9"/>
        <v>77</v>
      </c>
      <c r="I25" s="182">
        <f t="shared" si="0"/>
        <v>8072</v>
      </c>
      <c r="J25" s="182">
        <f t="shared" si="10"/>
        <v>203277.66</v>
      </c>
      <c r="K25" s="233"/>
    </row>
    <row r="26" spans="1:11" s="184" customFormat="1" x14ac:dyDescent="0.25">
      <c r="A26" s="185">
        <v>44016</v>
      </c>
      <c r="B26" s="185" t="s">
        <v>148</v>
      </c>
      <c r="C26" s="176">
        <v>1500000</v>
      </c>
      <c r="D26" s="186">
        <v>15</v>
      </c>
      <c r="E26" s="187">
        <f t="shared" si="6"/>
        <v>75000</v>
      </c>
      <c r="F26" s="188">
        <f t="shared" si="7"/>
        <v>1425000</v>
      </c>
      <c r="G26" s="189">
        <f t="shared" si="8"/>
        <v>0.18103627252208465</v>
      </c>
      <c r="H26" s="190">
        <f t="shared" si="9"/>
        <v>270</v>
      </c>
      <c r="I26" s="182">
        <f t="shared" si="0"/>
        <v>200876</v>
      </c>
      <c r="J26" s="182">
        <f t="shared" si="10"/>
        <v>1299124</v>
      </c>
      <c r="K26" s="233"/>
    </row>
    <row r="27" spans="1:11" s="184" customFormat="1" x14ac:dyDescent="0.25">
      <c r="A27" s="185">
        <v>44034</v>
      </c>
      <c r="B27" s="185" t="s">
        <v>148</v>
      </c>
      <c r="C27" s="176">
        <f>1000000+30520</f>
        <v>1030520</v>
      </c>
      <c r="D27" s="186">
        <v>15</v>
      </c>
      <c r="E27" s="187">
        <f t="shared" si="6"/>
        <v>51526</v>
      </c>
      <c r="F27" s="188">
        <f t="shared" si="7"/>
        <v>978994</v>
      </c>
      <c r="G27" s="189">
        <f t="shared" si="8"/>
        <v>0.18103627252208465</v>
      </c>
      <c r="H27" s="190">
        <f t="shared" si="9"/>
        <v>252</v>
      </c>
      <c r="I27" s="182">
        <f t="shared" si="0"/>
        <v>128804</v>
      </c>
      <c r="J27" s="182">
        <f t="shared" si="10"/>
        <v>901716</v>
      </c>
      <c r="K27" s="233"/>
    </row>
    <row r="28" spans="1:11" s="184" customFormat="1" x14ac:dyDescent="0.25">
      <c r="A28" s="185">
        <v>44047</v>
      </c>
      <c r="B28" s="185" t="s">
        <v>148</v>
      </c>
      <c r="C28" s="176">
        <f>600000+30000</f>
        <v>630000</v>
      </c>
      <c r="D28" s="186">
        <v>15</v>
      </c>
      <c r="E28" s="187">
        <f t="shared" si="6"/>
        <v>31500</v>
      </c>
      <c r="F28" s="188">
        <f t="shared" si="7"/>
        <v>598500</v>
      </c>
      <c r="G28" s="189">
        <f t="shared" si="8"/>
        <v>0.18103627252208465</v>
      </c>
      <c r="H28" s="190">
        <f t="shared" si="9"/>
        <v>239</v>
      </c>
      <c r="I28" s="182">
        <f t="shared" si="0"/>
        <v>74681</v>
      </c>
      <c r="J28" s="182">
        <f t="shared" si="10"/>
        <v>555319</v>
      </c>
      <c r="K28" s="233"/>
    </row>
    <row r="29" spans="1:11" s="184" customFormat="1" x14ac:dyDescent="0.25">
      <c r="A29" s="185">
        <v>44061</v>
      </c>
      <c r="B29" s="185" t="s">
        <v>148</v>
      </c>
      <c r="C29" s="176">
        <f>600000+30000</f>
        <v>630000</v>
      </c>
      <c r="D29" s="186">
        <v>15</v>
      </c>
      <c r="E29" s="187">
        <f t="shared" si="6"/>
        <v>31500</v>
      </c>
      <c r="F29" s="188">
        <f t="shared" si="7"/>
        <v>598500</v>
      </c>
      <c r="G29" s="189">
        <f t="shared" si="8"/>
        <v>0.18103627252208465</v>
      </c>
      <c r="H29" s="190">
        <f t="shared" si="9"/>
        <v>225</v>
      </c>
      <c r="I29" s="182">
        <f t="shared" si="0"/>
        <v>70307</v>
      </c>
      <c r="J29" s="182">
        <f t="shared" si="10"/>
        <v>559693</v>
      </c>
      <c r="K29" s="233"/>
    </row>
    <row r="30" spans="1:11" s="184" customFormat="1" x14ac:dyDescent="0.25">
      <c r="A30" s="185">
        <v>44078</v>
      </c>
      <c r="B30" s="185" t="s">
        <v>149</v>
      </c>
      <c r="C30" s="176">
        <v>830000</v>
      </c>
      <c r="D30" s="186">
        <v>15</v>
      </c>
      <c r="E30" s="187">
        <f t="shared" si="6"/>
        <v>41500</v>
      </c>
      <c r="F30" s="188">
        <f t="shared" si="7"/>
        <v>788500</v>
      </c>
      <c r="G30" s="189">
        <f t="shared" si="8"/>
        <v>0.18103627252208465</v>
      </c>
      <c r="H30" s="190">
        <f t="shared" si="9"/>
        <v>208</v>
      </c>
      <c r="I30" s="182">
        <f t="shared" si="0"/>
        <v>85628</v>
      </c>
      <c r="J30" s="182">
        <f t="shared" si="10"/>
        <v>744372</v>
      </c>
      <c r="K30" s="233"/>
    </row>
    <row r="31" spans="1:11" s="184" customFormat="1" x14ac:dyDescent="0.25">
      <c r="A31" s="185">
        <v>44082</v>
      </c>
      <c r="B31" s="185" t="s">
        <v>148</v>
      </c>
      <c r="C31" s="176">
        <f>600000+30000+7600</f>
        <v>637600</v>
      </c>
      <c r="D31" s="186">
        <v>15</v>
      </c>
      <c r="E31" s="187">
        <f t="shared" si="6"/>
        <v>31880</v>
      </c>
      <c r="F31" s="188">
        <f t="shared" si="7"/>
        <v>605720</v>
      </c>
      <c r="G31" s="189">
        <f t="shared" si="8"/>
        <v>0.18103627252208465</v>
      </c>
      <c r="H31" s="190">
        <f t="shared" si="9"/>
        <v>204</v>
      </c>
      <c r="I31" s="182">
        <f t="shared" si="0"/>
        <v>64514</v>
      </c>
      <c r="J31" s="182">
        <f t="shared" si="10"/>
        <v>573086</v>
      </c>
      <c r="K31" s="233"/>
    </row>
    <row r="32" spans="1:11" s="184" customFormat="1" x14ac:dyDescent="0.25">
      <c r="A32" s="185">
        <v>44090</v>
      </c>
      <c r="B32" s="185" t="s">
        <v>148</v>
      </c>
      <c r="C32" s="176">
        <v>400000</v>
      </c>
      <c r="D32" s="186">
        <v>15</v>
      </c>
      <c r="E32" s="187">
        <f t="shared" si="6"/>
        <v>20000</v>
      </c>
      <c r="F32" s="188">
        <f t="shared" si="7"/>
        <v>380000</v>
      </c>
      <c r="G32" s="189">
        <f t="shared" si="8"/>
        <v>0.18103627252208465</v>
      </c>
      <c r="H32" s="190">
        <f t="shared" si="9"/>
        <v>196</v>
      </c>
      <c r="I32" s="182">
        <f t="shared" si="0"/>
        <v>38886</v>
      </c>
      <c r="J32" s="182">
        <f t="shared" si="10"/>
        <v>361114</v>
      </c>
      <c r="K32" s="233"/>
    </row>
    <row r="33" spans="1:12" s="184" customFormat="1" x14ac:dyDescent="0.25">
      <c r="A33" s="185">
        <v>44109</v>
      </c>
      <c r="B33" s="185" t="s">
        <v>148</v>
      </c>
      <c r="C33" s="176">
        <v>400000</v>
      </c>
      <c r="D33" s="186">
        <v>15</v>
      </c>
      <c r="E33" s="187">
        <f t="shared" si="6"/>
        <v>20000</v>
      </c>
      <c r="F33" s="188">
        <f t="shared" si="7"/>
        <v>380000</v>
      </c>
      <c r="G33" s="189">
        <f t="shared" si="8"/>
        <v>0.18103627252208465</v>
      </c>
      <c r="H33" s="190">
        <f t="shared" si="9"/>
        <v>177</v>
      </c>
      <c r="I33" s="182">
        <f t="shared" si="0"/>
        <v>35116</v>
      </c>
      <c r="J33" s="182">
        <f t="shared" si="10"/>
        <v>364884</v>
      </c>
      <c r="K33" s="233"/>
    </row>
    <row r="34" spans="1:12" s="184" customFormat="1" x14ac:dyDescent="0.25">
      <c r="A34" s="185">
        <v>44182</v>
      </c>
      <c r="B34" s="185" t="s">
        <v>148</v>
      </c>
      <c r="C34" s="176">
        <f>47365+9750-10600</f>
        <v>46515</v>
      </c>
      <c r="D34" s="186">
        <v>15</v>
      </c>
      <c r="E34" s="187">
        <f t="shared" si="6"/>
        <v>2326</v>
      </c>
      <c r="F34" s="188">
        <f t="shared" si="7"/>
        <v>44189</v>
      </c>
      <c r="G34" s="189">
        <f t="shared" si="8"/>
        <v>0.18103040400190396</v>
      </c>
      <c r="H34" s="190">
        <f t="shared" si="9"/>
        <v>104</v>
      </c>
      <c r="I34" s="182">
        <f t="shared" si="0"/>
        <v>2399</v>
      </c>
      <c r="J34" s="182">
        <f t="shared" si="10"/>
        <v>44116</v>
      </c>
      <c r="K34" s="233"/>
    </row>
    <row r="35" spans="1:12" s="184" customFormat="1" x14ac:dyDescent="0.25">
      <c r="A35" s="185">
        <v>44072</v>
      </c>
      <c r="B35" s="185" t="s">
        <v>141</v>
      </c>
      <c r="C35" s="176">
        <f>1482317+63050</f>
        <v>1545367</v>
      </c>
      <c r="D35" s="186">
        <v>15</v>
      </c>
      <c r="E35" s="187">
        <f t="shared" si="6"/>
        <v>77268</v>
      </c>
      <c r="F35" s="188">
        <f t="shared" si="7"/>
        <v>1468099</v>
      </c>
      <c r="G35" s="189">
        <f t="shared" si="8"/>
        <v>0.18103651983154623</v>
      </c>
      <c r="H35" s="190">
        <f t="shared" si="9"/>
        <v>214</v>
      </c>
      <c r="I35" s="182">
        <f t="shared" si="0"/>
        <v>164028</v>
      </c>
      <c r="J35" s="182">
        <f t="shared" si="10"/>
        <v>1381339</v>
      </c>
      <c r="K35" s="233"/>
    </row>
    <row r="36" spans="1:12" s="184" customFormat="1" x14ac:dyDescent="0.25">
      <c r="A36" s="185">
        <v>44055</v>
      </c>
      <c r="B36" s="185" t="s">
        <v>142</v>
      </c>
      <c r="C36" s="176">
        <f>1480576+63100</f>
        <v>1543676</v>
      </c>
      <c r="D36" s="186">
        <v>15</v>
      </c>
      <c r="E36" s="187">
        <f t="shared" si="6"/>
        <v>77184</v>
      </c>
      <c r="F36" s="188">
        <f t="shared" si="7"/>
        <v>1466492</v>
      </c>
      <c r="G36" s="189">
        <f t="shared" si="8"/>
        <v>0.1810361310480556</v>
      </c>
      <c r="H36" s="190">
        <f t="shared" si="9"/>
        <v>231</v>
      </c>
      <c r="I36" s="182">
        <f t="shared" si="0"/>
        <v>176864</v>
      </c>
      <c r="J36" s="182">
        <f t="shared" si="10"/>
        <v>1366812</v>
      </c>
      <c r="K36" s="233"/>
    </row>
    <row r="37" spans="1:12" s="184" customFormat="1" x14ac:dyDescent="0.25">
      <c r="A37" s="185">
        <v>44147</v>
      </c>
      <c r="B37" s="185" t="s">
        <v>143</v>
      </c>
      <c r="C37" s="176">
        <f>1045002*2</f>
        <v>2090004</v>
      </c>
      <c r="D37" s="186">
        <v>15</v>
      </c>
      <c r="E37" s="187">
        <f t="shared" si="6"/>
        <v>104500</v>
      </c>
      <c r="F37" s="188">
        <f t="shared" si="7"/>
        <v>1985504</v>
      </c>
      <c r="G37" s="189">
        <f t="shared" si="8"/>
        <v>0.18103637701495756</v>
      </c>
      <c r="H37" s="190">
        <f t="shared" si="9"/>
        <v>139</v>
      </c>
      <c r="I37" s="182">
        <f t="shared" si="0"/>
        <v>144090</v>
      </c>
      <c r="J37" s="182">
        <f t="shared" si="10"/>
        <v>1945914</v>
      </c>
      <c r="K37" s="233"/>
    </row>
    <row r="38" spans="1:12" s="184" customFormat="1" x14ac:dyDescent="0.25">
      <c r="A38" s="185">
        <v>44166</v>
      </c>
      <c r="B38" s="185" t="s">
        <v>144</v>
      </c>
      <c r="C38" s="176">
        <v>519117</v>
      </c>
      <c r="D38" s="186">
        <v>15</v>
      </c>
      <c r="E38" s="187">
        <f t="shared" si="6"/>
        <v>25956</v>
      </c>
      <c r="F38" s="188">
        <f t="shared" si="7"/>
        <v>493161</v>
      </c>
      <c r="G38" s="189">
        <f t="shared" si="8"/>
        <v>0.1810359570011062</v>
      </c>
      <c r="H38" s="190">
        <f t="shared" si="9"/>
        <v>120</v>
      </c>
      <c r="I38" s="182">
        <f t="shared" si="0"/>
        <v>30897</v>
      </c>
      <c r="J38" s="182">
        <f t="shared" si="10"/>
        <v>488220</v>
      </c>
      <c r="K38" s="233"/>
    </row>
    <row r="39" spans="1:12" s="184" customFormat="1" x14ac:dyDescent="0.25">
      <c r="A39" s="185">
        <v>44161</v>
      </c>
      <c r="B39" s="185" t="s">
        <v>145</v>
      </c>
      <c r="C39" s="176">
        <v>2477036</v>
      </c>
      <c r="D39" s="186">
        <v>15</v>
      </c>
      <c r="E39" s="187">
        <f t="shared" si="6"/>
        <v>123852</v>
      </c>
      <c r="F39" s="188">
        <f t="shared" si="7"/>
        <v>2353184</v>
      </c>
      <c r="G39" s="189">
        <f t="shared" si="8"/>
        <v>0.18103618435616264</v>
      </c>
      <c r="H39" s="190">
        <f t="shared" si="9"/>
        <v>125</v>
      </c>
      <c r="I39" s="182">
        <f t="shared" si="0"/>
        <v>153573</v>
      </c>
      <c r="J39" s="182">
        <f t="shared" si="10"/>
        <v>2323463</v>
      </c>
      <c r="K39" s="233"/>
    </row>
    <row r="40" spans="1:12" s="184" customFormat="1" x14ac:dyDescent="0.25">
      <c r="A40" s="185">
        <v>44182</v>
      </c>
      <c r="B40" s="185" t="s">
        <v>146</v>
      </c>
      <c r="C40" s="176">
        <v>1226957</v>
      </c>
      <c r="D40" s="186">
        <v>15</v>
      </c>
      <c r="E40" s="187">
        <f t="shared" si="6"/>
        <v>61348</v>
      </c>
      <c r="F40" s="188">
        <f t="shared" si="7"/>
        <v>1165609</v>
      </c>
      <c r="G40" s="189">
        <f t="shared" si="8"/>
        <v>0.18103613902713855</v>
      </c>
      <c r="H40" s="190">
        <f t="shared" si="9"/>
        <v>104</v>
      </c>
      <c r="I40" s="182">
        <f t="shared" si="0"/>
        <v>63290</v>
      </c>
      <c r="J40" s="182">
        <f t="shared" si="10"/>
        <v>1163667</v>
      </c>
      <c r="K40" s="233"/>
    </row>
    <row r="41" spans="1:12" ht="16.5" customHeight="1" x14ac:dyDescent="0.25">
      <c r="A41" s="89" t="s">
        <v>109</v>
      </c>
      <c r="B41" s="83"/>
      <c r="C41" s="31"/>
      <c r="D41" s="82"/>
      <c r="E41" s="81"/>
      <c r="F41" s="28"/>
      <c r="G41" s="80"/>
      <c r="H41" s="79"/>
      <c r="I41" s="153"/>
      <c r="J41" s="32"/>
      <c r="K41" s="7"/>
      <c r="L41" s="7"/>
    </row>
    <row r="42" spans="1:12" ht="16.5" customHeight="1" x14ac:dyDescent="0.25">
      <c r="A42" s="17">
        <v>43998</v>
      </c>
      <c r="B42" s="83" t="s">
        <v>128</v>
      </c>
      <c r="C42" s="172">
        <v>107031.24</v>
      </c>
      <c r="D42" s="82">
        <v>10</v>
      </c>
      <c r="E42" s="81">
        <f>ROUND(C42*5%,0.1)</f>
        <v>5352</v>
      </c>
      <c r="F42" s="28">
        <f>C42-E42</f>
        <v>101679.24</v>
      </c>
      <c r="G42" s="80">
        <f>(1)-(E42/C42)^(1/D42)</f>
        <v>0.25885948528204805</v>
      </c>
      <c r="H42" s="79">
        <f>($B$72-A42)</f>
        <v>288</v>
      </c>
      <c r="I42" s="153">
        <f t="shared" si="0"/>
        <v>21861</v>
      </c>
      <c r="J42" s="32">
        <f>C42-I42</f>
        <v>85170.240000000005</v>
      </c>
      <c r="K42" s="7"/>
      <c r="L42" s="7"/>
    </row>
    <row r="43" spans="1:12" ht="16.5" customHeight="1" x14ac:dyDescent="0.25">
      <c r="A43" s="17">
        <v>44005</v>
      </c>
      <c r="B43" s="83" t="s">
        <v>128</v>
      </c>
      <c r="C43" s="172">
        <v>33203.120000000003</v>
      </c>
      <c r="D43" s="82">
        <v>10</v>
      </c>
      <c r="E43" s="81">
        <f>ROUND(C43*5%,0.1)</f>
        <v>1660</v>
      </c>
      <c r="F43" s="28">
        <f>C43-E43</f>
        <v>31543.120000000003</v>
      </c>
      <c r="G43" s="80">
        <f>(1)-(E43/C43)^(1/D43)</f>
        <v>0.25887251541103951</v>
      </c>
      <c r="H43" s="79">
        <f>($B$72-A43)</f>
        <v>281</v>
      </c>
      <c r="I43" s="153">
        <f t="shared" si="0"/>
        <v>6617</v>
      </c>
      <c r="J43" s="32">
        <f>C43-I43</f>
        <v>26586.120000000003</v>
      </c>
      <c r="K43" s="7"/>
      <c r="L43" s="7"/>
    </row>
    <row r="44" spans="1:12" ht="16.5" customHeight="1" x14ac:dyDescent="0.25">
      <c r="A44" s="17">
        <v>44010</v>
      </c>
      <c r="B44" s="83" t="s">
        <v>130</v>
      </c>
      <c r="C44" s="172">
        <v>50352.24</v>
      </c>
      <c r="D44" s="82">
        <v>10</v>
      </c>
      <c r="E44" s="81">
        <f>ROUND(C44*5%,0.1)</f>
        <v>2518</v>
      </c>
      <c r="F44" s="28">
        <f>C44-E44</f>
        <v>47834.239999999998</v>
      </c>
      <c r="G44" s="80">
        <f>(1)-(E44/C44)^(1/D44)</f>
        <v>0.25885412974374533</v>
      </c>
      <c r="H44" s="79">
        <f>($B$72-A44)</f>
        <v>276</v>
      </c>
      <c r="I44" s="153">
        <f t="shared" si="0"/>
        <v>9856</v>
      </c>
      <c r="J44" s="32">
        <f>C44-I44</f>
        <v>40496.239999999998</v>
      </c>
      <c r="K44" s="7"/>
      <c r="L44" s="7"/>
    </row>
    <row r="45" spans="1:12" ht="16.5" customHeight="1" x14ac:dyDescent="0.25">
      <c r="A45" s="17">
        <v>44071</v>
      </c>
      <c r="B45" s="83" t="s">
        <v>131</v>
      </c>
      <c r="C45" s="172">
        <v>35170</v>
      </c>
      <c r="D45" s="82">
        <v>10</v>
      </c>
      <c r="E45" s="81">
        <f>ROUND(C45*5%,0.1)</f>
        <v>1759</v>
      </c>
      <c r="F45" s="28">
        <f>C45-E45</f>
        <v>33411</v>
      </c>
      <c r="G45" s="80">
        <f>(1)-(E45/C45)^(1/D45)</f>
        <v>0.25884448067303356</v>
      </c>
      <c r="H45" s="79">
        <f>($B$72-A45)</f>
        <v>215</v>
      </c>
      <c r="I45" s="153">
        <f t="shared" si="0"/>
        <v>5362</v>
      </c>
      <c r="J45" s="32">
        <f>C45-I45</f>
        <v>29808</v>
      </c>
      <c r="K45" s="7"/>
      <c r="L45" s="7"/>
    </row>
    <row r="46" spans="1:12" ht="16.5" customHeight="1" x14ac:dyDescent="0.25">
      <c r="A46" s="17">
        <v>44082</v>
      </c>
      <c r="B46" s="83" t="s">
        <v>130</v>
      </c>
      <c r="C46" s="172">
        <v>24218.74</v>
      </c>
      <c r="D46" s="82">
        <v>10</v>
      </c>
      <c r="E46" s="81">
        <f>ROUND(C46*5%,0.1)</f>
        <v>1211</v>
      </c>
      <c r="F46" s="28">
        <f>C46-E46</f>
        <v>23007.74</v>
      </c>
      <c r="G46" s="80">
        <f>(1)-(E46/C46)^(1/D46)</f>
        <v>0.25886169516998769</v>
      </c>
      <c r="H46" s="79">
        <f>($B$72-A46)</f>
        <v>204</v>
      </c>
      <c r="I46" s="153">
        <f t="shared" si="0"/>
        <v>3504</v>
      </c>
      <c r="J46" s="32">
        <f>C46-I46</f>
        <v>20714.740000000002</v>
      </c>
      <c r="K46" s="7"/>
      <c r="L46" s="7"/>
    </row>
    <row r="47" spans="1:12" ht="16.5" customHeight="1" x14ac:dyDescent="0.25">
      <c r="A47" s="17"/>
      <c r="B47" s="83"/>
      <c r="C47" s="84"/>
      <c r="D47" s="82"/>
      <c r="E47" s="81"/>
      <c r="F47" s="28"/>
      <c r="G47" s="80"/>
      <c r="H47" s="79"/>
      <c r="I47" s="153"/>
      <c r="J47" s="32"/>
      <c r="K47" s="7"/>
      <c r="L47" s="7"/>
    </row>
    <row r="48" spans="1:12" ht="16.5" customHeight="1" x14ac:dyDescent="0.25">
      <c r="A48" s="89" t="s">
        <v>111</v>
      </c>
      <c r="B48" s="83"/>
      <c r="C48" s="31"/>
      <c r="D48" s="82"/>
      <c r="E48" s="81"/>
      <c r="F48" s="28"/>
      <c r="G48" s="80"/>
      <c r="H48" s="79"/>
      <c r="I48" s="153"/>
      <c r="J48" s="32"/>
      <c r="K48" s="7"/>
      <c r="L48" s="7"/>
    </row>
    <row r="49" spans="1:12" s="147" customFormat="1" ht="16.5" customHeight="1" x14ac:dyDescent="0.25">
      <c r="A49" s="17">
        <v>44044</v>
      </c>
      <c r="B49" s="17" t="s">
        <v>132</v>
      </c>
      <c r="C49" s="149">
        <v>56250</v>
      </c>
      <c r="D49" s="82">
        <v>30</v>
      </c>
      <c r="E49" s="81">
        <f t="shared" ref="E49:E56" si="11">ROUND(C49*5%,0.1)</f>
        <v>2813</v>
      </c>
      <c r="F49" s="28">
        <f t="shared" ref="F49:F57" si="12">C49-E49</f>
        <v>53437</v>
      </c>
      <c r="G49" s="80">
        <f t="shared" ref="G49:G57" si="13">(1)-(E49/C49)^(1/D49)</f>
        <v>9.5028490553697331E-2</v>
      </c>
      <c r="H49" s="79">
        <f t="shared" ref="H49:H57" si="14">($B$72-A49)</f>
        <v>242</v>
      </c>
      <c r="I49" s="153">
        <f t="shared" si="0"/>
        <v>3544</v>
      </c>
      <c r="J49" s="32">
        <f t="shared" ref="J49:J57" si="15">C49-I49</f>
        <v>52706</v>
      </c>
    </row>
    <row r="50" spans="1:12" s="147" customFormat="1" ht="16.5" customHeight="1" x14ac:dyDescent="0.25">
      <c r="A50" s="17">
        <v>44016</v>
      </c>
      <c r="B50" s="17" t="s">
        <v>134</v>
      </c>
      <c r="C50" s="149">
        <v>552090</v>
      </c>
      <c r="D50" s="82">
        <v>30</v>
      </c>
      <c r="E50" s="81">
        <f>ROUND(C50*5%,0.1)</f>
        <v>27605</v>
      </c>
      <c r="F50" s="28">
        <f t="shared" si="12"/>
        <v>524485</v>
      </c>
      <c r="G50" s="80">
        <f t="shared" si="13"/>
        <v>9.5033306472030565E-2</v>
      </c>
      <c r="H50" s="79">
        <f t="shared" si="14"/>
        <v>270</v>
      </c>
      <c r="I50" s="153">
        <f t="shared" si="0"/>
        <v>38811</v>
      </c>
      <c r="J50" s="32">
        <f t="shared" si="15"/>
        <v>513279</v>
      </c>
    </row>
    <row r="51" spans="1:12" s="147" customFormat="1" ht="16.5" customHeight="1" x14ac:dyDescent="0.25">
      <c r="A51" s="17">
        <v>44054</v>
      </c>
      <c r="B51" s="17" t="s">
        <v>134</v>
      </c>
      <c r="C51" s="149">
        <v>707500</v>
      </c>
      <c r="D51" s="82">
        <v>30</v>
      </c>
      <c r="E51" s="81">
        <f>ROUND(C51*5%,0.1)</f>
        <v>35375</v>
      </c>
      <c r="F51" s="28">
        <f t="shared" si="12"/>
        <v>672125</v>
      </c>
      <c r="G51" s="80">
        <f t="shared" si="13"/>
        <v>9.503385285530408E-2</v>
      </c>
      <c r="H51" s="79">
        <f t="shared" si="14"/>
        <v>232</v>
      </c>
      <c r="I51" s="153">
        <f t="shared" si="0"/>
        <v>42737</v>
      </c>
      <c r="J51" s="32">
        <f t="shared" si="15"/>
        <v>664763</v>
      </c>
    </row>
    <row r="52" spans="1:12" s="147" customFormat="1" ht="16.5" customHeight="1" x14ac:dyDescent="0.25">
      <c r="A52" s="17">
        <v>43942</v>
      </c>
      <c r="B52" s="17" t="s">
        <v>135</v>
      </c>
      <c r="C52" s="149">
        <v>31000</v>
      </c>
      <c r="D52" s="82">
        <v>30</v>
      </c>
      <c r="E52" s="81">
        <f>ROUND(C52*5%,0.1)</f>
        <v>1550</v>
      </c>
      <c r="F52" s="28">
        <f t="shared" si="12"/>
        <v>29450</v>
      </c>
      <c r="G52" s="80">
        <f t="shared" si="13"/>
        <v>9.503385285530408E-2</v>
      </c>
      <c r="H52" s="79">
        <f t="shared" si="14"/>
        <v>344</v>
      </c>
      <c r="I52" s="153">
        <f t="shared" si="0"/>
        <v>2777</v>
      </c>
      <c r="J52" s="32">
        <f t="shared" si="15"/>
        <v>28223</v>
      </c>
    </row>
    <row r="53" spans="1:12" s="147" customFormat="1" ht="16.5" customHeight="1" x14ac:dyDescent="0.25">
      <c r="A53" s="17">
        <v>44001</v>
      </c>
      <c r="B53" s="17" t="s">
        <v>135</v>
      </c>
      <c r="C53" s="149">
        <v>600480.16</v>
      </c>
      <c r="D53" s="82">
        <v>30</v>
      </c>
      <c r="E53" s="81">
        <f>ROUND(C53*5%,0.1)</f>
        <v>30024</v>
      </c>
      <c r="F53" s="28">
        <f t="shared" si="12"/>
        <v>570456.16</v>
      </c>
      <c r="G53" s="80">
        <f t="shared" si="13"/>
        <v>9.5033860893016353E-2</v>
      </c>
      <c r="H53" s="79">
        <f t="shared" si="14"/>
        <v>285</v>
      </c>
      <c r="I53" s="153">
        <f t="shared" si="0"/>
        <v>44558</v>
      </c>
      <c r="J53" s="32">
        <f t="shared" si="15"/>
        <v>555922.16</v>
      </c>
    </row>
    <row r="54" spans="1:12" s="147" customFormat="1" ht="16.5" customHeight="1" x14ac:dyDescent="0.25">
      <c r="A54" s="17">
        <v>44046</v>
      </c>
      <c r="B54" s="17" t="s">
        <v>151</v>
      </c>
      <c r="C54" s="149">
        <v>106000</v>
      </c>
      <c r="D54" s="82">
        <v>30</v>
      </c>
      <c r="E54" s="81">
        <f>ROUND(C54*5%,0.1)</f>
        <v>5300</v>
      </c>
      <c r="F54" s="28">
        <f t="shared" ref="F54" si="16">C54-E54</f>
        <v>100700</v>
      </c>
      <c r="G54" s="80">
        <f t="shared" ref="G54" si="17">(1)-(E54/C54)^(1/D54)</f>
        <v>9.503385285530408E-2</v>
      </c>
      <c r="H54" s="79">
        <f t="shared" si="14"/>
        <v>240</v>
      </c>
      <c r="I54" s="153">
        <f t="shared" si="0"/>
        <v>6624</v>
      </c>
      <c r="J54" s="32">
        <f t="shared" ref="J54" si="18">C54-I54</f>
        <v>99376</v>
      </c>
    </row>
    <row r="55" spans="1:12" s="147" customFormat="1" ht="16.5" customHeight="1" x14ac:dyDescent="0.25">
      <c r="A55" s="17">
        <v>44048</v>
      </c>
      <c r="B55" s="83" t="s">
        <v>133</v>
      </c>
      <c r="C55" s="149">
        <f>34288+64290+40717</f>
        <v>139295</v>
      </c>
      <c r="D55" s="82">
        <v>30</v>
      </c>
      <c r="E55" s="81">
        <f t="shared" si="11"/>
        <v>6965</v>
      </c>
      <c r="F55" s="28">
        <f t="shared" si="12"/>
        <v>132330</v>
      </c>
      <c r="G55" s="80">
        <f t="shared" si="13"/>
        <v>9.5032770080800355E-2</v>
      </c>
      <c r="H55" s="79">
        <f t="shared" si="14"/>
        <v>238</v>
      </c>
      <c r="I55" s="153">
        <f t="shared" si="0"/>
        <v>8632</v>
      </c>
      <c r="J55" s="32">
        <f t="shared" si="15"/>
        <v>130663</v>
      </c>
    </row>
    <row r="56" spans="1:12" s="147" customFormat="1" ht="16.5" customHeight="1" x14ac:dyDescent="0.25">
      <c r="A56" s="17">
        <v>44058</v>
      </c>
      <c r="B56" s="83" t="s">
        <v>133</v>
      </c>
      <c r="C56" s="149">
        <v>338005.5</v>
      </c>
      <c r="D56" s="82">
        <v>30</v>
      </c>
      <c r="E56" s="81">
        <f t="shared" si="11"/>
        <v>16900</v>
      </c>
      <c r="F56" s="28">
        <f t="shared" si="12"/>
        <v>321105.5</v>
      </c>
      <c r="G56" s="80">
        <f t="shared" si="13"/>
        <v>9.5034343710527436E-2</v>
      </c>
      <c r="H56" s="79">
        <f t="shared" si="14"/>
        <v>228</v>
      </c>
      <c r="I56" s="153">
        <f t="shared" si="0"/>
        <v>20065</v>
      </c>
      <c r="J56" s="32">
        <f t="shared" si="15"/>
        <v>317940.5</v>
      </c>
    </row>
    <row r="57" spans="1:12" s="147" customFormat="1" ht="16.5" customHeight="1" x14ac:dyDescent="0.25">
      <c r="A57" s="173">
        <v>44184</v>
      </c>
      <c r="B57" s="83" t="s">
        <v>133</v>
      </c>
      <c r="C57" s="149">
        <v>428570.6</v>
      </c>
      <c r="D57" s="82">
        <v>30</v>
      </c>
      <c r="E57" s="81">
        <f>ROUND(C57*5%,0.1)</f>
        <v>21429</v>
      </c>
      <c r="F57" s="28">
        <f t="shared" si="12"/>
        <v>407141.6</v>
      </c>
      <c r="G57" s="80">
        <f t="shared" si="13"/>
        <v>9.5033191230233571E-2</v>
      </c>
      <c r="H57" s="79">
        <f t="shared" si="14"/>
        <v>102</v>
      </c>
      <c r="I57" s="153">
        <f t="shared" si="0"/>
        <v>11382</v>
      </c>
      <c r="J57" s="32">
        <f t="shared" si="15"/>
        <v>417188.6</v>
      </c>
    </row>
    <row r="58" spans="1:12" ht="16.5" customHeight="1" x14ac:dyDescent="0.25">
      <c r="A58" s="89" t="s">
        <v>110</v>
      </c>
      <c r="B58" s="83"/>
      <c r="C58" s="31"/>
      <c r="D58" s="82"/>
      <c r="E58" s="81"/>
      <c r="F58" s="28"/>
      <c r="G58" s="80"/>
      <c r="H58" s="79"/>
      <c r="I58" s="153"/>
      <c r="J58" s="32"/>
      <c r="K58" s="7"/>
      <c r="L58" s="7"/>
    </row>
    <row r="59" spans="1:12" ht="16.5" customHeight="1" x14ac:dyDescent="0.25">
      <c r="A59" s="17">
        <v>43991</v>
      </c>
      <c r="B59" s="83" t="s">
        <v>122</v>
      </c>
      <c r="C59" s="149">
        <v>110408</v>
      </c>
      <c r="D59" s="82">
        <v>8</v>
      </c>
      <c r="E59" s="81">
        <f>ROUND(C59*5%,0.1)</f>
        <v>5520</v>
      </c>
      <c r="F59" s="152">
        <f>C59-E59</f>
        <v>104888</v>
      </c>
      <c r="G59" s="80">
        <f>(1)-(E59/C59)^(1/D59)</f>
        <v>0.31235020658080559</v>
      </c>
      <c r="H59" s="79">
        <f t="shared" ref="H59:H69" si="19">($B$72-A59)</f>
        <v>295</v>
      </c>
      <c r="I59" s="153">
        <f t="shared" si="0"/>
        <v>27872</v>
      </c>
      <c r="J59" s="153">
        <f>C59-I59</f>
        <v>82536</v>
      </c>
      <c r="K59" s="7"/>
      <c r="L59" s="7"/>
    </row>
    <row r="60" spans="1:12" ht="16.5" customHeight="1" x14ac:dyDescent="0.25">
      <c r="A60" s="17">
        <v>43995</v>
      </c>
      <c r="B60" s="83" t="s">
        <v>122</v>
      </c>
      <c r="C60" s="172">
        <v>56940</v>
      </c>
      <c r="D60" s="82">
        <v>8</v>
      </c>
      <c r="E60" s="81">
        <f t="shared" ref="E60:E66" si="20">ROUND(C60*5%,0.1)</f>
        <v>2847</v>
      </c>
      <c r="F60" s="152">
        <f t="shared" ref="F60:F66" si="21">C60-E60</f>
        <v>54093</v>
      </c>
      <c r="G60" s="80">
        <f t="shared" ref="G60:G66" si="22">(1)-(E60/C60)^(1/D60)</f>
        <v>0.31234397806636793</v>
      </c>
      <c r="H60" s="79">
        <f t="shared" si="19"/>
        <v>291</v>
      </c>
      <c r="I60" s="153">
        <f t="shared" si="0"/>
        <v>14179</v>
      </c>
      <c r="J60" s="153">
        <f t="shared" ref="J60:J66" si="23">C60-I60</f>
        <v>42761</v>
      </c>
      <c r="K60" s="7"/>
      <c r="L60" s="7"/>
    </row>
    <row r="61" spans="1:12" ht="16.5" customHeight="1" x14ac:dyDescent="0.25">
      <c r="A61" s="17">
        <v>44039</v>
      </c>
      <c r="B61" s="83" t="s">
        <v>126</v>
      </c>
      <c r="C61" s="172">
        <v>590000</v>
      </c>
      <c r="D61" s="82">
        <v>8</v>
      </c>
      <c r="E61" s="81">
        <f>ROUND(C61*5%,0.1)</f>
        <v>29500</v>
      </c>
      <c r="F61" s="152">
        <f>C61-E61</f>
        <v>560500</v>
      </c>
      <c r="G61" s="80">
        <f>(1)-(E61/C61)^(1/D61)</f>
        <v>0.31234397806636793</v>
      </c>
      <c r="H61" s="79">
        <f t="shared" si="19"/>
        <v>247</v>
      </c>
      <c r="I61" s="153">
        <f t="shared" si="0"/>
        <v>124707</v>
      </c>
      <c r="J61" s="153">
        <f>C61-I61</f>
        <v>465293</v>
      </c>
      <c r="K61" s="7"/>
      <c r="L61" s="7"/>
    </row>
    <row r="62" spans="1:12" ht="16.5" customHeight="1" x14ac:dyDescent="0.25">
      <c r="A62" s="17">
        <v>44043</v>
      </c>
      <c r="B62" s="83" t="s">
        <v>123</v>
      </c>
      <c r="C62" s="149">
        <v>241611.04</v>
      </c>
      <c r="D62" s="82">
        <v>8</v>
      </c>
      <c r="E62" s="81">
        <f t="shared" si="20"/>
        <v>12081</v>
      </c>
      <c r="F62" s="152">
        <f t="shared" si="21"/>
        <v>229530.04</v>
      </c>
      <c r="G62" s="80">
        <f t="shared" si="22"/>
        <v>0.31234079045437302</v>
      </c>
      <c r="H62" s="79">
        <f t="shared" si="19"/>
        <v>243</v>
      </c>
      <c r="I62" s="153">
        <f t="shared" si="0"/>
        <v>50241</v>
      </c>
      <c r="J62" s="153">
        <f t="shared" si="23"/>
        <v>191370.04</v>
      </c>
      <c r="K62" s="7"/>
      <c r="L62" s="7"/>
    </row>
    <row r="63" spans="1:12" ht="16.5" customHeight="1" x14ac:dyDescent="0.25">
      <c r="A63" s="17">
        <v>44043</v>
      </c>
      <c r="B63" s="83" t="s">
        <v>124</v>
      </c>
      <c r="C63" s="149">
        <v>2225000</v>
      </c>
      <c r="D63" s="82">
        <v>8</v>
      </c>
      <c r="E63" s="81">
        <f>ROUND(C63*5%,0.1)</f>
        <v>111250</v>
      </c>
      <c r="F63" s="152">
        <f>C63-E63</f>
        <v>2113750</v>
      </c>
      <c r="G63" s="80">
        <f>(1)-(E63/C63)^(1/D63)</f>
        <v>0.31234397806636793</v>
      </c>
      <c r="H63" s="79">
        <f t="shared" si="19"/>
        <v>243</v>
      </c>
      <c r="I63" s="153">
        <f t="shared" si="0"/>
        <v>462676</v>
      </c>
      <c r="J63" s="153">
        <f>C63-I63</f>
        <v>1762324</v>
      </c>
      <c r="K63" s="7"/>
      <c r="L63" s="40" t="e">
        <f>SUM(I59:I69)+SUM(#REF!)</f>
        <v>#REF!</v>
      </c>
    </row>
    <row r="64" spans="1:12" ht="16.5" customHeight="1" x14ac:dyDescent="0.25">
      <c r="A64" s="17">
        <v>44056</v>
      </c>
      <c r="B64" s="83" t="s">
        <v>125</v>
      </c>
      <c r="C64" s="149">
        <v>548903</v>
      </c>
      <c r="D64" s="82">
        <v>8</v>
      </c>
      <c r="E64" s="81">
        <f>ROUND(C64*5%,0.1)</f>
        <v>27445</v>
      </c>
      <c r="F64" s="152">
        <f>C64-E64</f>
        <v>521458</v>
      </c>
      <c r="G64" s="80">
        <f>(1)-(E64/C64)^(1/D64)</f>
        <v>0.3123444478608941</v>
      </c>
      <c r="H64" s="79">
        <f t="shared" si="19"/>
        <v>230</v>
      </c>
      <c r="I64" s="153">
        <f t="shared" si="0"/>
        <v>108035</v>
      </c>
      <c r="J64" s="153">
        <f>C64-I64</f>
        <v>440868</v>
      </c>
      <c r="K64" s="7"/>
      <c r="L64" s="7"/>
    </row>
    <row r="65" spans="1:12" ht="16.5" customHeight="1" x14ac:dyDescent="0.25">
      <c r="A65" s="17">
        <v>44074</v>
      </c>
      <c r="B65" s="83" t="s">
        <v>123</v>
      </c>
      <c r="C65" s="149">
        <v>42426.720000000001</v>
      </c>
      <c r="D65" s="82">
        <v>8</v>
      </c>
      <c r="E65" s="81">
        <f t="shared" si="20"/>
        <v>2121</v>
      </c>
      <c r="F65" s="152">
        <f t="shared" si="21"/>
        <v>40305.72</v>
      </c>
      <c r="G65" s="80">
        <f t="shared" si="22"/>
        <v>0.31235759380404171</v>
      </c>
      <c r="H65" s="79">
        <f t="shared" si="19"/>
        <v>212</v>
      </c>
      <c r="I65" s="153">
        <f t="shared" si="0"/>
        <v>7697</v>
      </c>
      <c r="J65" s="153">
        <f t="shared" si="23"/>
        <v>34729.72</v>
      </c>
      <c r="K65" s="7"/>
      <c r="L65" s="7"/>
    </row>
    <row r="66" spans="1:12" ht="16.5" customHeight="1" x14ac:dyDescent="0.25">
      <c r="A66" s="17">
        <v>44104</v>
      </c>
      <c r="B66" s="83" t="s">
        <v>123</v>
      </c>
      <c r="C66" s="149">
        <v>4440</v>
      </c>
      <c r="D66" s="82">
        <v>8</v>
      </c>
      <c r="E66" s="81">
        <f t="shared" si="20"/>
        <v>222</v>
      </c>
      <c r="F66" s="152">
        <f t="shared" si="21"/>
        <v>4218</v>
      </c>
      <c r="G66" s="80">
        <f t="shared" si="22"/>
        <v>0.31234397806636793</v>
      </c>
      <c r="H66" s="79">
        <f t="shared" si="19"/>
        <v>182</v>
      </c>
      <c r="I66" s="153">
        <f t="shared" si="0"/>
        <v>692</v>
      </c>
      <c r="J66" s="153">
        <f t="shared" si="23"/>
        <v>3748</v>
      </c>
      <c r="K66" s="7"/>
      <c r="L66" s="7"/>
    </row>
    <row r="67" spans="1:12" ht="16.5" customHeight="1" x14ac:dyDescent="0.25">
      <c r="A67" s="17">
        <v>44148</v>
      </c>
      <c r="B67" s="83" t="s">
        <v>122</v>
      </c>
      <c r="C67" s="149">
        <v>20378</v>
      </c>
      <c r="D67" s="82">
        <v>8</v>
      </c>
      <c r="E67" s="81">
        <f>ROUND(C67*5%,0.1)</f>
        <v>1019</v>
      </c>
      <c r="F67" s="152">
        <f>C67-E67</f>
        <v>19359</v>
      </c>
      <c r="G67" s="80">
        <f>(1)-(E67/C67)^(1/D67)</f>
        <v>0.31233554217353188</v>
      </c>
      <c r="H67" s="79">
        <f t="shared" si="19"/>
        <v>138</v>
      </c>
      <c r="I67" s="153">
        <f t="shared" si="0"/>
        <v>2406</v>
      </c>
      <c r="J67" s="153">
        <f>C67-I67</f>
        <v>17972</v>
      </c>
      <c r="K67" s="7"/>
      <c r="L67" s="7"/>
    </row>
    <row r="68" spans="1:12" ht="16.5" customHeight="1" x14ac:dyDescent="0.25">
      <c r="A68" s="17">
        <v>44165</v>
      </c>
      <c r="B68" s="83" t="s">
        <v>123</v>
      </c>
      <c r="C68" s="149">
        <v>300672.84000000003</v>
      </c>
      <c r="D68" s="82">
        <v>8</v>
      </c>
      <c r="E68" s="81">
        <f>ROUND(C68*5%,0.1)</f>
        <v>15034</v>
      </c>
      <c r="F68" s="152">
        <f>C68-E68</f>
        <v>285638.84000000003</v>
      </c>
      <c r="G68" s="80">
        <f>(1)-(E68/C68)^(1/D68)</f>
        <v>0.31234193117138476</v>
      </c>
      <c r="H68" s="79">
        <f t="shared" si="19"/>
        <v>121</v>
      </c>
      <c r="I68" s="153">
        <f t="shared" si="0"/>
        <v>31133</v>
      </c>
      <c r="J68" s="153">
        <f>C68-I68</f>
        <v>269539.84000000003</v>
      </c>
      <c r="K68" s="7"/>
      <c r="L68" s="7"/>
    </row>
    <row r="69" spans="1:12" ht="16.5" customHeight="1" x14ac:dyDescent="0.25">
      <c r="A69" s="17">
        <v>44205</v>
      </c>
      <c r="B69" s="83" t="s">
        <v>122</v>
      </c>
      <c r="C69" s="149">
        <v>63000</v>
      </c>
      <c r="D69" s="82">
        <v>8</v>
      </c>
      <c r="E69" s="81">
        <f>ROUND(C69*5%,0.1)</f>
        <v>3150</v>
      </c>
      <c r="F69" s="152">
        <f>C69-E69</f>
        <v>59850</v>
      </c>
      <c r="G69" s="80">
        <f>(1)-(E69/C69)^(1/D69)</f>
        <v>0.31234397806636793</v>
      </c>
      <c r="H69" s="79">
        <f t="shared" si="19"/>
        <v>81</v>
      </c>
      <c r="I69" s="153">
        <f t="shared" si="0"/>
        <v>4367</v>
      </c>
      <c r="J69" s="153">
        <f>C69-I69</f>
        <v>58633</v>
      </c>
      <c r="K69" s="7"/>
      <c r="L69" s="7"/>
    </row>
    <row r="70" spans="1:12" ht="16.5" customHeight="1" x14ac:dyDescent="0.25">
      <c r="A70" s="17"/>
      <c r="B70" s="83"/>
      <c r="C70" s="149"/>
      <c r="D70" s="82"/>
      <c r="E70" s="81"/>
      <c r="F70" s="152"/>
      <c r="G70" s="80"/>
      <c r="H70" s="79"/>
      <c r="I70" s="153"/>
      <c r="J70" s="153"/>
      <c r="K70" s="7"/>
      <c r="L70" s="7"/>
    </row>
    <row r="71" spans="1:12" x14ac:dyDescent="0.25">
      <c r="A71" s="17"/>
      <c r="B71" s="78" t="s">
        <v>2</v>
      </c>
      <c r="C71" s="75">
        <f>SUM(C8:C69)</f>
        <v>34648624.280000001</v>
      </c>
      <c r="D71" s="77"/>
      <c r="E71" s="75">
        <f>SUM(E8:E69)</f>
        <v>1732434</v>
      </c>
      <c r="F71" s="75">
        <f>SUM(F8:F69)</f>
        <v>32916190.279999994</v>
      </c>
      <c r="G71" s="6"/>
      <c r="H71" s="76"/>
      <c r="I71" s="75">
        <f>SUM(I8:I69)-SUM(I17:I40)</f>
        <v>1334418</v>
      </c>
      <c r="J71" s="75">
        <f>SUM(J8:J69)-SUM(J17:J40)</f>
        <v>7806948.1999999955</v>
      </c>
      <c r="K71" s="7"/>
      <c r="L71" s="7"/>
    </row>
    <row r="72" spans="1:12" x14ac:dyDescent="0.25">
      <c r="B72" s="8">
        <v>44286</v>
      </c>
      <c r="C72" s="34"/>
      <c r="D72" s="10"/>
      <c r="E72" s="71"/>
      <c r="F72" s="71"/>
      <c r="G72" s="70"/>
      <c r="H72" s="69"/>
      <c r="K72" s="7"/>
      <c r="L72" s="7"/>
    </row>
    <row r="73" spans="1:12" x14ac:dyDescent="0.25">
      <c r="A73" s="10"/>
      <c r="B73" s="11"/>
      <c r="C73" s="36"/>
      <c r="D73" s="70"/>
      <c r="E73" s="71"/>
      <c r="F73" s="71"/>
      <c r="G73" s="70"/>
      <c r="H73" s="69"/>
      <c r="I73" s="40" t="e">
        <f>I71+#REF!</f>
        <v>#REF!</v>
      </c>
      <c r="J73" s="40" t="e">
        <f>J71+#REF!</f>
        <v>#REF!</v>
      </c>
      <c r="K73" s="7"/>
      <c r="L73" s="7"/>
    </row>
    <row r="74" spans="1:12" x14ac:dyDescent="0.25">
      <c r="B74" s="7"/>
      <c r="C74" s="74"/>
      <c r="D74" s="70"/>
      <c r="E74" s="71"/>
      <c r="F74" s="71"/>
      <c r="G74" s="70"/>
      <c r="H74" s="69"/>
      <c r="I74" s="36"/>
      <c r="K74" s="7"/>
      <c r="L74" s="7"/>
    </row>
    <row r="75" spans="1:12" x14ac:dyDescent="0.25">
      <c r="A75" s="70"/>
      <c r="B75" s="73"/>
      <c r="C75" s="72" t="e">
        <f>SUM(#REF!)+SUM(#REF!)</f>
        <v>#REF!</v>
      </c>
      <c r="D75" s="70"/>
      <c r="E75" s="71"/>
      <c r="F75" s="71"/>
      <c r="G75" s="70"/>
      <c r="H75" s="69"/>
      <c r="K75" s="7"/>
      <c r="L75" s="7"/>
    </row>
    <row r="76" spans="1:12" x14ac:dyDescent="0.25">
      <c r="A76" s="70"/>
      <c r="B76" s="73"/>
      <c r="C76" s="72"/>
      <c r="D76" s="70"/>
      <c r="E76" s="71"/>
      <c r="F76" s="71"/>
      <c r="G76" s="70"/>
      <c r="H76" s="69"/>
      <c r="K76" s="7"/>
      <c r="L76" s="7"/>
    </row>
    <row r="77" spans="1:12" x14ac:dyDescent="0.25">
      <c r="A77" s="70"/>
      <c r="B77" s="73"/>
      <c r="C77" s="72"/>
      <c r="D77" s="70"/>
      <c r="E77" s="71"/>
      <c r="F77" s="71"/>
      <c r="G77" s="70"/>
      <c r="H77" s="69"/>
      <c r="K77" s="7"/>
      <c r="L77" s="7"/>
    </row>
    <row r="78" spans="1:12" x14ac:dyDescent="0.25">
      <c r="A78" s="70"/>
      <c r="B78" s="73"/>
      <c r="C78" s="72"/>
      <c r="D78" s="70"/>
      <c r="E78" s="71"/>
      <c r="F78" s="71"/>
      <c r="G78" s="70"/>
      <c r="H78" s="69"/>
      <c r="K78" s="7"/>
      <c r="L78" s="7"/>
    </row>
    <row r="79" spans="1:12" x14ac:dyDescent="0.25">
      <c r="A79" s="70"/>
      <c r="B79" s="73"/>
      <c r="C79" s="72"/>
      <c r="D79" s="70"/>
      <c r="E79" s="71"/>
      <c r="F79" s="71"/>
      <c r="G79" s="70"/>
      <c r="H79" s="69"/>
      <c r="K79" s="7"/>
      <c r="L79" s="7"/>
    </row>
    <row r="80" spans="1:12" x14ac:dyDescent="0.25">
      <c r="A80" s="70"/>
      <c r="B80" s="73"/>
      <c r="C80" s="72"/>
      <c r="D80" s="70"/>
      <c r="E80" s="71"/>
      <c r="F80" s="71"/>
      <c r="G80" s="70"/>
      <c r="H80" s="69"/>
      <c r="K80" s="7"/>
      <c r="L80" s="7"/>
    </row>
    <row r="81" spans="1:12" x14ac:dyDescent="0.25">
      <c r="A81" s="70"/>
      <c r="B81" s="73"/>
      <c r="C81" s="72"/>
      <c r="D81" s="70"/>
      <c r="E81" s="71"/>
      <c r="F81" s="71"/>
      <c r="G81" s="70"/>
      <c r="H81" s="69"/>
      <c r="K81" s="7"/>
      <c r="L81" s="7"/>
    </row>
    <row r="82" spans="1:12" x14ac:dyDescent="0.25">
      <c r="A82" s="70"/>
      <c r="B82" s="73"/>
      <c r="C82" s="72"/>
      <c r="D82" s="70"/>
      <c r="E82" s="71"/>
      <c r="F82" s="71"/>
      <c r="G82" s="70"/>
      <c r="H82" s="69"/>
      <c r="I82" s="7"/>
      <c r="J82" s="7"/>
      <c r="K82" s="7"/>
      <c r="L82" s="7"/>
    </row>
    <row r="143" spans="13:13" x14ac:dyDescent="0.25">
      <c r="M143" s="151"/>
    </row>
    <row r="144" spans="13:13" x14ac:dyDescent="0.25">
      <c r="M144" s="151"/>
    </row>
    <row r="145" spans="2:13" x14ac:dyDescent="0.25">
      <c r="M145" s="151"/>
    </row>
    <row r="146" spans="2:13" x14ac:dyDescent="0.25">
      <c r="M146" s="151"/>
    </row>
    <row r="147" spans="2:13" x14ac:dyDescent="0.25">
      <c r="B147" s="16" t="s">
        <v>127</v>
      </c>
      <c r="M147" s="151"/>
    </row>
  </sheetData>
  <mergeCells count="4">
    <mergeCell ref="A3:J3"/>
    <mergeCell ref="A4:J4"/>
    <mergeCell ref="A5:J5"/>
    <mergeCell ref="K16:K40"/>
  </mergeCells>
  <printOptions horizontalCentered="1"/>
  <pageMargins left="0.25" right="0" top="0.5" bottom="0" header="0" footer="0"/>
  <pageSetup paperSize="9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topLeftCell="A7" workbookViewId="0">
      <selection activeCell="A2" sqref="A2"/>
    </sheetView>
  </sheetViews>
  <sheetFormatPr defaultRowHeight="12.75" x14ac:dyDescent="0.2"/>
  <cols>
    <col min="1" max="1" width="29" customWidth="1"/>
    <col min="3" max="3" width="17.28515625" bestFit="1" customWidth="1"/>
    <col min="4" max="4" width="25.42578125" bestFit="1" customWidth="1"/>
    <col min="5" max="5" width="14.28515625" bestFit="1" customWidth="1"/>
    <col min="6" max="6" width="17.28515625" bestFit="1" customWidth="1"/>
    <col min="7" max="7" width="16" bestFit="1" customWidth="1"/>
    <col min="8" max="8" width="18" bestFit="1" customWidth="1"/>
    <col min="9" max="9" width="13.140625" bestFit="1" customWidth="1"/>
    <col min="10" max="10" width="16" bestFit="1" customWidth="1"/>
    <col min="11" max="11" width="21.85546875" bestFit="1" customWidth="1"/>
    <col min="12" max="12" width="16" bestFit="1" customWidth="1"/>
  </cols>
  <sheetData>
    <row r="2" spans="1:12" x14ac:dyDescent="0.2">
      <c r="A2" s="191" t="s">
        <v>155</v>
      </c>
      <c r="B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6.5" x14ac:dyDescent="0.3">
      <c r="A4" s="192" t="s">
        <v>156</v>
      </c>
      <c r="B4" s="193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x14ac:dyDescent="0.2">
      <c r="A6" s="194"/>
      <c r="B6" s="194"/>
      <c r="C6" s="126"/>
      <c r="D6" s="195" t="s">
        <v>157</v>
      </c>
      <c r="E6" s="195"/>
      <c r="F6" s="196"/>
      <c r="G6" s="126"/>
      <c r="H6" s="195" t="s">
        <v>158</v>
      </c>
      <c r="I6" s="195"/>
      <c r="J6" s="196"/>
      <c r="K6" s="197" t="s">
        <v>159</v>
      </c>
      <c r="L6" s="196"/>
    </row>
    <row r="7" spans="1:12" x14ac:dyDescent="0.2">
      <c r="A7" s="198" t="s">
        <v>160</v>
      </c>
      <c r="B7" s="198"/>
      <c r="C7" s="127"/>
      <c r="D7" s="199" t="s">
        <v>161</v>
      </c>
      <c r="E7" s="199"/>
      <c r="F7" s="200"/>
      <c r="G7" s="127"/>
      <c r="H7" s="199" t="s">
        <v>161</v>
      </c>
      <c r="I7" s="199"/>
      <c r="J7" s="200"/>
      <c r="K7" s="201" t="s">
        <v>162</v>
      </c>
      <c r="L7" s="200"/>
    </row>
    <row r="8" spans="1:12" ht="45" x14ac:dyDescent="0.3">
      <c r="A8" s="202"/>
      <c r="B8" s="203"/>
      <c r="C8" s="204" t="s">
        <v>163</v>
      </c>
      <c r="D8" s="204" t="s">
        <v>164</v>
      </c>
      <c r="E8" s="204" t="s">
        <v>165</v>
      </c>
      <c r="F8" s="205" t="s">
        <v>166</v>
      </c>
      <c r="G8" s="204" t="s">
        <v>167</v>
      </c>
      <c r="H8" s="204" t="s">
        <v>168</v>
      </c>
      <c r="I8" s="204" t="s">
        <v>169</v>
      </c>
      <c r="J8" s="205" t="s">
        <v>166</v>
      </c>
      <c r="K8" s="204" t="s">
        <v>166</v>
      </c>
      <c r="L8" s="205" t="s">
        <v>170</v>
      </c>
    </row>
    <row r="9" spans="1:12" ht="15" x14ac:dyDescent="0.3">
      <c r="A9" s="206" t="s">
        <v>171</v>
      </c>
      <c r="B9" s="207"/>
      <c r="C9" s="208">
        <v>9453253</v>
      </c>
      <c r="D9" s="126">
        <v>0</v>
      </c>
      <c r="E9" s="126"/>
      <c r="F9" s="208">
        <f>+C9+D9</f>
        <v>9453253</v>
      </c>
      <c r="G9" s="209">
        <v>0</v>
      </c>
      <c r="H9" s="126">
        <v>0</v>
      </c>
      <c r="I9" s="126"/>
      <c r="J9" s="196">
        <v>0</v>
      </c>
      <c r="K9" s="210">
        <f>F9-J9</f>
        <v>9453253</v>
      </c>
      <c r="L9" s="225">
        <v>9453253</v>
      </c>
    </row>
    <row r="10" spans="1:12" ht="15" x14ac:dyDescent="0.3">
      <c r="A10" s="206"/>
      <c r="B10" s="212"/>
      <c r="C10" s="208"/>
      <c r="D10" s="208"/>
      <c r="E10" s="208"/>
      <c r="F10" s="208"/>
      <c r="G10" s="211"/>
      <c r="H10" s="208"/>
      <c r="I10" s="208"/>
      <c r="J10" s="208"/>
      <c r="K10" s="211"/>
      <c r="L10" s="206"/>
    </row>
    <row r="11" spans="1:12" ht="15" x14ac:dyDescent="0.3">
      <c r="A11" s="206" t="s">
        <v>172</v>
      </c>
      <c r="B11" s="212"/>
      <c r="C11" s="208">
        <v>34625278.480000004</v>
      </c>
      <c r="D11" s="208">
        <f>2853191.26+106000</f>
        <v>2959191.26</v>
      </c>
      <c r="E11" s="208"/>
      <c r="F11" s="208">
        <f>+C11+D11</f>
        <v>37584469.740000002</v>
      </c>
      <c r="G11" s="211">
        <v>7558653.6485470245</v>
      </c>
      <c r="H11" s="208">
        <v>2752648</v>
      </c>
      <c r="I11" s="208"/>
      <c r="J11" s="208">
        <f>SUM(G11:H11)</f>
        <v>10311301.648547024</v>
      </c>
      <c r="K11" s="210">
        <f>F11-J11</f>
        <v>27273168.091452979</v>
      </c>
      <c r="L11" s="206">
        <v>27066624.831452981</v>
      </c>
    </row>
    <row r="12" spans="1:12" ht="15" x14ac:dyDescent="0.3">
      <c r="A12" s="206"/>
      <c r="B12" s="212"/>
      <c r="C12" s="208"/>
      <c r="D12" s="208"/>
      <c r="E12" s="208"/>
      <c r="F12" s="208"/>
      <c r="G12" s="211"/>
      <c r="H12" s="208"/>
      <c r="I12" s="208"/>
      <c r="J12" s="208"/>
      <c r="K12" s="211"/>
      <c r="L12" s="206"/>
    </row>
    <row r="13" spans="1:12" ht="15" x14ac:dyDescent="0.3">
      <c r="A13" s="206" t="s">
        <v>95</v>
      </c>
      <c r="B13" s="213"/>
      <c r="C13" s="208">
        <v>44557226.019999996</v>
      </c>
      <c r="D13" s="208">
        <v>0</v>
      </c>
      <c r="E13" s="208"/>
      <c r="F13" s="208">
        <f>+C13+D13</f>
        <v>44557226.019999996</v>
      </c>
      <c r="G13" s="211">
        <v>17359924.816469699</v>
      </c>
      <c r="H13" s="208">
        <v>4932287</v>
      </c>
      <c r="I13" s="208"/>
      <c r="J13" s="208">
        <f>G13+H13</f>
        <v>22292211.816469699</v>
      </c>
      <c r="K13" s="210">
        <f>F13-J13</f>
        <v>22265014.203530297</v>
      </c>
      <c r="L13" s="206">
        <v>27197301.203530297</v>
      </c>
    </row>
    <row r="14" spans="1:12" ht="15" x14ac:dyDescent="0.3">
      <c r="A14" s="206"/>
      <c r="B14" s="214"/>
      <c r="C14" s="208"/>
      <c r="D14" s="208"/>
      <c r="E14" s="208"/>
      <c r="F14" s="208"/>
      <c r="G14" s="211"/>
      <c r="H14" s="208"/>
      <c r="I14" s="208"/>
      <c r="J14" s="208"/>
      <c r="K14" s="211"/>
      <c r="L14" s="206"/>
    </row>
    <row r="15" spans="1:12" ht="15" x14ac:dyDescent="0.3">
      <c r="A15" s="206" t="s">
        <v>173</v>
      </c>
      <c r="B15" s="214"/>
      <c r="C15" s="208">
        <v>6622098.8600000003</v>
      </c>
      <c r="D15" s="208">
        <v>4203779.5999999996</v>
      </c>
      <c r="E15" s="208">
        <v>1364000</v>
      </c>
      <c r="F15" s="208">
        <f>+C15+D15-E15</f>
        <v>9461878.4600000009</v>
      </c>
      <c r="G15" s="211">
        <v>3588044.2496634247</v>
      </c>
      <c r="H15" s="208">
        <v>1614359</v>
      </c>
      <c r="I15" s="208">
        <f>426037+122070</f>
        <v>548107</v>
      </c>
      <c r="J15" s="208">
        <f>G15+H15-I15</f>
        <v>4654296.2496634247</v>
      </c>
      <c r="K15" s="210">
        <f>F15-J15</f>
        <v>4807582.2103365762</v>
      </c>
      <c r="L15" s="206">
        <v>3034054.6103365757</v>
      </c>
    </row>
    <row r="16" spans="1:12" ht="15" x14ac:dyDescent="0.3">
      <c r="A16" s="206"/>
      <c r="B16" s="214"/>
      <c r="C16" s="208"/>
      <c r="D16" s="208"/>
      <c r="E16" s="208"/>
      <c r="F16" s="208"/>
      <c r="G16" s="211"/>
      <c r="H16" s="208"/>
      <c r="I16" s="208"/>
      <c r="J16" s="208"/>
      <c r="K16" s="211"/>
      <c r="L16" s="206"/>
    </row>
    <row r="17" spans="1:12" ht="15" x14ac:dyDescent="0.3">
      <c r="A17" s="206" t="s">
        <v>174</v>
      </c>
      <c r="B17" s="213"/>
      <c r="C17" s="208">
        <v>18284580</v>
      </c>
      <c r="D17" s="208">
        <f>283000+919000+526420</f>
        <v>1728420</v>
      </c>
      <c r="E17" s="208"/>
      <c r="F17" s="208">
        <f>+C17+D17</f>
        <v>20013000</v>
      </c>
      <c r="G17" s="211">
        <v>6853607.0327560836</v>
      </c>
      <c r="H17" s="208">
        <v>2346989</v>
      </c>
      <c r="I17" s="208"/>
      <c r="J17" s="208">
        <f>G17+H17</f>
        <v>9200596.0327560827</v>
      </c>
      <c r="K17" s="210">
        <f>F17-J17</f>
        <v>10812403.967243917</v>
      </c>
      <c r="L17" s="206">
        <v>11430972.967243917</v>
      </c>
    </row>
    <row r="18" spans="1:12" ht="15" x14ac:dyDescent="0.3">
      <c r="A18" s="206"/>
      <c r="B18" s="214"/>
      <c r="C18" s="208"/>
      <c r="D18" s="208"/>
      <c r="E18" s="208"/>
      <c r="F18" s="208"/>
      <c r="G18" s="211"/>
      <c r="H18" s="208"/>
      <c r="I18" s="208"/>
      <c r="J18" s="208"/>
      <c r="K18" s="211"/>
      <c r="L18" s="206"/>
    </row>
    <row r="19" spans="1:12" ht="15" x14ac:dyDescent="0.3">
      <c r="A19" s="206" t="s">
        <v>97</v>
      </c>
      <c r="B19" s="213"/>
      <c r="C19" s="208">
        <v>164408.90000000002</v>
      </c>
      <c r="D19" s="208"/>
      <c r="E19" s="208"/>
      <c r="F19" s="208">
        <f>+C19+D19</f>
        <v>164408.90000000002</v>
      </c>
      <c r="G19" s="211">
        <v>136452.08913318845</v>
      </c>
      <c r="H19" s="208">
        <v>15514</v>
      </c>
      <c r="I19" s="208"/>
      <c r="J19" s="208">
        <f>G19+H19</f>
        <v>151966.08913318845</v>
      </c>
      <c r="K19" s="210">
        <f>F19-J19</f>
        <v>12442.810866811575</v>
      </c>
      <c r="L19" s="206">
        <v>27956.810866811575</v>
      </c>
    </row>
    <row r="20" spans="1:12" ht="15" x14ac:dyDescent="0.3">
      <c r="A20" s="206"/>
      <c r="B20" s="214"/>
      <c r="C20" s="208"/>
      <c r="D20" s="208"/>
      <c r="E20" s="208"/>
      <c r="F20" s="208"/>
      <c r="G20" s="211"/>
      <c r="H20" s="208"/>
      <c r="I20" s="208"/>
      <c r="J20" s="208"/>
      <c r="K20" s="211"/>
      <c r="L20" s="206"/>
    </row>
    <row r="21" spans="1:12" ht="15" x14ac:dyDescent="0.3">
      <c r="A21" s="206" t="s">
        <v>50</v>
      </c>
      <c r="B21" s="213"/>
      <c r="C21" s="208">
        <v>706409.64</v>
      </c>
      <c r="D21" s="208">
        <v>249975.34</v>
      </c>
      <c r="E21" s="208"/>
      <c r="F21" s="208">
        <f>+C21+D21</f>
        <v>956384.98</v>
      </c>
      <c r="G21" s="211">
        <v>328562.68066392082</v>
      </c>
      <c r="H21" s="208">
        <v>145351</v>
      </c>
      <c r="I21" s="208"/>
      <c r="J21" s="208">
        <f>G21+H21</f>
        <v>473913.68066392082</v>
      </c>
      <c r="K21" s="210">
        <f>F21-J21</f>
        <v>482471.29933607916</v>
      </c>
      <c r="L21" s="206">
        <v>377846.95933607919</v>
      </c>
    </row>
    <row r="22" spans="1:12" ht="15" x14ac:dyDescent="0.3">
      <c r="A22" s="206"/>
      <c r="B22" s="214"/>
      <c r="C22" s="208"/>
      <c r="D22" s="208"/>
      <c r="E22" s="208"/>
      <c r="F22" s="208"/>
      <c r="G22" s="211"/>
      <c r="H22" s="208"/>
      <c r="I22" s="208"/>
      <c r="J22" s="208"/>
      <c r="K22" s="211"/>
      <c r="L22" s="206"/>
    </row>
    <row r="23" spans="1:12" ht="15" x14ac:dyDescent="0.3">
      <c r="A23" s="206" t="s">
        <v>175</v>
      </c>
      <c r="B23" s="213"/>
      <c r="C23" s="215">
        <v>73880</v>
      </c>
      <c r="D23" s="216">
        <v>0</v>
      </c>
      <c r="E23" s="216"/>
      <c r="F23" s="216">
        <f>+C23+D23</f>
        <v>73880</v>
      </c>
      <c r="G23" s="215">
        <v>43502.130920812058</v>
      </c>
      <c r="H23" s="216">
        <v>9619</v>
      </c>
      <c r="I23" s="216"/>
      <c r="J23" s="216">
        <f>G23+H23</f>
        <v>53121.130920812058</v>
      </c>
      <c r="K23" s="217">
        <f>F23-J23</f>
        <v>20758.869079187942</v>
      </c>
      <c r="L23" s="226">
        <v>30377.869079187942</v>
      </c>
    </row>
    <row r="24" spans="1:12" ht="15" x14ac:dyDescent="0.3">
      <c r="A24" s="218" t="s">
        <v>176</v>
      </c>
      <c r="B24" s="219"/>
      <c r="C24" s="215">
        <f t="shared" ref="C24:L24" si="0">SUM(C9:C23)</f>
        <v>114487134.90000001</v>
      </c>
      <c r="D24" s="216">
        <f t="shared" si="0"/>
        <v>9141366.1999999993</v>
      </c>
      <c r="E24" s="216"/>
      <c r="F24" s="220">
        <f>SUM(F9:F23)</f>
        <v>122264501.10000001</v>
      </c>
      <c r="G24" s="215">
        <f t="shared" si="0"/>
        <v>35868746.648154154</v>
      </c>
      <c r="H24" s="216">
        <f t="shared" si="0"/>
        <v>11816767</v>
      </c>
      <c r="I24" s="216"/>
      <c r="J24" s="216">
        <f t="shared" si="0"/>
        <v>47137406.648154154</v>
      </c>
      <c r="K24" s="215">
        <f>SUM(K9:K23)</f>
        <v>75127094.451845855</v>
      </c>
      <c r="L24" s="221">
        <f t="shared" si="0"/>
        <v>78618388.251845837</v>
      </c>
    </row>
    <row r="25" spans="1:12" ht="15.75" thickBot="1" x14ac:dyDescent="0.35">
      <c r="A25" s="222" t="s">
        <v>177</v>
      </c>
      <c r="B25" s="222"/>
      <c r="C25" s="223">
        <v>112023535.19999999</v>
      </c>
      <c r="D25" s="223">
        <v>2463599.6999999997</v>
      </c>
      <c r="E25" s="223"/>
      <c r="F25" s="223">
        <v>114487134.90000001</v>
      </c>
      <c r="G25" s="223">
        <v>22981606.648154154</v>
      </c>
      <c r="H25" s="223">
        <v>12887140</v>
      </c>
      <c r="I25" s="223"/>
      <c r="J25" s="223">
        <v>35868746.648154154</v>
      </c>
      <c r="K25" s="224">
        <v>78618388.251845837</v>
      </c>
      <c r="L25" s="224">
        <v>89041928.551845819</v>
      </c>
    </row>
    <row r="26" spans="1:12" ht="13.5" thickTop="1" x14ac:dyDescent="0.2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D20"/>
  <sheetViews>
    <sheetView topLeftCell="A13" workbookViewId="0">
      <selection activeCell="C23" sqref="C23"/>
    </sheetView>
  </sheetViews>
  <sheetFormatPr defaultRowHeight="12.75" x14ac:dyDescent="0.2"/>
  <sheetData>
    <row r="10" spans="1:4" x14ac:dyDescent="0.2">
      <c r="B10" t="s">
        <v>41</v>
      </c>
      <c r="C10" s="85"/>
    </row>
    <row r="11" spans="1:4" x14ac:dyDescent="0.2">
      <c r="A11" s="86">
        <v>43018</v>
      </c>
      <c r="B11" s="87" t="s">
        <v>10</v>
      </c>
      <c r="C11" s="85">
        <v>75390.62</v>
      </c>
    </row>
    <row r="12" spans="1:4" x14ac:dyDescent="0.2">
      <c r="A12" s="86">
        <v>42998</v>
      </c>
      <c r="B12" t="s">
        <v>40</v>
      </c>
      <c r="C12" s="85">
        <v>1021</v>
      </c>
      <c r="D12">
        <v>10</v>
      </c>
    </row>
    <row r="13" spans="1:4" x14ac:dyDescent="0.2">
      <c r="A13" s="86">
        <v>42998</v>
      </c>
      <c r="B13" t="s">
        <v>37</v>
      </c>
      <c r="C13" s="85">
        <v>7471.8</v>
      </c>
      <c r="D13">
        <v>10</v>
      </c>
    </row>
    <row r="14" spans="1:4" x14ac:dyDescent="0.2">
      <c r="A14" s="86">
        <v>43022</v>
      </c>
      <c r="B14" t="s">
        <v>40</v>
      </c>
      <c r="C14" s="85">
        <v>6765</v>
      </c>
    </row>
    <row r="15" spans="1:4" x14ac:dyDescent="0.2">
      <c r="A15" s="86">
        <v>43162</v>
      </c>
      <c r="B15" t="s">
        <v>39</v>
      </c>
      <c r="C15" s="85">
        <f>2500+6825</f>
        <v>9325</v>
      </c>
    </row>
    <row r="16" spans="1:4" x14ac:dyDescent="0.2">
      <c r="A16" s="86">
        <v>43019</v>
      </c>
      <c r="B16" t="s">
        <v>38</v>
      </c>
      <c r="C16" s="85">
        <v>36200</v>
      </c>
    </row>
    <row r="17" spans="1:4" x14ac:dyDescent="0.2">
      <c r="A17" s="86">
        <v>43049</v>
      </c>
      <c r="B17" t="s">
        <v>38</v>
      </c>
      <c r="C17" s="85">
        <v>28124.799999999999</v>
      </c>
    </row>
    <row r="18" spans="1:4" x14ac:dyDescent="0.2">
      <c r="A18" s="86">
        <v>42993</v>
      </c>
      <c r="B18" t="s">
        <v>37</v>
      </c>
      <c r="C18" s="85">
        <v>35142.22</v>
      </c>
      <c r="D18">
        <v>10</v>
      </c>
    </row>
    <row r="19" spans="1:4" x14ac:dyDescent="0.2">
      <c r="A19" s="86">
        <v>43022</v>
      </c>
      <c r="B19" t="s">
        <v>37</v>
      </c>
      <c r="C19" s="85">
        <v>37169</v>
      </c>
      <c r="D19">
        <v>10</v>
      </c>
    </row>
    <row r="20" spans="1:4" x14ac:dyDescent="0.2">
      <c r="A20" s="86">
        <v>43162</v>
      </c>
      <c r="B20" t="s">
        <v>36</v>
      </c>
      <c r="C20" s="85">
        <v>50000</v>
      </c>
      <c r="D20"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>
      <selection activeCell="K8" sqref="K8"/>
    </sheetView>
  </sheetViews>
  <sheetFormatPr defaultRowHeight="12.75" x14ac:dyDescent="0.2"/>
  <cols>
    <col min="1" max="1" width="38.28515625" bestFit="1" customWidth="1"/>
    <col min="2" max="2" width="16.5703125" bestFit="1" customWidth="1"/>
    <col min="3" max="3" width="21.5703125" bestFit="1" customWidth="1"/>
    <col min="4" max="4" width="19.140625" bestFit="1" customWidth="1"/>
    <col min="5" max="5" width="10.85546875" bestFit="1" customWidth="1"/>
    <col min="6" max="6" width="20.140625" bestFit="1" customWidth="1"/>
    <col min="7" max="7" width="19.7109375" bestFit="1" customWidth="1"/>
    <col min="8" max="8" width="13.7109375" customWidth="1"/>
    <col min="9" max="9" width="20.5703125" bestFit="1" customWidth="1"/>
    <col min="10" max="10" width="9.28515625" bestFit="1" customWidth="1"/>
    <col min="11" max="11" width="12.7109375" bestFit="1" customWidth="1"/>
  </cols>
  <sheetData>
    <row r="1" spans="1:11" x14ac:dyDescent="0.2">
      <c r="A1" s="91" t="s">
        <v>82</v>
      </c>
      <c r="B1" s="92"/>
      <c r="C1" s="92"/>
      <c r="D1" s="92"/>
      <c r="E1" s="92"/>
      <c r="F1" s="92"/>
      <c r="G1" s="92"/>
      <c r="H1" s="92"/>
      <c r="I1" s="92"/>
      <c r="J1" s="92"/>
    </row>
    <row r="2" spans="1:11" ht="15.75" thickBot="1" x14ac:dyDescent="0.35">
      <c r="A2" s="93"/>
      <c r="B2" s="93"/>
      <c r="C2" s="93"/>
      <c r="D2" s="93"/>
      <c r="E2" s="93"/>
      <c r="F2" s="93"/>
      <c r="G2" s="93"/>
      <c r="H2" s="93"/>
      <c r="I2" s="93"/>
      <c r="J2" s="94"/>
    </row>
    <row r="3" spans="1:11" ht="15.75" thickBot="1" x14ac:dyDescent="0.3">
      <c r="A3" s="95" t="s">
        <v>83</v>
      </c>
      <c r="B3" s="96"/>
      <c r="C3" s="96"/>
      <c r="D3" s="96"/>
      <c r="E3" s="96"/>
      <c r="F3" s="96"/>
      <c r="G3" s="96"/>
      <c r="H3" s="96"/>
      <c r="I3" s="96"/>
      <c r="J3" s="97"/>
    </row>
    <row r="4" spans="1:11" x14ac:dyDescent="0.2">
      <c r="A4" s="98"/>
      <c r="B4" s="99"/>
      <c r="C4" s="99"/>
      <c r="D4" s="99"/>
      <c r="E4" s="99"/>
      <c r="F4" s="99"/>
      <c r="G4" s="99"/>
      <c r="H4" s="99"/>
      <c r="I4" s="99"/>
      <c r="J4" s="100"/>
    </row>
    <row r="5" spans="1:11" x14ac:dyDescent="0.2">
      <c r="A5" s="101" t="s">
        <v>84</v>
      </c>
      <c r="B5" s="102" t="s">
        <v>85</v>
      </c>
      <c r="C5" s="102" t="s">
        <v>86</v>
      </c>
      <c r="D5" s="102" t="s">
        <v>86</v>
      </c>
      <c r="E5" s="102" t="s">
        <v>87</v>
      </c>
      <c r="F5" s="102" t="s">
        <v>88</v>
      </c>
      <c r="G5" s="102" t="s">
        <v>89</v>
      </c>
      <c r="H5" s="102" t="s">
        <v>90</v>
      </c>
      <c r="I5" s="103" t="s">
        <v>91</v>
      </c>
      <c r="J5" s="104" t="s">
        <v>92</v>
      </c>
    </row>
    <row r="6" spans="1:11" ht="25.5" x14ac:dyDescent="0.2">
      <c r="A6" s="105"/>
      <c r="B6" s="106" t="s">
        <v>117</v>
      </c>
      <c r="C6" s="125" t="s">
        <v>118</v>
      </c>
      <c r="D6" s="106" t="s">
        <v>119</v>
      </c>
      <c r="E6" s="106" t="s">
        <v>93</v>
      </c>
      <c r="F6" s="107" t="s">
        <v>120</v>
      </c>
      <c r="G6" s="107" t="s">
        <v>94</v>
      </c>
      <c r="H6" s="107" t="s">
        <v>89</v>
      </c>
      <c r="I6" s="108" t="s">
        <v>121</v>
      </c>
      <c r="J6" s="109"/>
    </row>
    <row r="7" spans="1:11" x14ac:dyDescent="0.2">
      <c r="A7" s="105"/>
      <c r="B7" s="110"/>
      <c r="C7" s="110"/>
      <c r="D7" s="110"/>
      <c r="E7" s="110"/>
      <c r="F7" s="110"/>
      <c r="G7" s="110"/>
      <c r="H7" s="110"/>
      <c r="I7" s="111"/>
      <c r="J7" s="112"/>
    </row>
    <row r="8" spans="1:11" ht="15" x14ac:dyDescent="0.3">
      <c r="A8" s="113" t="s">
        <v>6</v>
      </c>
      <c r="B8" s="114">
        <v>9453253</v>
      </c>
      <c r="C8" s="114">
        <v>0</v>
      </c>
      <c r="D8" s="114">
        <v>0</v>
      </c>
      <c r="E8" s="114">
        <v>0</v>
      </c>
      <c r="F8" s="114">
        <f>B8+C8+D8-E8</f>
        <v>9453253</v>
      </c>
      <c r="G8" s="114">
        <f>((B8+C8)*J8)+(D8*0.5*J8)</f>
        <v>0</v>
      </c>
      <c r="H8" s="114"/>
      <c r="I8" s="114">
        <f>F8-G8</f>
        <v>9453253</v>
      </c>
      <c r="J8" s="115"/>
    </row>
    <row r="9" spans="1:11" ht="15" x14ac:dyDescent="0.3">
      <c r="A9" s="113"/>
      <c r="B9" s="114"/>
      <c r="C9" s="114"/>
      <c r="D9" s="114"/>
      <c r="E9" s="114"/>
      <c r="F9" s="114"/>
      <c r="G9" s="114"/>
      <c r="H9" s="114"/>
      <c r="I9" s="114"/>
      <c r="J9" s="115"/>
    </row>
    <row r="10" spans="1:11" ht="15" x14ac:dyDescent="0.3">
      <c r="A10" s="113" t="s">
        <v>47</v>
      </c>
      <c r="B10" s="114">
        <v>28124354.52</v>
      </c>
      <c r="C10" s="114"/>
      <c r="D10" s="114"/>
      <c r="E10" s="114"/>
      <c r="F10" s="114">
        <f>B10+C10+D10-E10</f>
        <v>28124354.52</v>
      </c>
      <c r="G10" s="114">
        <f>ROUND((B10+C10+(D10/2))*J10,0)</f>
        <v>2812435</v>
      </c>
      <c r="H10" s="114">
        <v>0</v>
      </c>
      <c r="I10" s="114">
        <f>F10-G10-H10</f>
        <v>25311919.52</v>
      </c>
      <c r="J10" s="115">
        <v>0.1</v>
      </c>
      <c r="K10" s="128"/>
    </row>
    <row r="11" spans="1:11" ht="15" x14ac:dyDescent="0.3">
      <c r="A11" s="113"/>
      <c r="B11" s="114"/>
      <c r="C11" s="114"/>
      <c r="D11" s="114"/>
      <c r="E11" s="114"/>
      <c r="F11" s="114"/>
      <c r="G11" s="114"/>
      <c r="H11" s="114"/>
      <c r="I11" s="114"/>
      <c r="J11" s="115"/>
    </row>
    <row r="12" spans="1:11" ht="15" x14ac:dyDescent="0.3">
      <c r="A12" s="113" t="s">
        <v>95</v>
      </c>
      <c r="B12" s="114">
        <v>45869052.740000002</v>
      </c>
      <c r="C12" s="134"/>
      <c r="D12" s="134"/>
      <c r="E12" s="134">
        <v>0</v>
      </c>
      <c r="F12" s="134">
        <f>B12+C12+D12-E12</f>
        <v>45869052.740000002</v>
      </c>
      <c r="G12" s="134">
        <f>ROUND((B12+C12+(D12/2))*J12,0)</f>
        <v>6880358</v>
      </c>
      <c r="H12" s="134">
        <v>0</v>
      </c>
      <c r="I12" s="134">
        <f>F12-G12-H12</f>
        <v>38988694.740000002</v>
      </c>
      <c r="J12" s="135">
        <v>0.15</v>
      </c>
      <c r="K12" s="128"/>
    </row>
    <row r="13" spans="1:11" ht="15" x14ac:dyDescent="0.3">
      <c r="A13" s="113"/>
      <c r="B13" s="114"/>
      <c r="C13" s="136"/>
      <c r="D13" s="136"/>
      <c r="E13" s="136"/>
      <c r="F13" s="136"/>
      <c r="G13" s="136"/>
      <c r="H13" s="136"/>
      <c r="I13" s="134"/>
      <c r="J13" s="135"/>
    </row>
    <row r="14" spans="1:11" ht="15" x14ac:dyDescent="0.3">
      <c r="A14" s="113" t="s">
        <v>34</v>
      </c>
      <c r="B14" s="114">
        <v>53378</v>
      </c>
      <c r="C14" s="136">
        <v>0</v>
      </c>
      <c r="D14" s="136">
        <v>0</v>
      </c>
      <c r="E14" s="136">
        <v>0</v>
      </c>
      <c r="F14" s="136">
        <f>B14+D14+C14</f>
        <v>53378</v>
      </c>
      <c r="G14" s="136">
        <f>ROUND(B14*J14+C14*J14+D14*J14/2,0)</f>
        <v>8007</v>
      </c>
      <c r="H14" s="134">
        <v>0</v>
      </c>
      <c r="I14" s="134">
        <f>F14-G14</f>
        <v>45371</v>
      </c>
      <c r="J14" s="135">
        <v>0.15</v>
      </c>
      <c r="K14" s="128"/>
    </row>
    <row r="15" spans="1:11" ht="15" x14ac:dyDescent="0.3">
      <c r="A15" s="113"/>
      <c r="B15" s="114"/>
      <c r="C15" s="136"/>
      <c r="D15" s="136"/>
      <c r="E15" s="136"/>
      <c r="F15" s="136"/>
      <c r="G15" s="136"/>
      <c r="H15" s="136"/>
      <c r="I15" s="134"/>
      <c r="J15" s="135"/>
    </row>
    <row r="16" spans="1:11" ht="15" x14ac:dyDescent="0.3">
      <c r="A16" s="113" t="s">
        <v>97</v>
      </c>
      <c r="B16" s="114">
        <v>81706.44</v>
      </c>
      <c r="C16" s="136"/>
      <c r="D16" s="136"/>
      <c r="E16" s="136">
        <v>0</v>
      </c>
      <c r="F16" s="136">
        <f>B16+D16+C16</f>
        <v>81706.44</v>
      </c>
      <c r="G16" s="136">
        <f>ROUND(B16*J16+C16*J16+D16*J16/2,0)</f>
        <v>32683</v>
      </c>
      <c r="H16" s="134">
        <v>0</v>
      </c>
      <c r="I16" s="134">
        <f>F16-G16</f>
        <v>49023.44</v>
      </c>
      <c r="J16" s="135">
        <v>0.4</v>
      </c>
      <c r="K16" s="128"/>
    </row>
    <row r="17" spans="1:11" ht="15" x14ac:dyDescent="0.3">
      <c r="A17" s="113"/>
      <c r="B17" s="114"/>
      <c r="C17" s="136"/>
      <c r="D17" s="136"/>
      <c r="E17" s="136"/>
      <c r="F17" s="136"/>
      <c r="G17" s="136"/>
      <c r="H17" s="136"/>
      <c r="I17" s="134"/>
      <c r="J17" s="135"/>
      <c r="K17" s="128"/>
    </row>
    <row r="18" spans="1:11" ht="15" x14ac:dyDescent="0.3">
      <c r="A18" s="113" t="s">
        <v>98</v>
      </c>
      <c r="B18" s="114">
        <v>5169438.9000000004</v>
      </c>
      <c r="C18" s="136"/>
      <c r="D18" s="136">
        <v>0</v>
      </c>
      <c r="E18" s="136">
        <v>0</v>
      </c>
      <c r="F18" s="136">
        <f>B18+D18+C18</f>
        <v>5169438.9000000004</v>
      </c>
      <c r="G18" s="136">
        <f>ROUND(B18*J18+C18*J18+D18*J18/2,0)</f>
        <v>775416</v>
      </c>
      <c r="H18" s="134">
        <v>0</v>
      </c>
      <c r="I18" s="134">
        <f>F18-G18</f>
        <v>4394022.9000000004</v>
      </c>
      <c r="J18" s="135">
        <v>0.15</v>
      </c>
      <c r="K18" s="128"/>
    </row>
    <row r="19" spans="1:11" ht="15" x14ac:dyDescent="0.3">
      <c r="A19" s="113"/>
      <c r="B19" s="114"/>
      <c r="C19" s="117"/>
      <c r="D19" s="117"/>
      <c r="E19" s="117"/>
      <c r="F19" s="117"/>
      <c r="G19" s="117"/>
      <c r="H19" s="117"/>
      <c r="I19" s="114"/>
      <c r="J19" s="115"/>
      <c r="K19" s="128"/>
    </row>
    <row r="20" spans="1:11" ht="15" x14ac:dyDescent="0.3">
      <c r="A20" s="113" t="s">
        <v>96</v>
      </c>
      <c r="B20" s="114">
        <v>595116</v>
      </c>
      <c r="C20" s="119"/>
      <c r="D20" s="119">
        <v>0</v>
      </c>
      <c r="E20" s="119">
        <v>0</v>
      </c>
      <c r="F20" s="117">
        <f>B20+D20+C20</f>
        <v>595116</v>
      </c>
      <c r="G20" s="117">
        <f>ROUND(B20*J20+C20*J20+D20*J20/2,0)</f>
        <v>59512</v>
      </c>
      <c r="H20" s="114">
        <v>0</v>
      </c>
      <c r="I20" s="114">
        <f>F20-G20</f>
        <v>535604</v>
      </c>
      <c r="J20" s="115">
        <v>0.1</v>
      </c>
      <c r="K20" s="128"/>
    </row>
    <row r="21" spans="1:11" ht="15" x14ac:dyDescent="0.3">
      <c r="A21" s="116"/>
      <c r="B21" s="118"/>
      <c r="C21" s="119"/>
      <c r="D21" s="119"/>
      <c r="E21" s="119"/>
      <c r="F21" s="120"/>
      <c r="G21" s="119"/>
      <c r="H21" s="119"/>
      <c r="I21" s="114"/>
      <c r="J21" s="121"/>
    </row>
    <row r="22" spans="1:11" ht="13.5" thickBot="1" x14ac:dyDescent="0.25">
      <c r="A22" s="122"/>
      <c r="B22" s="123">
        <f>SUM(B8:B20)</f>
        <v>89346299.599999994</v>
      </c>
      <c r="C22" s="123">
        <f>SUM(C8:C20)</f>
        <v>0</v>
      </c>
      <c r="D22" s="123">
        <f>SUM(D8:D20)</f>
        <v>0</v>
      </c>
      <c r="E22" s="123">
        <f>SUM(E8:E12)</f>
        <v>0</v>
      </c>
      <c r="F22" s="123">
        <f>SUM(F8:F20)</f>
        <v>89346299.599999994</v>
      </c>
      <c r="G22" s="123">
        <f>SUM(G8:G20)</f>
        <v>10568411</v>
      </c>
      <c r="H22" s="123">
        <f>SUM(H8:H20)</f>
        <v>0</v>
      </c>
      <c r="I22" s="123">
        <f>SUM(I8:I20)</f>
        <v>78777888.599999994</v>
      </c>
      <c r="J22" s="124"/>
    </row>
    <row r="23" spans="1:11" x14ac:dyDescent="0.2">
      <c r="A23" s="93"/>
      <c r="B23" s="132"/>
      <c r="C23" s="132"/>
      <c r="D23" s="132"/>
      <c r="E23" s="132"/>
      <c r="F23" s="132"/>
      <c r="G23" s="132"/>
      <c r="H23" s="132"/>
      <c r="I23" s="132"/>
      <c r="J23" s="133"/>
    </row>
    <row r="24" spans="1:11" x14ac:dyDescent="0.2">
      <c r="A24" s="131" t="s">
        <v>101</v>
      </c>
      <c r="B24" s="92"/>
      <c r="C24" s="92"/>
      <c r="D24" s="92"/>
      <c r="E24" s="92"/>
      <c r="F24" s="92"/>
      <c r="G24" s="92"/>
      <c r="H24" s="92"/>
      <c r="I24" s="92"/>
      <c r="J24" s="92"/>
    </row>
    <row r="25" spans="1:11" x14ac:dyDescent="0.2">
      <c r="A25" s="92"/>
      <c r="B25" s="92"/>
      <c r="C25" s="92"/>
      <c r="D25" s="92"/>
      <c r="E25" s="92"/>
      <c r="F25" s="92"/>
      <c r="G25" s="92"/>
      <c r="H25" s="92"/>
      <c r="I25" s="92"/>
      <c r="J25" s="92"/>
    </row>
    <row r="26" spans="1:11" x14ac:dyDescent="0.2">
      <c r="A26" s="129" t="s">
        <v>99</v>
      </c>
      <c r="B26" s="126">
        <f>'[1]Depreciation Co''s Act'!$I$26</f>
        <v>78618388.251845837</v>
      </c>
      <c r="F26" s="128"/>
      <c r="G26" s="128"/>
    </row>
    <row r="27" spans="1:11" x14ac:dyDescent="0.2">
      <c r="A27" s="129"/>
      <c r="B27" s="126"/>
      <c r="F27" s="128"/>
      <c r="G27" s="128"/>
    </row>
    <row r="28" spans="1:11" x14ac:dyDescent="0.2">
      <c r="A28" s="129" t="s">
        <v>100</v>
      </c>
      <c r="B28" s="127">
        <f>I22</f>
        <v>78777888.599999994</v>
      </c>
      <c r="F28" s="128"/>
      <c r="G28" s="128"/>
    </row>
    <row r="29" spans="1:11" x14ac:dyDescent="0.2">
      <c r="B29" s="128">
        <f>B26-B28</f>
        <v>-159500.3481541574</v>
      </c>
    </row>
    <row r="30" spans="1:11" x14ac:dyDescent="0.2">
      <c r="B30" s="128"/>
    </row>
    <row r="31" spans="1:11" x14ac:dyDescent="0.2">
      <c r="A31" s="129" t="s">
        <v>112</v>
      </c>
      <c r="B31" s="130">
        <f>ROUND(B29*26%,)</f>
        <v>-41470</v>
      </c>
    </row>
  </sheetData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Assets Pur. after 31.03.2017</vt:lpstr>
      <vt:lpstr>Sheet1</vt:lpstr>
      <vt:lpstr>DEP Sheet With Dummy Figure (2)</vt:lpstr>
      <vt:lpstr>00 Assets Pur. after 31.03.2017</vt:lpstr>
      <vt:lpstr>FA as per BS 21</vt:lpstr>
      <vt:lpstr>Sheet1 (2)</vt:lpstr>
      <vt:lpstr>Deferred</vt:lpstr>
      <vt:lpstr>'00 Assets Pur. after 31.03.2017'!Print_Area</vt:lpstr>
      <vt:lpstr>'Assets Pur. after 31.03.2017'!Print_Area</vt:lpstr>
      <vt:lpstr>Deferred!Print_Area</vt:lpstr>
      <vt:lpstr>'DEP Sheet With Dummy Figure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2018-10-25T09:15:15Z</cp:lastPrinted>
  <dcterms:created xsi:type="dcterms:W3CDTF">1996-10-14T23:33:28Z</dcterms:created>
  <dcterms:modified xsi:type="dcterms:W3CDTF">2021-07-19T12:22:27Z</dcterms:modified>
</cp:coreProperties>
</file>