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gineer2\Documents\Downloads\VIS(2021-22)-PL366-Q87-373-485 Amit Metaliks limited\"/>
    </mc:Choice>
  </mc:AlternateContent>
  <bookViews>
    <workbookView xWindow="0" yWindow="0" windowWidth="21600" windowHeight="9630" firstSheet="6" activeTab="10"/>
  </bookViews>
  <sheets>
    <sheet name="Sheet1" sheetId="1" r:id="rId1"/>
    <sheet name="dep added 20-21" sheetId="15" r:id="rId2"/>
    <sheet name="dep additional for expansion" sheetId="16" r:id="rId3"/>
    <sheet name="P&amp;M" sheetId="2" r:id="rId4"/>
    <sheet name="FURNITURE FIXTURES" sheetId="3" r:id="rId5"/>
    <sheet name="MOTOR VEHICLES" sheetId="5" r:id="rId6"/>
    <sheet name="OFFICE EQUIPMENTS" sheetId="17" r:id="rId7"/>
    <sheet name="Electrical Installattions" sheetId="10" r:id="rId8"/>
    <sheet name="COMPUTER" sheetId="18" r:id="rId9"/>
    <sheet name="SOFTWARE" sheetId="19" r:id="rId10"/>
    <sheet name="summary" sheetId="13" r:id="rId11"/>
    <sheet name="internal summary" sheetId="20" r:id="rId12"/>
    <sheet name="Sheet9" sheetId="21" r:id="rId13"/>
  </sheets>
  <externalReferences>
    <externalReference r:id="rId14"/>
    <externalReference r:id="rId15"/>
    <externalReference r:id="rId16"/>
    <externalReference r:id="rId17"/>
  </externalReferences>
  <definedNames>
    <definedName name="_xlnm._FilterDatabase" localSheetId="8" hidden="1">COMPUTER!$B$2:$O$101</definedName>
    <definedName name="_xlnm._FilterDatabase" localSheetId="7" hidden="1">'Electrical Installattions'!$B$2:$O$24</definedName>
    <definedName name="_xlnm._FilterDatabase" localSheetId="4" hidden="1">'FURNITURE FIXTURES'!$B$5:$O$28</definedName>
    <definedName name="_xlnm._FilterDatabase" localSheetId="5" hidden="1">'MOTOR VEHICLES'!$B$5:$O$14</definedName>
    <definedName name="_xlnm._FilterDatabase" localSheetId="6" hidden="1">'OFFICE EQUIPMENTS'!$B$4:$O$78</definedName>
    <definedName name="_xlnm._FilterDatabase" localSheetId="3" hidden="1">'P&amp;M'!$B$4:$Q$309</definedName>
    <definedName name="_xlnm._FilterDatabase" localSheetId="0" hidden="1">Sheet1!$A$14:$Y$259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 i="19" l="1"/>
  <c r="M12" i="19"/>
  <c r="J12" i="19"/>
  <c r="O101" i="18"/>
  <c r="L101" i="18"/>
  <c r="I101" i="18"/>
  <c r="O24" i="10"/>
  <c r="L24" i="10"/>
  <c r="I24" i="10"/>
  <c r="L78" i="17"/>
  <c r="O78" i="17"/>
  <c r="I78" i="17"/>
  <c r="O14" i="5"/>
  <c r="L14" i="5"/>
  <c r="I14" i="5"/>
  <c r="O28" i="3"/>
  <c r="L28" i="3"/>
  <c r="I28" i="3"/>
  <c r="M309" i="2"/>
  <c r="J309" i="2"/>
  <c r="P309" i="2"/>
  <c r="N28" i="3" l="1"/>
  <c r="M28" i="3"/>
  <c r="J28" i="3"/>
  <c r="F6" i="2" l="1"/>
  <c r="F7" i="2"/>
  <c r="H7" i="2" s="1"/>
  <c r="F8" i="2"/>
  <c r="H8" i="2" s="1"/>
  <c r="F9" i="2"/>
  <c r="H9" i="2" s="1"/>
  <c r="F10" i="2"/>
  <c r="F11" i="2"/>
  <c r="H11" i="2" s="1"/>
  <c r="F12" i="2"/>
  <c r="H12" i="2" s="1"/>
  <c r="F13" i="2"/>
  <c r="H13" i="2" s="1"/>
  <c r="F14" i="2"/>
  <c r="H14" i="2" s="1"/>
  <c r="F15" i="2"/>
  <c r="H15" i="2" s="1"/>
  <c r="F16" i="2"/>
  <c r="H16" i="2" s="1"/>
  <c r="F17" i="2"/>
  <c r="H17" i="2" s="1"/>
  <c r="F18" i="2"/>
  <c r="F19" i="2"/>
  <c r="F20" i="2"/>
  <c r="H20" i="2" s="1"/>
  <c r="F21" i="2"/>
  <c r="H21" i="2" s="1"/>
  <c r="F22" i="2"/>
  <c r="H22" i="2" s="1"/>
  <c r="F23" i="2"/>
  <c r="H23" i="2" s="1"/>
  <c r="F24" i="2"/>
  <c r="H24" i="2" s="1"/>
  <c r="F25" i="2"/>
  <c r="H25" i="2" s="1"/>
  <c r="F26" i="2"/>
  <c r="H26" i="2" s="1"/>
  <c r="F27" i="2"/>
  <c r="H27" i="2" s="1"/>
  <c r="F28" i="2"/>
  <c r="H28" i="2" s="1"/>
  <c r="F29" i="2"/>
  <c r="F30" i="2"/>
  <c r="F31" i="2"/>
  <c r="H31" i="2" s="1"/>
  <c r="F32" i="2"/>
  <c r="H32" i="2" s="1"/>
  <c r="F33" i="2"/>
  <c r="H33" i="2" s="1"/>
  <c r="F34" i="2"/>
  <c r="F35" i="2"/>
  <c r="F36" i="2"/>
  <c r="H36" i="2" s="1"/>
  <c r="F37" i="2"/>
  <c r="F38" i="2"/>
  <c r="F39" i="2"/>
  <c r="F40" i="2"/>
  <c r="H40" i="2" s="1"/>
  <c r="F41" i="2"/>
  <c r="H41" i="2" s="1"/>
  <c r="F42" i="2"/>
  <c r="F43" i="2"/>
  <c r="F44" i="2"/>
  <c r="H44" i="2" s="1"/>
  <c r="F45" i="2"/>
  <c r="H45" i="2" s="1"/>
  <c r="F46" i="2"/>
  <c r="H46" i="2" s="1"/>
  <c r="F47" i="2"/>
  <c r="H47" i="2" s="1"/>
  <c r="F48" i="2"/>
  <c r="H48" i="2" s="1"/>
  <c r="F49" i="2"/>
  <c r="H49" i="2" s="1"/>
  <c r="F50" i="2"/>
  <c r="H50" i="2" s="1"/>
  <c r="F51" i="2"/>
  <c r="H51" i="2" s="1"/>
  <c r="F52" i="2"/>
  <c r="H52" i="2" s="1"/>
  <c r="F53" i="2"/>
  <c r="H53" i="2" s="1"/>
  <c r="F54" i="2"/>
  <c r="H54" i="2" s="1"/>
  <c r="F55" i="2"/>
  <c r="F56" i="2"/>
  <c r="H56" i="2" s="1"/>
  <c r="F57" i="2"/>
  <c r="H57" i="2" s="1"/>
  <c r="F58" i="2"/>
  <c r="F59" i="2"/>
  <c r="H59" i="2" s="1"/>
  <c r="F60" i="2"/>
  <c r="H60" i="2" s="1"/>
  <c r="F61" i="2"/>
  <c r="H61" i="2" s="1"/>
  <c r="F62" i="2"/>
  <c r="H62" i="2" s="1"/>
  <c r="F63" i="2"/>
  <c r="H63" i="2" s="1"/>
  <c r="F64" i="2"/>
  <c r="H64" i="2" s="1"/>
  <c r="F65" i="2"/>
  <c r="F66" i="2"/>
  <c r="F67" i="2"/>
  <c r="H67" i="2" s="1"/>
  <c r="F68" i="2"/>
  <c r="H68" i="2" s="1"/>
  <c r="F69" i="2"/>
  <c r="H69" i="2" s="1"/>
  <c r="F70" i="2"/>
  <c r="F71" i="2"/>
  <c r="F72" i="2"/>
  <c r="H72" i="2" s="1"/>
  <c r="F73" i="2"/>
  <c r="H73" i="2" s="1"/>
  <c r="F74" i="2"/>
  <c r="F75" i="2"/>
  <c r="H75" i="2" s="1"/>
  <c r="F76" i="2"/>
  <c r="H76" i="2" s="1"/>
  <c r="F77" i="2"/>
  <c r="F78" i="2"/>
  <c r="F79" i="2"/>
  <c r="F80" i="2"/>
  <c r="H80" i="2" s="1"/>
  <c r="F81" i="2"/>
  <c r="H81" i="2" s="1"/>
  <c r="F82" i="2"/>
  <c r="F83" i="2"/>
  <c r="H83" i="2" s="1"/>
  <c r="F84" i="2"/>
  <c r="H84" i="2" s="1"/>
  <c r="F85" i="2"/>
  <c r="H85" i="2" s="1"/>
  <c r="F86" i="2"/>
  <c r="H86" i="2" s="1"/>
  <c r="F87" i="2"/>
  <c r="F88" i="2"/>
  <c r="H88" i="2" s="1"/>
  <c r="F89" i="2"/>
  <c r="F90" i="2"/>
  <c r="F91" i="2"/>
  <c r="H91" i="2" s="1"/>
  <c r="F92" i="2"/>
  <c r="H92" i="2" s="1"/>
  <c r="F93" i="2"/>
  <c r="H93" i="2" s="1"/>
  <c r="F94" i="2"/>
  <c r="F95" i="2"/>
  <c r="H95" i="2" s="1"/>
  <c r="F96" i="2"/>
  <c r="H96" i="2" s="1"/>
  <c r="F97" i="2"/>
  <c r="F98" i="2"/>
  <c r="H98" i="2" s="1"/>
  <c r="F99" i="2"/>
  <c r="H99" i="2" s="1"/>
  <c r="F100" i="2"/>
  <c r="H100" i="2" s="1"/>
  <c r="F101" i="2"/>
  <c r="F102" i="2"/>
  <c r="H102" i="2" s="1"/>
  <c r="F103" i="2"/>
  <c r="H103" i="2" s="1"/>
  <c r="F104" i="2"/>
  <c r="H104" i="2" s="1"/>
  <c r="F105" i="2"/>
  <c r="H105" i="2" s="1"/>
  <c r="F106" i="2"/>
  <c r="H106" i="2" s="1"/>
  <c r="F107" i="2"/>
  <c r="H107" i="2" s="1"/>
  <c r="F108" i="2"/>
  <c r="H108" i="2" s="1"/>
  <c r="F109" i="2"/>
  <c r="H109" i="2" s="1"/>
  <c r="F110" i="2"/>
  <c r="H110" i="2" s="1"/>
  <c r="F111" i="2"/>
  <c r="H111" i="2" s="1"/>
  <c r="F112" i="2"/>
  <c r="H112" i="2" s="1"/>
  <c r="F113" i="2"/>
  <c r="H113" i="2" s="1"/>
  <c r="F114" i="2"/>
  <c r="H114" i="2" s="1"/>
  <c r="F115" i="2"/>
  <c r="H115" i="2" s="1"/>
  <c r="F116" i="2"/>
  <c r="H116" i="2" s="1"/>
  <c r="F117" i="2"/>
  <c r="H117" i="2" s="1"/>
  <c r="F118" i="2"/>
  <c r="H118" i="2" s="1"/>
  <c r="F119" i="2"/>
  <c r="H119" i="2" s="1"/>
  <c r="F120" i="2"/>
  <c r="H120" i="2" s="1"/>
  <c r="F121" i="2"/>
  <c r="H121" i="2" s="1"/>
  <c r="F122" i="2"/>
  <c r="H122" i="2" s="1"/>
  <c r="F123" i="2"/>
  <c r="H123" i="2" s="1"/>
  <c r="F124" i="2"/>
  <c r="H124" i="2" s="1"/>
  <c r="F125" i="2"/>
  <c r="H125" i="2" s="1"/>
  <c r="F126" i="2"/>
  <c r="H126" i="2" s="1"/>
  <c r="F127" i="2"/>
  <c r="H127" i="2" s="1"/>
  <c r="F128" i="2"/>
  <c r="H128" i="2" s="1"/>
  <c r="F129" i="2"/>
  <c r="H129" i="2" s="1"/>
  <c r="F130" i="2"/>
  <c r="H130" i="2" s="1"/>
  <c r="F131" i="2"/>
  <c r="H131" i="2" s="1"/>
  <c r="F132" i="2"/>
  <c r="H132" i="2" s="1"/>
  <c r="F133" i="2"/>
  <c r="F134" i="2"/>
  <c r="H134" i="2" s="1"/>
  <c r="F135" i="2"/>
  <c r="H135" i="2" s="1"/>
  <c r="F136" i="2"/>
  <c r="H136" i="2" s="1"/>
  <c r="F137" i="2"/>
  <c r="H137" i="2" s="1"/>
  <c r="F138" i="2"/>
  <c r="H138" i="2" s="1"/>
  <c r="F139" i="2"/>
  <c r="H139" i="2" s="1"/>
  <c r="F140" i="2"/>
  <c r="H140" i="2" s="1"/>
  <c r="F141" i="2"/>
  <c r="F142" i="2"/>
  <c r="H142" i="2" s="1"/>
  <c r="F143" i="2"/>
  <c r="H143" i="2" s="1"/>
  <c r="F144" i="2"/>
  <c r="H144" i="2" s="1"/>
  <c r="F145" i="2"/>
  <c r="H145" i="2" s="1"/>
  <c r="F146" i="2"/>
  <c r="H146" i="2" s="1"/>
  <c r="F147" i="2"/>
  <c r="H147" i="2" s="1"/>
  <c r="F148" i="2"/>
  <c r="H148" i="2" s="1"/>
  <c r="F149" i="2"/>
  <c r="F150" i="2"/>
  <c r="H150" i="2" s="1"/>
  <c r="F151" i="2"/>
  <c r="H151" i="2" s="1"/>
  <c r="F152" i="2"/>
  <c r="H152" i="2" s="1"/>
  <c r="F153" i="2"/>
  <c r="H153" i="2" s="1"/>
  <c r="F154" i="2"/>
  <c r="H154" i="2" s="1"/>
  <c r="F155" i="2"/>
  <c r="H155" i="2" s="1"/>
  <c r="F156" i="2"/>
  <c r="H156" i="2" s="1"/>
  <c r="F157" i="2"/>
  <c r="H157" i="2" s="1"/>
  <c r="F158" i="2"/>
  <c r="H158" i="2" s="1"/>
  <c r="F159" i="2"/>
  <c r="H159" i="2" s="1"/>
  <c r="F160" i="2"/>
  <c r="H160" i="2" s="1"/>
  <c r="F161" i="2"/>
  <c r="F162" i="2"/>
  <c r="H162" i="2" s="1"/>
  <c r="F163" i="2"/>
  <c r="H163" i="2" s="1"/>
  <c r="F164" i="2"/>
  <c r="H164" i="2" s="1"/>
  <c r="F165" i="2"/>
  <c r="F166" i="2"/>
  <c r="H166" i="2" s="1"/>
  <c r="F167" i="2"/>
  <c r="H167" i="2" s="1"/>
  <c r="F168" i="2"/>
  <c r="H168" i="2" s="1"/>
  <c r="F169" i="2"/>
  <c r="H169" i="2" s="1"/>
  <c r="F170" i="2"/>
  <c r="H170" i="2" s="1"/>
  <c r="F171" i="2"/>
  <c r="H171" i="2" s="1"/>
  <c r="F172" i="2"/>
  <c r="H172" i="2" s="1"/>
  <c r="F173" i="2"/>
  <c r="F174" i="2"/>
  <c r="H174" i="2" s="1"/>
  <c r="F175" i="2"/>
  <c r="H175" i="2" s="1"/>
  <c r="F176" i="2"/>
  <c r="H176" i="2" s="1"/>
  <c r="F177" i="2"/>
  <c r="H177" i="2" s="1"/>
  <c r="F178" i="2"/>
  <c r="H178" i="2" s="1"/>
  <c r="F179" i="2"/>
  <c r="H179" i="2" s="1"/>
  <c r="F180" i="2"/>
  <c r="H180" i="2" s="1"/>
  <c r="F181" i="2"/>
  <c r="F182" i="2"/>
  <c r="H182" i="2" s="1"/>
  <c r="F183" i="2"/>
  <c r="H183" i="2" s="1"/>
  <c r="F184" i="2"/>
  <c r="H184" i="2" s="1"/>
  <c r="F185" i="2"/>
  <c r="H185" i="2" s="1"/>
  <c r="F186" i="2"/>
  <c r="H186" i="2" s="1"/>
  <c r="F187" i="2"/>
  <c r="H187" i="2" s="1"/>
  <c r="F188" i="2"/>
  <c r="H188" i="2" s="1"/>
  <c r="F189" i="2"/>
  <c r="H189" i="2" s="1"/>
  <c r="F190" i="2"/>
  <c r="H190" i="2" s="1"/>
  <c r="F191" i="2"/>
  <c r="H191" i="2" s="1"/>
  <c r="F192" i="2"/>
  <c r="H192" i="2" s="1"/>
  <c r="F193" i="2"/>
  <c r="F194" i="2"/>
  <c r="H194" i="2" s="1"/>
  <c r="F195" i="2"/>
  <c r="H195" i="2" s="1"/>
  <c r="F196" i="2"/>
  <c r="H196" i="2" s="1"/>
  <c r="F197" i="2"/>
  <c r="F198" i="2"/>
  <c r="H198" i="2" s="1"/>
  <c r="F199" i="2"/>
  <c r="H199" i="2" s="1"/>
  <c r="F200" i="2"/>
  <c r="H200" i="2" s="1"/>
  <c r="F201" i="2"/>
  <c r="H201" i="2" s="1"/>
  <c r="F202" i="2"/>
  <c r="H202" i="2" s="1"/>
  <c r="F203" i="2"/>
  <c r="H203" i="2" s="1"/>
  <c r="F204" i="2"/>
  <c r="H204" i="2" s="1"/>
  <c r="F205" i="2"/>
  <c r="F206" i="2"/>
  <c r="H206" i="2" s="1"/>
  <c r="F207" i="2"/>
  <c r="H207" i="2" s="1"/>
  <c r="F208" i="2"/>
  <c r="H208" i="2" s="1"/>
  <c r="F209" i="2"/>
  <c r="H209" i="2" s="1"/>
  <c r="F210" i="2"/>
  <c r="H210" i="2" s="1"/>
  <c r="F211" i="2"/>
  <c r="H211" i="2" s="1"/>
  <c r="F212" i="2"/>
  <c r="H212" i="2" s="1"/>
  <c r="F213" i="2"/>
  <c r="F214" i="2"/>
  <c r="H214" i="2" s="1"/>
  <c r="F215" i="2"/>
  <c r="H215" i="2" s="1"/>
  <c r="F216" i="2"/>
  <c r="H216" i="2" s="1"/>
  <c r="F217" i="2"/>
  <c r="H217" i="2" s="1"/>
  <c r="F218" i="2"/>
  <c r="H218" i="2" s="1"/>
  <c r="F219" i="2"/>
  <c r="H219" i="2" s="1"/>
  <c r="F220" i="2"/>
  <c r="H220" i="2" s="1"/>
  <c r="F221" i="2"/>
  <c r="H221" i="2" s="1"/>
  <c r="F222" i="2"/>
  <c r="H222" i="2" s="1"/>
  <c r="F223" i="2"/>
  <c r="H223" i="2" s="1"/>
  <c r="F224" i="2"/>
  <c r="H224" i="2" s="1"/>
  <c r="F225" i="2"/>
  <c r="F226" i="2"/>
  <c r="H226" i="2" s="1"/>
  <c r="F227" i="2"/>
  <c r="H227" i="2" s="1"/>
  <c r="F228" i="2"/>
  <c r="H228" i="2" s="1"/>
  <c r="F229" i="2"/>
  <c r="H229" i="2" s="1"/>
  <c r="F230" i="2"/>
  <c r="H230" i="2" s="1"/>
  <c r="F231" i="2"/>
  <c r="H231" i="2" s="1"/>
  <c r="F232" i="2"/>
  <c r="H232" i="2" s="1"/>
  <c r="F233" i="2"/>
  <c r="H233" i="2" s="1"/>
  <c r="F234" i="2"/>
  <c r="H234" i="2" s="1"/>
  <c r="F235" i="2"/>
  <c r="H235" i="2" s="1"/>
  <c r="F236" i="2"/>
  <c r="F237" i="2"/>
  <c r="H237" i="2" s="1"/>
  <c r="F238" i="2"/>
  <c r="H238" i="2" s="1"/>
  <c r="F239" i="2"/>
  <c r="H239" i="2" s="1"/>
  <c r="F240" i="2"/>
  <c r="F241" i="2"/>
  <c r="H241" i="2" s="1"/>
  <c r="F242" i="2"/>
  <c r="H242" i="2" s="1"/>
  <c r="F243" i="2"/>
  <c r="H243" i="2" s="1"/>
  <c r="F244" i="2"/>
  <c r="H244" i="2" s="1"/>
  <c r="F245" i="2"/>
  <c r="H245" i="2" s="1"/>
  <c r="F246" i="2"/>
  <c r="H246" i="2" s="1"/>
  <c r="F247" i="2"/>
  <c r="H247" i="2" s="1"/>
  <c r="F248" i="2"/>
  <c r="H248" i="2" s="1"/>
  <c r="F249" i="2"/>
  <c r="H249" i="2" s="1"/>
  <c r="F250" i="2"/>
  <c r="H250" i="2" s="1"/>
  <c r="F251" i="2"/>
  <c r="H251" i="2" s="1"/>
  <c r="F252" i="2"/>
  <c r="H252" i="2" s="1"/>
  <c r="F253" i="2"/>
  <c r="H253" i="2" s="1"/>
  <c r="F254" i="2"/>
  <c r="H254" i="2" s="1"/>
  <c r="F255" i="2"/>
  <c r="H255" i="2" s="1"/>
  <c r="F256" i="2"/>
  <c r="H256" i="2" s="1"/>
  <c r="F257" i="2"/>
  <c r="H257" i="2" s="1"/>
  <c r="F258" i="2"/>
  <c r="H258" i="2" s="1"/>
  <c r="F259" i="2"/>
  <c r="H259" i="2" s="1"/>
  <c r="F260" i="2"/>
  <c r="H260" i="2" s="1"/>
  <c r="F261" i="2"/>
  <c r="H261" i="2" s="1"/>
  <c r="F262" i="2"/>
  <c r="H262" i="2" s="1"/>
  <c r="F263" i="2"/>
  <c r="H263" i="2" s="1"/>
  <c r="F264" i="2"/>
  <c r="H264" i="2" s="1"/>
  <c r="F265" i="2"/>
  <c r="H265" i="2" s="1"/>
  <c r="F266" i="2"/>
  <c r="H266" i="2" s="1"/>
  <c r="F267" i="2"/>
  <c r="H267" i="2" s="1"/>
  <c r="F268" i="2"/>
  <c r="H268" i="2" s="1"/>
  <c r="F269" i="2"/>
  <c r="H269" i="2" s="1"/>
  <c r="F270" i="2"/>
  <c r="H270" i="2" s="1"/>
  <c r="F271" i="2"/>
  <c r="H271" i="2" s="1"/>
  <c r="F272" i="2"/>
  <c r="H272" i="2" s="1"/>
  <c r="F273" i="2"/>
  <c r="H273" i="2" s="1"/>
  <c r="F274" i="2"/>
  <c r="H274" i="2" s="1"/>
  <c r="F275" i="2"/>
  <c r="H275" i="2" s="1"/>
  <c r="F276" i="2"/>
  <c r="H276" i="2" s="1"/>
  <c r="F277" i="2"/>
  <c r="H277" i="2" s="1"/>
  <c r="F278" i="2"/>
  <c r="H278" i="2" s="1"/>
  <c r="F279" i="2"/>
  <c r="H279" i="2" s="1"/>
  <c r="F280" i="2"/>
  <c r="H280" i="2" s="1"/>
  <c r="F281" i="2"/>
  <c r="H281" i="2" s="1"/>
  <c r="F282" i="2"/>
  <c r="H282" i="2" s="1"/>
  <c r="F283" i="2"/>
  <c r="H283" i="2" s="1"/>
  <c r="F284" i="2"/>
  <c r="H284" i="2" s="1"/>
  <c r="F285" i="2"/>
  <c r="H285" i="2" s="1"/>
  <c r="F286" i="2"/>
  <c r="H286" i="2" s="1"/>
  <c r="F287" i="2"/>
  <c r="H287" i="2" s="1"/>
  <c r="F288" i="2"/>
  <c r="H288" i="2" s="1"/>
  <c r="F289" i="2"/>
  <c r="H289" i="2" s="1"/>
  <c r="F290" i="2"/>
  <c r="H290" i="2" s="1"/>
  <c r="F291" i="2"/>
  <c r="H291" i="2" s="1"/>
  <c r="F292" i="2"/>
  <c r="H292" i="2" s="1"/>
  <c r="F293" i="2"/>
  <c r="H293" i="2" s="1"/>
  <c r="F294" i="2"/>
  <c r="H294" i="2" s="1"/>
  <c r="F295" i="2"/>
  <c r="H295" i="2" s="1"/>
  <c r="F296" i="2"/>
  <c r="H296" i="2" s="1"/>
  <c r="F297" i="2"/>
  <c r="H297" i="2" s="1"/>
  <c r="F298" i="2"/>
  <c r="H298" i="2" s="1"/>
  <c r="F299" i="2"/>
  <c r="H299" i="2" s="1"/>
  <c r="F300" i="2"/>
  <c r="H300" i="2" s="1"/>
  <c r="F301" i="2"/>
  <c r="H301" i="2" s="1"/>
  <c r="F302" i="2"/>
  <c r="H302" i="2" s="1"/>
  <c r="F303" i="2"/>
  <c r="H303" i="2" s="1"/>
  <c r="F304" i="2"/>
  <c r="H304" i="2" s="1"/>
  <c r="F305" i="2"/>
  <c r="H305" i="2" s="1"/>
  <c r="F306" i="2"/>
  <c r="H306" i="2" s="1"/>
  <c r="F307" i="2"/>
  <c r="H307" i="2" s="1"/>
  <c r="F308" i="2"/>
  <c r="H308" i="2" s="1"/>
  <c r="L23" i="20"/>
  <c r="M242" i="2"/>
  <c r="M243" i="2"/>
  <c r="M244" i="2"/>
  <c r="M247" i="2"/>
  <c r="M248" i="2"/>
  <c r="M250" i="2"/>
  <c r="M251" i="2"/>
  <c r="M252" i="2"/>
  <c r="M253" i="2"/>
  <c r="M254" i="2"/>
  <c r="M255" i="2"/>
  <c r="M256" i="2"/>
  <c r="M257" i="2"/>
  <c r="M258" i="2"/>
  <c r="M259" i="2"/>
  <c r="M260" i="2"/>
  <c r="M261" i="2"/>
  <c r="M262" i="2"/>
  <c r="M263" i="2"/>
  <c r="M264" i="2"/>
  <c r="M265" i="2"/>
  <c r="M268" i="2"/>
  <c r="M269" i="2"/>
  <c r="M270" i="2"/>
  <c r="M271" i="2"/>
  <c r="M272" i="2"/>
  <c r="M273" i="2"/>
  <c r="M274" i="2"/>
  <c r="M276" i="2"/>
  <c r="M277" i="2"/>
  <c r="M278" i="2"/>
  <c r="M280" i="2"/>
  <c r="M281" i="2"/>
  <c r="M282" i="2"/>
  <c r="M284" i="2"/>
  <c r="M286" i="2"/>
  <c r="M287" i="2"/>
  <c r="M288" i="2"/>
  <c r="M289" i="2"/>
  <c r="M290" i="2"/>
  <c r="M291" i="2"/>
  <c r="M292" i="2"/>
  <c r="M293" i="2"/>
  <c r="M294" i="2"/>
  <c r="M295" i="2"/>
  <c r="M296" i="2"/>
  <c r="M297" i="2"/>
  <c r="M298" i="2"/>
  <c r="M299" i="2"/>
  <c r="M300" i="2"/>
  <c r="M301" i="2"/>
  <c r="M306" i="2"/>
  <c r="M308"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K309" i="2"/>
  <c r="H8" i="20" s="1"/>
  <c r="J307" i="2"/>
  <c r="M307" i="2" s="1"/>
  <c r="J305" i="2"/>
  <c r="M305" i="2" s="1"/>
  <c r="J304" i="2"/>
  <c r="M304" i="2" s="1"/>
  <c r="J303" i="2"/>
  <c r="M303" i="2" s="1"/>
  <c r="J302" i="2"/>
  <c r="M302" i="2" s="1"/>
  <c r="J285" i="2"/>
  <c r="M285" i="2" s="1"/>
  <c r="J283" i="2"/>
  <c r="M283" i="2" s="1"/>
  <c r="J279" i="2"/>
  <c r="M279" i="2" s="1"/>
  <c r="J275" i="2"/>
  <c r="M275" i="2" s="1"/>
  <c r="J267" i="2"/>
  <c r="M267" i="2" s="1"/>
  <c r="J266" i="2"/>
  <c r="M266" i="2" s="1"/>
  <c r="J249" i="2"/>
  <c r="M249" i="2" s="1"/>
  <c r="J246" i="2"/>
  <c r="M246" i="2" s="1"/>
  <c r="J245" i="2"/>
  <c r="M245" i="2" s="1"/>
  <c r="K12" i="19"/>
  <c r="H14" i="13" s="1"/>
  <c r="G14" i="20"/>
  <c r="M11" i="19"/>
  <c r="G11" i="19"/>
  <c r="I11" i="19"/>
  <c r="I10" i="19"/>
  <c r="G13" i="20"/>
  <c r="J101" i="18"/>
  <c r="H13" i="13" s="1"/>
  <c r="L81" i="18"/>
  <c r="L82" i="18"/>
  <c r="L83" i="18"/>
  <c r="L84" i="18"/>
  <c r="L85" i="18"/>
  <c r="L86" i="18"/>
  <c r="L87" i="18"/>
  <c r="L88" i="18"/>
  <c r="L89" i="18"/>
  <c r="L90" i="18"/>
  <c r="L91" i="18"/>
  <c r="L92" i="18"/>
  <c r="L93" i="18"/>
  <c r="L94" i="18"/>
  <c r="L95" i="18"/>
  <c r="L96" i="18"/>
  <c r="L97" i="18"/>
  <c r="L98" i="18"/>
  <c r="L99" i="18"/>
  <c r="L100" i="18"/>
  <c r="F81" i="18"/>
  <c r="H81" i="18"/>
  <c r="M81" i="18" s="1"/>
  <c r="F82" i="18"/>
  <c r="H82" i="18"/>
  <c r="F83" i="18"/>
  <c r="H83" i="18"/>
  <c r="F84" i="18"/>
  <c r="H84" i="18"/>
  <c r="F85" i="18"/>
  <c r="H85" i="18"/>
  <c r="M85" i="18" s="1"/>
  <c r="F86" i="18"/>
  <c r="H86" i="18"/>
  <c r="F87" i="18"/>
  <c r="H87" i="18"/>
  <c r="F88" i="18"/>
  <c r="H88" i="18"/>
  <c r="F89" i="18"/>
  <c r="H89" i="18"/>
  <c r="M89" i="18" s="1"/>
  <c r="F90" i="18"/>
  <c r="H90" i="18"/>
  <c r="F91" i="18"/>
  <c r="H91" i="18"/>
  <c r="F92" i="18"/>
  <c r="H92" i="18"/>
  <c r="F93" i="18"/>
  <c r="H93" i="18"/>
  <c r="M93" i="18" s="1"/>
  <c r="F94" i="18"/>
  <c r="H94" i="18"/>
  <c r="F95" i="18"/>
  <c r="H95" i="18"/>
  <c r="F96" i="18"/>
  <c r="H96" i="18"/>
  <c r="F97" i="18"/>
  <c r="H97" i="18"/>
  <c r="M97" i="18" s="1"/>
  <c r="F98" i="18"/>
  <c r="H98" i="18"/>
  <c r="F99" i="18"/>
  <c r="H99" i="18"/>
  <c r="F100" i="18"/>
  <c r="H100" i="18"/>
  <c r="J24" i="10"/>
  <c r="H12" i="13" s="1"/>
  <c r="J78" i="17"/>
  <c r="L62" i="17"/>
  <c r="L63" i="17"/>
  <c r="L64" i="17"/>
  <c r="L65" i="17"/>
  <c r="L66" i="17"/>
  <c r="L67" i="17"/>
  <c r="L68" i="17"/>
  <c r="L69" i="17"/>
  <c r="L70" i="17"/>
  <c r="L71" i="17"/>
  <c r="L72" i="17"/>
  <c r="L73" i="17"/>
  <c r="L74" i="17"/>
  <c r="L75" i="17"/>
  <c r="L76" i="17"/>
  <c r="L77" i="17"/>
  <c r="F62" i="17"/>
  <c r="H62" i="17"/>
  <c r="F63" i="17"/>
  <c r="H63" i="17"/>
  <c r="F64" i="17"/>
  <c r="H64" i="17"/>
  <c r="F65" i="17"/>
  <c r="H65" i="17"/>
  <c r="F66" i="17"/>
  <c r="H66" i="17"/>
  <c r="F67" i="17"/>
  <c r="H67" i="17"/>
  <c r="F68" i="17"/>
  <c r="H68" i="17"/>
  <c r="F69" i="17"/>
  <c r="H69" i="17"/>
  <c r="F70" i="17"/>
  <c r="H70" i="17"/>
  <c r="F71" i="17"/>
  <c r="H71" i="17"/>
  <c r="F72" i="17"/>
  <c r="H72" i="17"/>
  <c r="F73" i="17"/>
  <c r="H73" i="17"/>
  <c r="F74" i="17"/>
  <c r="H74" i="17"/>
  <c r="F75" i="17"/>
  <c r="H75" i="17"/>
  <c r="F76" i="17"/>
  <c r="H76" i="17"/>
  <c r="F77" i="17"/>
  <c r="H77" i="17"/>
  <c r="H16" i="20"/>
  <c r="G16" i="20"/>
  <c r="H15" i="20"/>
  <c r="G15" i="20"/>
  <c r="J17" i="20"/>
  <c r="I17" i="20"/>
  <c r="H14" i="20"/>
  <c r="G10" i="20"/>
  <c r="H10" i="13"/>
  <c r="M10" i="19"/>
  <c r="G10" i="19"/>
  <c r="M9" i="19"/>
  <c r="I9" i="19"/>
  <c r="G9" i="19"/>
  <c r="M8" i="19"/>
  <c r="I8" i="19"/>
  <c r="G8" i="19"/>
  <c r="M7" i="19"/>
  <c r="I7" i="19"/>
  <c r="G7" i="19"/>
  <c r="M6" i="19"/>
  <c r="I6" i="19"/>
  <c r="G6" i="19"/>
  <c r="M5" i="19"/>
  <c r="I5" i="19"/>
  <c r="G5" i="19"/>
  <c r="M4" i="19"/>
  <c r="I4" i="19"/>
  <c r="G4" i="19"/>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4" i="18"/>
  <c r="F5" i="18"/>
  <c r="F6" i="18"/>
  <c r="F7" i="18"/>
  <c r="F8" i="18"/>
  <c r="F9" i="18"/>
  <c r="F10" i="18"/>
  <c r="F11" i="18"/>
  <c r="F12" i="18"/>
  <c r="F13" i="18"/>
  <c r="F14" i="18"/>
  <c r="F15" i="18"/>
  <c r="F16" i="18"/>
  <c r="F17" i="18"/>
  <c r="F18" i="18"/>
  <c r="F19" i="18"/>
  <c r="F20" i="18"/>
  <c r="F21" i="18"/>
  <c r="F22" i="18"/>
  <c r="F23" i="18"/>
  <c r="F24" i="18"/>
  <c r="F25" i="18"/>
  <c r="F26" i="18"/>
  <c r="F27" i="18"/>
  <c r="L27" i="18"/>
  <c r="H27" i="18"/>
  <c r="L26" i="18"/>
  <c r="H26" i="18"/>
  <c r="L25" i="18"/>
  <c r="H25" i="18"/>
  <c r="L24" i="18"/>
  <c r="H24" i="18"/>
  <c r="L23" i="18"/>
  <c r="H23" i="18"/>
  <c r="L22" i="18"/>
  <c r="H22" i="18"/>
  <c r="L21" i="18"/>
  <c r="H21" i="18"/>
  <c r="L20" i="18"/>
  <c r="H20" i="18"/>
  <c r="L19" i="18"/>
  <c r="H19" i="18"/>
  <c r="L18" i="18"/>
  <c r="H18" i="18"/>
  <c r="L17" i="18"/>
  <c r="H17" i="18"/>
  <c r="L16" i="18"/>
  <c r="H16" i="18"/>
  <c r="L15" i="18"/>
  <c r="H15" i="18"/>
  <c r="L14" i="18"/>
  <c r="H14" i="18"/>
  <c r="L13" i="18"/>
  <c r="H13" i="18"/>
  <c r="L12" i="18"/>
  <c r="H12" i="18"/>
  <c r="L11" i="18"/>
  <c r="H11" i="18"/>
  <c r="L10" i="18"/>
  <c r="H10" i="18"/>
  <c r="L9" i="18"/>
  <c r="H9" i="18"/>
  <c r="L8" i="18"/>
  <c r="H8" i="18"/>
  <c r="L7" i="18"/>
  <c r="H7" i="18"/>
  <c r="L6" i="18"/>
  <c r="H6" i="18"/>
  <c r="L5" i="18"/>
  <c r="H5" i="18"/>
  <c r="L4" i="18"/>
  <c r="H4" i="18"/>
  <c r="L3" i="18"/>
  <c r="H3" i="18"/>
  <c r="F3" i="18"/>
  <c r="F4" i="10"/>
  <c r="F5" i="10"/>
  <c r="F6" i="10"/>
  <c r="F7" i="10"/>
  <c r="F8" i="10"/>
  <c r="F9" i="10"/>
  <c r="F10" i="10"/>
  <c r="F11" i="10"/>
  <c r="F12" i="10"/>
  <c r="F13" i="10"/>
  <c r="F14" i="10"/>
  <c r="F15" i="10"/>
  <c r="F16" i="10"/>
  <c r="F17" i="10"/>
  <c r="F18" i="10"/>
  <c r="F19" i="10"/>
  <c r="F20" i="10"/>
  <c r="F21" i="10"/>
  <c r="F22" i="10"/>
  <c r="F23" i="10"/>
  <c r="F3" i="10"/>
  <c r="I11" i="10"/>
  <c r="I37" i="17"/>
  <c r="L37" i="17" s="1"/>
  <c r="I20" i="17"/>
  <c r="L20" i="17" s="1"/>
  <c r="I19" i="17"/>
  <c r="L19" i="17" s="1"/>
  <c r="L61" i="17"/>
  <c r="H61" i="17"/>
  <c r="F61" i="17"/>
  <c r="L60" i="17"/>
  <c r="H60" i="17"/>
  <c r="F60" i="17"/>
  <c r="L59" i="17"/>
  <c r="H59" i="17"/>
  <c r="F59" i="17"/>
  <c r="L58" i="17"/>
  <c r="H58" i="17"/>
  <c r="F58" i="17"/>
  <c r="L57" i="17"/>
  <c r="H57" i="17"/>
  <c r="F57" i="17"/>
  <c r="L56" i="17"/>
  <c r="H56" i="17"/>
  <c r="F56" i="17"/>
  <c r="L55" i="17"/>
  <c r="H55" i="17"/>
  <c r="F55" i="17"/>
  <c r="L54" i="17"/>
  <c r="H54" i="17"/>
  <c r="F54" i="17"/>
  <c r="L53" i="17"/>
  <c r="H53" i="17"/>
  <c r="F53" i="17"/>
  <c r="L52" i="17"/>
  <c r="H52" i="17"/>
  <c r="F52" i="17"/>
  <c r="L51" i="17"/>
  <c r="H51" i="17"/>
  <c r="F51" i="17"/>
  <c r="L50" i="17"/>
  <c r="H50" i="17"/>
  <c r="F50" i="17"/>
  <c r="L49" i="17"/>
  <c r="H49" i="17"/>
  <c r="F49" i="17"/>
  <c r="L48" i="17"/>
  <c r="H48" i="17"/>
  <c r="F48" i="17"/>
  <c r="L47" i="17"/>
  <c r="H47" i="17"/>
  <c r="F47" i="17"/>
  <c r="L46" i="17"/>
  <c r="H46" i="17"/>
  <c r="F46" i="17"/>
  <c r="L45" i="17"/>
  <c r="H45" i="17"/>
  <c r="F45" i="17"/>
  <c r="L44" i="17"/>
  <c r="H44" i="17"/>
  <c r="F44" i="17"/>
  <c r="L43" i="17"/>
  <c r="H43" i="17"/>
  <c r="F43" i="17"/>
  <c r="L42" i="17"/>
  <c r="H42" i="17"/>
  <c r="F42" i="17"/>
  <c r="L41" i="17"/>
  <c r="H41" i="17"/>
  <c r="F41" i="17"/>
  <c r="L40" i="17"/>
  <c r="H40" i="17"/>
  <c r="F40" i="17"/>
  <c r="L39" i="17"/>
  <c r="H39" i="17"/>
  <c r="F39" i="17"/>
  <c r="L38" i="17"/>
  <c r="H38" i="17"/>
  <c r="F38" i="17"/>
  <c r="H37" i="17"/>
  <c r="F37" i="17"/>
  <c r="L36" i="17"/>
  <c r="H36" i="17"/>
  <c r="F36" i="17"/>
  <c r="L35" i="17"/>
  <c r="H35" i="17"/>
  <c r="F35" i="17"/>
  <c r="L34" i="17"/>
  <c r="H34" i="17"/>
  <c r="F34" i="17"/>
  <c r="L33" i="17"/>
  <c r="H33" i="17"/>
  <c r="F33" i="17"/>
  <c r="L32" i="17"/>
  <c r="H32" i="17"/>
  <c r="F32" i="17"/>
  <c r="L31" i="17"/>
  <c r="H31" i="17"/>
  <c r="F31" i="17"/>
  <c r="L30" i="17"/>
  <c r="H30" i="17"/>
  <c r="F30" i="17"/>
  <c r="L29" i="17"/>
  <c r="H29" i="17"/>
  <c r="F29" i="17"/>
  <c r="L28" i="17"/>
  <c r="H28" i="17"/>
  <c r="F28" i="17"/>
  <c r="L27" i="17"/>
  <c r="H27" i="17"/>
  <c r="F27" i="17"/>
  <c r="L26" i="17"/>
  <c r="H26" i="17"/>
  <c r="F26" i="17"/>
  <c r="L25" i="17"/>
  <c r="H25" i="17"/>
  <c r="F25" i="17"/>
  <c r="L24" i="17"/>
  <c r="H24" i="17"/>
  <c r="F24" i="17"/>
  <c r="L23" i="17"/>
  <c r="H23" i="17"/>
  <c r="F23" i="17"/>
  <c r="L22" i="17"/>
  <c r="H22" i="17"/>
  <c r="F22" i="17"/>
  <c r="L21" i="17"/>
  <c r="H21" i="17"/>
  <c r="F21" i="17"/>
  <c r="H20" i="17"/>
  <c r="F20" i="17"/>
  <c r="H19" i="17"/>
  <c r="F19" i="17"/>
  <c r="L18" i="17"/>
  <c r="H18" i="17"/>
  <c r="F18" i="17"/>
  <c r="L17" i="17"/>
  <c r="H17" i="17"/>
  <c r="F17" i="17"/>
  <c r="L16" i="17"/>
  <c r="H16" i="17"/>
  <c r="F16" i="17"/>
  <c r="L15" i="17"/>
  <c r="H15" i="17"/>
  <c r="F15" i="17"/>
  <c r="L14" i="17"/>
  <c r="H14" i="17"/>
  <c r="F14" i="17"/>
  <c r="L13" i="17"/>
  <c r="H13" i="17"/>
  <c r="F13" i="17"/>
  <c r="L12" i="17"/>
  <c r="H12" i="17"/>
  <c r="F12" i="17"/>
  <c r="L11" i="17"/>
  <c r="H11" i="17"/>
  <c r="F11" i="17"/>
  <c r="L10" i="17"/>
  <c r="H10" i="17"/>
  <c r="F10" i="17"/>
  <c r="L9" i="17"/>
  <c r="H9" i="17"/>
  <c r="F9" i="17"/>
  <c r="L8" i="17"/>
  <c r="H8" i="17"/>
  <c r="F8" i="17"/>
  <c r="L7" i="17"/>
  <c r="H7" i="17"/>
  <c r="F7" i="17"/>
  <c r="L6" i="17"/>
  <c r="H6" i="17"/>
  <c r="F6" i="17"/>
  <c r="L5" i="17"/>
  <c r="H5" i="17"/>
  <c r="F5" i="17"/>
  <c r="J14" i="5"/>
  <c r="H10" i="20" s="1"/>
  <c r="G10" i="13"/>
  <c r="F7" i="5"/>
  <c r="F8" i="5"/>
  <c r="F9" i="5"/>
  <c r="F10" i="5"/>
  <c r="F11" i="5"/>
  <c r="F12" i="5"/>
  <c r="F13" i="5"/>
  <c r="F6" i="5"/>
  <c r="F7" i="3"/>
  <c r="F8" i="3"/>
  <c r="F9" i="3"/>
  <c r="F10" i="3"/>
  <c r="F11" i="3"/>
  <c r="F12" i="3"/>
  <c r="F13" i="3"/>
  <c r="F14" i="3"/>
  <c r="F15" i="3"/>
  <c r="F16" i="3"/>
  <c r="F17" i="3"/>
  <c r="F18" i="3"/>
  <c r="F19" i="3"/>
  <c r="F20" i="3"/>
  <c r="F21" i="3"/>
  <c r="F22" i="3"/>
  <c r="F23" i="3"/>
  <c r="F24" i="3"/>
  <c r="F25" i="3"/>
  <c r="F26" i="3"/>
  <c r="F27" i="3"/>
  <c r="F6" i="3"/>
  <c r="J211" i="2"/>
  <c r="M211" i="2" s="1"/>
  <c r="J26" i="2"/>
  <c r="M26" i="2" s="1"/>
  <c r="M5" i="2"/>
  <c r="M6" i="2"/>
  <c r="M7" i="2"/>
  <c r="M8" i="2"/>
  <c r="M9" i="2"/>
  <c r="M10" i="2"/>
  <c r="M11" i="2"/>
  <c r="M12" i="2"/>
  <c r="M13" i="2"/>
  <c r="M14" i="2"/>
  <c r="M15" i="2"/>
  <c r="M16" i="2"/>
  <c r="M17" i="2"/>
  <c r="M18" i="2"/>
  <c r="M19" i="2"/>
  <c r="M20" i="2"/>
  <c r="M21" i="2"/>
  <c r="M22" i="2"/>
  <c r="M23" i="2"/>
  <c r="M24" i="2"/>
  <c r="M25"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H42" i="2"/>
  <c r="H94" i="2"/>
  <c r="F5" i="2"/>
  <c r="J216" i="16"/>
  <c r="I216" i="16"/>
  <c r="I212" i="16"/>
  <c r="H212" i="16"/>
  <c r="J212" i="16" s="1"/>
  <c r="G212" i="16"/>
  <c r="H211" i="16"/>
  <c r="J211" i="16" s="1"/>
  <c r="G211" i="16"/>
  <c r="I211" i="16" s="1"/>
  <c r="G208" i="16"/>
  <c r="G203" i="16"/>
  <c r="E189" i="16"/>
  <c r="G191" i="16" s="1"/>
  <c r="G182" i="16"/>
  <c r="H179" i="16"/>
  <c r="J177" i="16"/>
  <c r="H169" i="16"/>
  <c r="G169" i="16"/>
  <c r="G168" i="16"/>
  <c r="H168" i="16" s="1"/>
  <c r="G167" i="16"/>
  <c r="G158" i="16"/>
  <c r="I158" i="16" s="1"/>
  <c r="F158" i="16"/>
  <c r="H153" i="16"/>
  <c r="G152" i="16"/>
  <c r="H151" i="16"/>
  <c r="H152" i="16" s="1"/>
  <c r="E151" i="16"/>
  <c r="E152" i="16" s="1"/>
  <c r="E149" i="16"/>
  <c r="H148" i="16"/>
  <c r="F148" i="16" s="1"/>
  <c r="G147" i="16"/>
  <c r="I147" i="16" s="1"/>
  <c r="F147" i="16"/>
  <c r="H146" i="16"/>
  <c r="I146" i="16" s="1"/>
  <c r="E145" i="16"/>
  <c r="F144" i="16"/>
  <c r="F143" i="16"/>
  <c r="F142" i="16"/>
  <c r="H141" i="16"/>
  <c r="F141" i="16" s="1"/>
  <c r="F140" i="16"/>
  <c r="F139" i="16"/>
  <c r="F138" i="16"/>
  <c r="F137" i="16"/>
  <c r="F136" i="16"/>
  <c r="F135" i="16"/>
  <c r="F134" i="16"/>
  <c r="F133" i="16"/>
  <c r="E132" i="16"/>
  <c r="I131" i="16"/>
  <c r="G131" i="16"/>
  <c r="F131" i="16"/>
  <c r="I130" i="16"/>
  <c r="G130" i="16"/>
  <c r="F130" i="16"/>
  <c r="G129" i="16"/>
  <c r="I129" i="16" s="1"/>
  <c r="F129" i="16"/>
  <c r="H128" i="16"/>
  <c r="G128" i="16"/>
  <c r="I128" i="16" s="1"/>
  <c r="F128" i="16"/>
  <c r="H127" i="16"/>
  <c r="F127" i="16" s="1"/>
  <c r="I126" i="16"/>
  <c r="F126" i="16"/>
  <c r="A126" i="16"/>
  <c r="A127" i="16" s="1"/>
  <c r="A128" i="16" s="1"/>
  <c r="A129" i="16" s="1"/>
  <c r="A130" i="16" s="1"/>
  <c r="A131" i="16" s="1"/>
  <c r="E125" i="16"/>
  <c r="I124" i="16"/>
  <c r="F124" i="16"/>
  <c r="G123" i="16"/>
  <c r="I123" i="16" s="1"/>
  <c r="F123" i="16"/>
  <c r="G122" i="16"/>
  <c r="I122" i="16" s="1"/>
  <c r="F122" i="16"/>
  <c r="G121" i="16"/>
  <c r="I121" i="16" s="1"/>
  <c r="F121" i="16"/>
  <c r="E120" i="16"/>
  <c r="I119" i="16"/>
  <c r="G119" i="16"/>
  <c r="F119" i="16"/>
  <c r="H118" i="16"/>
  <c r="I117" i="16"/>
  <c r="G117" i="16"/>
  <c r="F117" i="16"/>
  <c r="G116" i="16"/>
  <c r="I116" i="16" s="1"/>
  <c r="F116" i="16"/>
  <c r="G115" i="16"/>
  <c r="I115" i="16" s="1"/>
  <c r="F115" i="16"/>
  <c r="H114" i="16"/>
  <c r="G114" i="16"/>
  <c r="I114" i="16" s="1"/>
  <c r="F114" i="16"/>
  <c r="G113" i="16"/>
  <c r="I113" i="16" s="1"/>
  <c r="F113" i="16"/>
  <c r="I112" i="16"/>
  <c r="F112" i="16"/>
  <c r="I111" i="16"/>
  <c r="G111" i="16"/>
  <c r="F111" i="16"/>
  <c r="I110" i="16"/>
  <c r="G110" i="16"/>
  <c r="F110" i="16"/>
  <c r="I109" i="16"/>
  <c r="F109" i="16"/>
  <c r="G108" i="16"/>
  <c r="I108" i="16" s="1"/>
  <c r="F108" i="16"/>
  <c r="H107" i="16"/>
  <c r="F107" i="16" s="1"/>
  <c r="A107" i="16"/>
  <c r="A108" i="16" s="1"/>
  <c r="A109" i="16" s="1"/>
  <c r="A110" i="16" s="1"/>
  <c r="A111" i="16" s="1"/>
  <c r="A112" i="16" s="1"/>
  <c r="A113" i="16" s="1"/>
  <c r="A114" i="16" s="1"/>
  <c r="A115" i="16" s="1"/>
  <c r="A116" i="16" s="1"/>
  <c r="A117" i="16" s="1"/>
  <c r="A118" i="16" s="1"/>
  <c r="A119" i="16" s="1"/>
  <c r="A121" i="16" s="1"/>
  <c r="A122" i="16" s="1"/>
  <c r="A123" i="16" s="1"/>
  <c r="A124" i="16" s="1"/>
  <c r="A133" i="16" s="1"/>
  <c r="A134" i="16" s="1"/>
  <c r="A135" i="16" s="1"/>
  <c r="A136" i="16" s="1"/>
  <c r="A137" i="16" s="1"/>
  <c r="A138" i="16" s="1"/>
  <c r="A139" i="16" s="1"/>
  <c r="A140" i="16" s="1"/>
  <c r="A141" i="16" s="1"/>
  <c r="A142" i="16" s="1"/>
  <c r="A143" i="16" s="1"/>
  <c r="A144" i="16" s="1"/>
  <c r="A146" i="16" s="1"/>
  <c r="A147" i="16" s="1"/>
  <c r="G106" i="16"/>
  <c r="I106" i="16" s="1"/>
  <c r="F106" i="16"/>
  <c r="H105" i="16"/>
  <c r="F105" i="16" s="1"/>
  <c r="G104" i="16"/>
  <c r="I104" i="16" s="1"/>
  <c r="F104" i="16"/>
  <c r="G103" i="16"/>
  <c r="I103" i="16" s="1"/>
  <c r="F103" i="16"/>
  <c r="E102" i="16"/>
  <c r="F101" i="16"/>
  <c r="E100" i="16"/>
  <c r="G99" i="16"/>
  <c r="I99" i="16" s="1"/>
  <c r="F99" i="16"/>
  <c r="H98" i="16"/>
  <c r="H97" i="16"/>
  <c r="G97" i="16" s="1"/>
  <c r="I97" i="16" s="1"/>
  <c r="H96" i="16"/>
  <c r="F96" i="16" s="1"/>
  <c r="G96" i="16"/>
  <c r="I96" i="16" s="1"/>
  <c r="E95" i="16"/>
  <c r="G94" i="16"/>
  <c r="I94" i="16" s="1"/>
  <c r="F94" i="16"/>
  <c r="E93" i="16"/>
  <c r="G92" i="16"/>
  <c r="I92" i="16" s="1"/>
  <c r="F92" i="16"/>
  <c r="G91" i="16"/>
  <c r="I91" i="16" s="1"/>
  <c r="F91" i="16"/>
  <c r="I90" i="16"/>
  <c r="G90" i="16"/>
  <c r="F90" i="16"/>
  <c r="H89" i="16"/>
  <c r="G89" i="16" s="1"/>
  <c r="I89" i="16" s="1"/>
  <c r="F89" i="16"/>
  <c r="H88" i="16"/>
  <c r="G88" i="16" s="1"/>
  <c r="I88" i="16" s="1"/>
  <c r="H87" i="16"/>
  <c r="F87" i="16" s="1"/>
  <c r="E86" i="16"/>
  <c r="H85" i="16"/>
  <c r="G85" i="16"/>
  <c r="I85" i="16" s="1"/>
  <c r="F85" i="16"/>
  <c r="G84" i="16"/>
  <c r="I84" i="16" s="1"/>
  <c r="F84" i="16"/>
  <c r="G83" i="16"/>
  <c r="I83" i="16" s="1"/>
  <c r="F83" i="16"/>
  <c r="E82" i="16"/>
  <c r="H81" i="16"/>
  <c r="F81" i="16" s="1"/>
  <c r="A81" i="16"/>
  <c r="A83" i="16" s="1"/>
  <c r="A84" i="16" s="1"/>
  <c r="A85" i="16" s="1"/>
  <c r="A87" i="16" s="1"/>
  <c r="A88" i="16" s="1"/>
  <c r="A89" i="16" s="1"/>
  <c r="A90" i="16" s="1"/>
  <c r="A91" i="16" s="1"/>
  <c r="A92" i="16" s="1"/>
  <c r="A94" i="16" s="1"/>
  <c r="A96" i="16" s="1"/>
  <c r="A97" i="16" s="1"/>
  <c r="A98" i="16" s="1"/>
  <c r="A99" i="16" s="1"/>
  <c r="H80" i="16"/>
  <c r="E75" i="16"/>
  <c r="G74" i="16"/>
  <c r="I74" i="16" s="1"/>
  <c r="F74" i="16"/>
  <c r="H73" i="16"/>
  <c r="I72" i="16"/>
  <c r="G72" i="16"/>
  <c r="F72" i="16"/>
  <c r="H71" i="16"/>
  <c r="G71" i="16" s="1"/>
  <c r="I71" i="16" s="1"/>
  <c r="F71" i="16"/>
  <c r="H70" i="16"/>
  <c r="G70" i="16" s="1"/>
  <c r="I70" i="16" s="1"/>
  <c r="F70" i="16"/>
  <c r="H69" i="16"/>
  <c r="G69" i="16" s="1"/>
  <c r="I69" i="16" s="1"/>
  <c r="A69" i="16"/>
  <c r="A70" i="16" s="1"/>
  <c r="A71" i="16" s="1"/>
  <c r="A72" i="16" s="1"/>
  <c r="A73" i="16" s="1"/>
  <c r="A74" i="16" s="1"/>
  <c r="H68" i="16"/>
  <c r="G68" i="16" s="1"/>
  <c r="I68" i="16" s="1"/>
  <c r="F68" i="16"/>
  <c r="E67" i="16"/>
  <c r="G66" i="16"/>
  <c r="I66" i="16" s="1"/>
  <c r="G65" i="16"/>
  <c r="I65" i="16" s="1"/>
  <c r="F65" i="16"/>
  <c r="G64" i="16"/>
  <c r="I64" i="16" s="1"/>
  <c r="F64" i="16"/>
  <c r="G63" i="16"/>
  <c r="I63" i="16" s="1"/>
  <c r="F63" i="16"/>
  <c r="G62" i="16"/>
  <c r="I62" i="16" s="1"/>
  <c r="F62" i="16"/>
  <c r="G61" i="16"/>
  <c r="I61" i="16" s="1"/>
  <c r="F61" i="16"/>
  <c r="G60" i="16"/>
  <c r="I60" i="16" s="1"/>
  <c r="F60" i="16"/>
  <c r="G59" i="16"/>
  <c r="I59" i="16" s="1"/>
  <c r="F59" i="16"/>
  <c r="G58" i="16"/>
  <c r="I58" i="16" s="1"/>
  <c r="F58" i="16"/>
  <c r="G57" i="16"/>
  <c r="I57" i="16" s="1"/>
  <c r="F57" i="16"/>
  <c r="G56" i="16"/>
  <c r="I56" i="16" s="1"/>
  <c r="F56" i="16"/>
  <c r="G55" i="16"/>
  <c r="I55" i="16" s="1"/>
  <c r="F55" i="16"/>
  <c r="G54" i="16"/>
  <c r="I54" i="16" s="1"/>
  <c r="F54" i="16"/>
  <c r="G53" i="16"/>
  <c r="I53" i="16" s="1"/>
  <c r="F53" i="16"/>
  <c r="G52" i="16"/>
  <c r="I52" i="16" s="1"/>
  <c r="F52" i="16"/>
  <c r="G51" i="16"/>
  <c r="I51" i="16" s="1"/>
  <c r="F51" i="16"/>
  <c r="H50" i="16"/>
  <c r="G50" i="16" s="1"/>
  <c r="I50" i="16" s="1"/>
  <c r="F50" i="16"/>
  <c r="G49" i="16"/>
  <c r="I49" i="16" s="1"/>
  <c r="F49" i="16"/>
  <c r="H48" i="16"/>
  <c r="F48" i="16" s="1"/>
  <c r="G48" i="16"/>
  <c r="I48" i="16" s="1"/>
  <c r="G47" i="16"/>
  <c r="I47" i="16" s="1"/>
  <c r="F47" i="16"/>
  <c r="G46" i="16"/>
  <c r="I46" i="16" s="1"/>
  <c r="F46" i="16"/>
  <c r="G45" i="16"/>
  <c r="I45" i="16" s="1"/>
  <c r="F45" i="16"/>
  <c r="H44" i="16"/>
  <c r="I43" i="16"/>
  <c r="G43" i="16"/>
  <c r="F43" i="16"/>
  <c r="G42" i="16"/>
  <c r="I42" i="16" s="1"/>
  <c r="F42" i="16"/>
  <c r="G41" i="16"/>
  <c r="I41" i="16" s="1"/>
  <c r="F41" i="16"/>
  <c r="I40" i="16"/>
  <c r="G40" i="16"/>
  <c r="F40" i="16"/>
  <c r="H39" i="16"/>
  <c r="G39" i="16" s="1"/>
  <c r="I39" i="16" s="1"/>
  <c r="G38" i="16"/>
  <c r="I38" i="16" s="1"/>
  <c r="F38" i="16"/>
  <c r="G37" i="16"/>
  <c r="I37" i="16" s="1"/>
  <c r="F37" i="16"/>
  <c r="G36" i="16"/>
  <c r="I36" i="16" s="1"/>
  <c r="F36" i="16"/>
  <c r="G35" i="16"/>
  <c r="I35" i="16" s="1"/>
  <c r="F35" i="16"/>
  <c r="G34" i="16"/>
  <c r="I34" i="16" s="1"/>
  <c r="F34" i="16"/>
  <c r="G33" i="16"/>
  <c r="I33" i="16" s="1"/>
  <c r="F33" i="16"/>
  <c r="G32" i="16"/>
  <c r="I32" i="16" s="1"/>
  <c r="F32" i="16"/>
  <c r="H31" i="16"/>
  <c r="G31" i="16" s="1"/>
  <c r="I31" i="16" s="1"/>
  <c r="F31" i="16"/>
  <c r="H30" i="16"/>
  <c r="F30" i="16" s="1"/>
  <c r="I29" i="16"/>
  <c r="G29" i="16"/>
  <c r="F29" i="16"/>
  <c r="G28" i="16"/>
  <c r="I28" i="16" s="1"/>
  <c r="F28" i="16"/>
  <c r="G27" i="16"/>
  <c r="I27" i="16" s="1"/>
  <c r="F27" i="16"/>
  <c r="G26" i="16"/>
  <c r="I26" i="16" s="1"/>
  <c r="F26" i="16"/>
  <c r="G25" i="16"/>
  <c r="I25" i="16" s="1"/>
  <c r="F25" i="16"/>
  <c r="G24" i="16"/>
  <c r="I24" i="16" s="1"/>
  <c r="F24" i="16"/>
  <c r="I23" i="16"/>
  <c r="G23" i="16"/>
  <c r="F23" i="16"/>
  <c r="G22" i="16"/>
  <c r="I22" i="16" s="1"/>
  <c r="F22" i="16"/>
  <c r="I21" i="16"/>
  <c r="G21" i="16"/>
  <c r="F21" i="16"/>
  <c r="G20" i="16"/>
  <c r="I20" i="16" s="1"/>
  <c r="F20" i="16"/>
  <c r="G19" i="16"/>
  <c r="I19" i="16" s="1"/>
  <c r="F19" i="16"/>
  <c r="G18" i="16"/>
  <c r="I18" i="16" s="1"/>
  <c r="F18" i="16"/>
  <c r="G17" i="16"/>
  <c r="I17" i="16" s="1"/>
  <c r="F17" i="16"/>
  <c r="G16" i="16"/>
  <c r="I16" i="16" s="1"/>
  <c r="F16" i="16"/>
  <c r="I15" i="16"/>
  <c r="G15" i="16"/>
  <c r="F15" i="16"/>
  <c r="G14" i="16"/>
  <c r="I14" i="16" s="1"/>
  <c r="F14" i="16"/>
  <c r="I13" i="16"/>
  <c r="G13" i="16"/>
  <c r="F13" i="16"/>
  <c r="G12" i="16"/>
  <c r="I12" i="16" s="1"/>
  <c r="F12" i="16"/>
  <c r="H11" i="16"/>
  <c r="G10" i="16"/>
  <c r="I10" i="16" s="1"/>
  <c r="F10" i="16"/>
  <c r="G9" i="16"/>
  <c r="I9" i="16" s="1"/>
  <c r="F9" i="16"/>
  <c r="H8" i="16"/>
  <c r="G8" i="16"/>
  <c r="I8" i="16" s="1"/>
  <c r="F8" i="16"/>
  <c r="H7" i="16"/>
  <c r="I7" i="16"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G6" i="16"/>
  <c r="I6" i="16" s="1"/>
  <c r="F6" i="16"/>
  <c r="M80" i="15"/>
  <c r="L79" i="15"/>
  <c r="L78" i="15"/>
  <c r="L77" i="15"/>
  <c r="L76" i="15"/>
  <c r="L75" i="15"/>
  <c r="M72" i="15"/>
  <c r="J72" i="15"/>
  <c r="I72" i="15"/>
  <c r="B72" i="15"/>
  <c r="L70" i="15"/>
  <c r="B68" i="15"/>
  <c r="K66" i="15"/>
  <c r="M68" i="15" s="1"/>
  <c r="I66" i="15"/>
  <c r="I68" i="15" s="1"/>
  <c r="G66" i="15"/>
  <c r="H66" i="15" s="1"/>
  <c r="F66" i="15"/>
  <c r="B63" i="15"/>
  <c r="K61" i="15"/>
  <c r="F61" i="15"/>
  <c r="G61" i="15" s="1"/>
  <c r="H61" i="15" s="1"/>
  <c r="D61" i="15"/>
  <c r="K60" i="15"/>
  <c r="F60" i="15"/>
  <c r="G60" i="15" s="1"/>
  <c r="H60" i="15" s="1"/>
  <c r="D60" i="15"/>
  <c r="K59" i="15"/>
  <c r="F59" i="15"/>
  <c r="G59" i="15" s="1"/>
  <c r="H59" i="15" s="1"/>
  <c r="D59" i="15"/>
  <c r="I59" i="15" s="1"/>
  <c r="K58" i="15"/>
  <c r="F58" i="15"/>
  <c r="G58" i="15" s="1"/>
  <c r="H58" i="15" s="1"/>
  <c r="D58" i="15"/>
  <c r="I58" i="15" s="1"/>
  <c r="K57" i="15"/>
  <c r="F57" i="15"/>
  <c r="G57" i="15" s="1"/>
  <c r="H57" i="15" s="1"/>
  <c r="D57" i="15"/>
  <c r="K56" i="15"/>
  <c r="F56" i="15"/>
  <c r="G56" i="15" s="1"/>
  <c r="H56" i="15" s="1"/>
  <c r="D56" i="15"/>
  <c r="K55" i="15"/>
  <c r="F55" i="15"/>
  <c r="G55" i="15" s="1"/>
  <c r="H55" i="15" s="1"/>
  <c r="D55" i="15"/>
  <c r="I55" i="15" s="1"/>
  <c r="K54" i="15"/>
  <c r="F54" i="15"/>
  <c r="G54" i="15" s="1"/>
  <c r="H54" i="15" s="1"/>
  <c r="D54" i="15"/>
  <c r="I54" i="15" s="1"/>
  <c r="K53" i="15"/>
  <c r="F53" i="15"/>
  <c r="G53" i="15" s="1"/>
  <c r="H53" i="15" s="1"/>
  <c r="D53" i="15"/>
  <c r="K52" i="15"/>
  <c r="F52" i="15"/>
  <c r="G52" i="15" s="1"/>
  <c r="H52" i="15" s="1"/>
  <c r="D52" i="15"/>
  <c r="K51" i="15"/>
  <c r="F51" i="15"/>
  <c r="G51" i="15" s="1"/>
  <c r="H51" i="15" s="1"/>
  <c r="D51" i="15"/>
  <c r="I51" i="15" s="1"/>
  <c r="K50" i="15"/>
  <c r="F50" i="15"/>
  <c r="G50" i="15" s="1"/>
  <c r="H50" i="15" s="1"/>
  <c r="D50" i="15"/>
  <c r="I50" i="15" s="1"/>
  <c r="K49" i="15"/>
  <c r="F49" i="15"/>
  <c r="G49" i="15" s="1"/>
  <c r="H49" i="15" s="1"/>
  <c r="D49" i="15"/>
  <c r="K48" i="15"/>
  <c r="F48" i="15"/>
  <c r="G48" i="15" s="1"/>
  <c r="H48" i="15" s="1"/>
  <c r="D48" i="15"/>
  <c r="K47" i="15"/>
  <c r="F47" i="15"/>
  <c r="G47" i="15" s="1"/>
  <c r="H47" i="15" s="1"/>
  <c r="D47" i="15"/>
  <c r="I47" i="15" s="1"/>
  <c r="K46" i="15"/>
  <c r="F46" i="15"/>
  <c r="G46" i="15" s="1"/>
  <c r="H46" i="15" s="1"/>
  <c r="D46" i="15"/>
  <c r="I46" i="15" s="1"/>
  <c r="K45" i="15"/>
  <c r="F45" i="15"/>
  <c r="G45" i="15" s="1"/>
  <c r="H45" i="15" s="1"/>
  <c r="D45" i="15"/>
  <c r="K44" i="15"/>
  <c r="F44" i="15"/>
  <c r="G44" i="15" s="1"/>
  <c r="H44" i="15" s="1"/>
  <c r="D44" i="15"/>
  <c r="K43" i="15"/>
  <c r="F43" i="15"/>
  <c r="G43" i="15" s="1"/>
  <c r="H43" i="15" s="1"/>
  <c r="D43" i="15"/>
  <c r="I43" i="15" s="1"/>
  <c r="K42" i="15"/>
  <c r="F42" i="15"/>
  <c r="G42" i="15" s="1"/>
  <c r="H42" i="15" s="1"/>
  <c r="D42" i="15"/>
  <c r="I42" i="15" s="1"/>
  <c r="M39" i="15"/>
  <c r="J39" i="15"/>
  <c r="I39" i="15"/>
  <c r="B39" i="15"/>
  <c r="L38" i="15"/>
  <c r="L37" i="15"/>
  <c r="L36" i="15"/>
  <c r="M33" i="15"/>
  <c r="J33" i="15"/>
  <c r="I33" i="15"/>
  <c r="B33" i="15"/>
  <c r="L32" i="15"/>
  <c r="L31" i="15"/>
  <c r="B28" i="15"/>
  <c r="K27" i="15"/>
  <c r="F27" i="15"/>
  <c r="G27" i="15" s="1"/>
  <c r="H27" i="15" s="1"/>
  <c r="D27" i="15"/>
  <c r="K26" i="15"/>
  <c r="M28" i="15" s="1"/>
  <c r="F26" i="15"/>
  <c r="G26" i="15" s="1"/>
  <c r="H26" i="15" s="1"/>
  <c r="D26" i="15"/>
  <c r="M24" i="15"/>
  <c r="B24" i="15"/>
  <c r="F23" i="15"/>
  <c r="G23" i="15" s="1"/>
  <c r="H23" i="15" s="1"/>
  <c r="D23" i="15"/>
  <c r="F22" i="15"/>
  <c r="G22" i="15" s="1"/>
  <c r="H22" i="15" s="1"/>
  <c r="D22" i="15"/>
  <c r="I22" i="15" s="1"/>
  <c r="F21" i="15"/>
  <c r="G21" i="15" s="1"/>
  <c r="H21" i="15" s="1"/>
  <c r="D21" i="15"/>
  <c r="F20" i="15"/>
  <c r="G20" i="15" s="1"/>
  <c r="H20" i="15" s="1"/>
  <c r="D20" i="15"/>
  <c r="F19" i="15"/>
  <c r="G19" i="15" s="1"/>
  <c r="H19" i="15" s="1"/>
  <c r="D19" i="15"/>
  <c r="I19" i="15" s="1"/>
  <c r="G18" i="15"/>
  <c r="H18" i="15" s="1"/>
  <c r="F18" i="15"/>
  <c r="D18" i="15"/>
  <c r="F17" i="15"/>
  <c r="G17" i="15" s="1"/>
  <c r="H17" i="15" s="1"/>
  <c r="D17" i="15"/>
  <c r="I17" i="15" s="1"/>
  <c r="G16" i="15"/>
  <c r="H16" i="15" s="1"/>
  <c r="F16" i="15"/>
  <c r="D16" i="15"/>
  <c r="I16" i="15" s="1"/>
  <c r="F15" i="15"/>
  <c r="G15" i="15" s="1"/>
  <c r="H15" i="15" s="1"/>
  <c r="D15" i="15"/>
  <c r="F14" i="15"/>
  <c r="G14" i="15" s="1"/>
  <c r="H14" i="15" s="1"/>
  <c r="D14" i="15"/>
  <c r="F13" i="15"/>
  <c r="G13" i="15" s="1"/>
  <c r="H13" i="15" s="1"/>
  <c r="D13" i="15"/>
  <c r="G12" i="15"/>
  <c r="H12" i="15" s="1"/>
  <c r="F12" i="15"/>
  <c r="D12" i="15"/>
  <c r="F11" i="15"/>
  <c r="G11" i="15" s="1"/>
  <c r="H11" i="15" s="1"/>
  <c r="D11" i="15"/>
  <c r="I11" i="15" s="1"/>
  <c r="G10" i="15"/>
  <c r="H10" i="15" s="1"/>
  <c r="F10" i="15"/>
  <c r="D10" i="15"/>
  <c r="F9" i="15"/>
  <c r="G9" i="15" s="1"/>
  <c r="H9" i="15" s="1"/>
  <c r="D9" i="15"/>
  <c r="G8" i="15"/>
  <c r="H8" i="15" s="1"/>
  <c r="F8" i="15"/>
  <c r="D8" i="15"/>
  <c r="I8" i="15" s="1"/>
  <c r="B6" i="15"/>
  <c r="N5" i="15"/>
  <c r="K5" i="15"/>
  <c r="M6" i="15" s="1"/>
  <c r="F5" i="15"/>
  <c r="G5" i="15" s="1"/>
  <c r="H5" i="15" s="1"/>
  <c r="D5" i="15"/>
  <c r="K4" i="15"/>
  <c r="F4" i="15"/>
  <c r="G4" i="15" s="1"/>
  <c r="H4" i="15" s="1"/>
  <c r="D4" i="15"/>
  <c r="R498" i="1"/>
  <c r="R494" i="1"/>
  <c r="S489" i="1"/>
  <c r="T486" i="1"/>
  <c r="S485" i="1"/>
  <c r="C480" i="1"/>
  <c r="T479" i="1"/>
  <c r="S478" i="1"/>
  <c r="N478" i="1"/>
  <c r="K478" i="1"/>
  <c r="L478" i="1" s="1"/>
  <c r="O478" i="1" s="1"/>
  <c r="S477" i="1"/>
  <c r="P477" i="1"/>
  <c r="N477" i="1"/>
  <c r="K477" i="1"/>
  <c r="L477" i="1" s="1"/>
  <c r="O477" i="1" s="1"/>
  <c r="S476" i="1"/>
  <c r="P476" i="1"/>
  <c r="N476" i="1"/>
  <c r="K476" i="1"/>
  <c r="L476" i="1" s="1"/>
  <c r="O476" i="1" s="1"/>
  <c r="Q476" i="1" s="1"/>
  <c r="T476" i="1" s="1"/>
  <c r="S475" i="1"/>
  <c r="N475" i="1"/>
  <c r="K475" i="1"/>
  <c r="L475" i="1" s="1"/>
  <c r="O475" i="1" s="1"/>
  <c r="S474" i="1"/>
  <c r="N474" i="1"/>
  <c r="L474" i="1"/>
  <c r="O474" i="1" s="1"/>
  <c r="K474" i="1"/>
  <c r="S473" i="1"/>
  <c r="M473" i="1"/>
  <c r="N473" i="1" s="1"/>
  <c r="P473" i="1" s="1"/>
  <c r="L473" i="1"/>
  <c r="O473" i="1" s="1"/>
  <c r="K473" i="1"/>
  <c r="S472" i="1"/>
  <c r="O472" i="1"/>
  <c r="M472" i="1"/>
  <c r="N472" i="1" s="1"/>
  <c r="K472" i="1"/>
  <c r="L472" i="1" s="1"/>
  <c r="T471" i="1"/>
  <c r="C470" i="1"/>
  <c r="S469" i="1"/>
  <c r="N469" i="1"/>
  <c r="K469" i="1"/>
  <c r="L469" i="1" s="1"/>
  <c r="O469" i="1" s="1"/>
  <c r="G469" i="1"/>
  <c r="S468" i="1"/>
  <c r="N468" i="1"/>
  <c r="P468" i="1" s="1"/>
  <c r="K468" i="1"/>
  <c r="L468" i="1" s="1"/>
  <c r="O468" i="1" s="1"/>
  <c r="G468" i="1"/>
  <c r="S467" i="1"/>
  <c r="N467" i="1"/>
  <c r="K467" i="1"/>
  <c r="L467" i="1" s="1"/>
  <c r="O467" i="1" s="1"/>
  <c r="G467" i="1"/>
  <c r="S466" i="1"/>
  <c r="N466" i="1"/>
  <c r="P466" i="1" s="1"/>
  <c r="Q466" i="1" s="1"/>
  <c r="K466" i="1"/>
  <c r="L466" i="1" s="1"/>
  <c r="O466" i="1" s="1"/>
  <c r="G466" i="1"/>
  <c r="S465" i="1"/>
  <c r="N465" i="1"/>
  <c r="P465" i="1" s="1"/>
  <c r="K465" i="1"/>
  <c r="L465" i="1" s="1"/>
  <c r="O465" i="1" s="1"/>
  <c r="G465" i="1"/>
  <c r="S464" i="1"/>
  <c r="P464" i="1"/>
  <c r="Q464" i="1" s="1"/>
  <c r="T464" i="1" s="1"/>
  <c r="N464" i="1"/>
  <c r="K464" i="1"/>
  <c r="L464" i="1" s="1"/>
  <c r="O464" i="1" s="1"/>
  <c r="G464" i="1"/>
  <c r="S463" i="1"/>
  <c r="N463" i="1"/>
  <c r="K463" i="1"/>
  <c r="L463" i="1" s="1"/>
  <c r="O463" i="1" s="1"/>
  <c r="G463" i="1"/>
  <c r="S462" i="1"/>
  <c r="N462" i="1"/>
  <c r="K462" i="1"/>
  <c r="L462" i="1" s="1"/>
  <c r="O462" i="1" s="1"/>
  <c r="G462" i="1"/>
  <c r="P462" i="1" s="1"/>
  <c r="S461" i="1"/>
  <c r="N461" i="1"/>
  <c r="K461" i="1"/>
  <c r="L461" i="1" s="1"/>
  <c r="O461" i="1" s="1"/>
  <c r="G461" i="1"/>
  <c r="S460" i="1"/>
  <c r="N460" i="1"/>
  <c r="P460" i="1" s="1"/>
  <c r="K460" i="1"/>
  <c r="L460" i="1" s="1"/>
  <c r="O460" i="1" s="1"/>
  <c r="G460" i="1"/>
  <c r="S459" i="1"/>
  <c r="N459" i="1"/>
  <c r="K459" i="1"/>
  <c r="L459" i="1" s="1"/>
  <c r="O459" i="1" s="1"/>
  <c r="G459" i="1"/>
  <c r="S458" i="1"/>
  <c r="P458" i="1"/>
  <c r="Q458" i="1" s="1"/>
  <c r="N458" i="1"/>
  <c r="K458" i="1"/>
  <c r="L458" i="1" s="1"/>
  <c r="O458" i="1" s="1"/>
  <c r="G458" i="1"/>
  <c r="S457" i="1"/>
  <c r="N457" i="1"/>
  <c r="K457" i="1"/>
  <c r="L457" i="1" s="1"/>
  <c r="O457" i="1" s="1"/>
  <c r="G457" i="1"/>
  <c r="S456" i="1"/>
  <c r="N456" i="1"/>
  <c r="K456" i="1"/>
  <c r="L456" i="1" s="1"/>
  <c r="O456" i="1" s="1"/>
  <c r="G456" i="1"/>
  <c r="P456" i="1" s="1"/>
  <c r="S455" i="1"/>
  <c r="N455" i="1"/>
  <c r="K455" i="1"/>
  <c r="L455" i="1" s="1"/>
  <c r="O455" i="1" s="1"/>
  <c r="G455" i="1"/>
  <c r="S454" i="1"/>
  <c r="N454" i="1"/>
  <c r="P454" i="1" s="1"/>
  <c r="K454" i="1"/>
  <c r="L454" i="1" s="1"/>
  <c r="O454" i="1" s="1"/>
  <c r="G454" i="1"/>
  <c r="S453" i="1"/>
  <c r="N453" i="1"/>
  <c r="P453" i="1" s="1"/>
  <c r="Q453" i="1" s="1"/>
  <c r="T453" i="1" s="1"/>
  <c r="K453" i="1"/>
  <c r="L453" i="1" s="1"/>
  <c r="O453" i="1" s="1"/>
  <c r="G453" i="1"/>
  <c r="S452" i="1"/>
  <c r="P452" i="1"/>
  <c r="N452" i="1"/>
  <c r="K452" i="1"/>
  <c r="L452" i="1" s="1"/>
  <c r="O452" i="1" s="1"/>
  <c r="G452" i="1"/>
  <c r="S451" i="1"/>
  <c r="N451" i="1"/>
  <c r="K451" i="1"/>
  <c r="L451" i="1" s="1"/>
  <c r="O451" i="1" s="1"/>
  <c r="G451" i="1"/>
  <c r="S450" i="1"/>
  <c r="N450" i="1"/>
  <c r="K450" i="1"/>
  <c r="L450" i="1" s="1"/>
  <c r="O450" i="1" s="1"/>
  <c r="G450" i="1"/>
  <c r="P450" i="1" s="1"/>
  <c r="Q450" i="1" s="1"/>
  <c r="S449" i="1"/>
  <c r="N449" i="1"/>
  <c r="K449" i="1"/>
  <c r="L449" i="1" s="1"/>
  <c r="O449" i="1" s="1"/>
  <c r="G449" i="1"/>
  <c r="S448" i="1"/>
  <c r="N448" i="1"/>
  <c r="P448" i="1" s="1"/>
  <c r="K448" i="1"/>
  <c r="L448" i="1" s="1"/>
  <c r="O448" i="1" s="1"/>
  <c r="G448" i="1"/>
  <c r="S447" i="1"/>
  <c r="N447" i="1"/>
  <c r="P447" i="1" s="1"/>
  <c r="K447" i="1"/>
  <c r="L447" i="1" s="1"/>
  <c r="O447" i="1" s="1"/>
  <c r="G447" i="1"/>
  <c r="S446" i="1"/>
  <c r="N446" i="1"/>
  <c r="P446" i="1" s="1"/>
  <c r="K446" i="1"/>
  <c r="L446" i="1" s="1"/>
  <c r="O446" i="1" s="1"/>
  <c r="G446" i="1"/>
  <c r="S445" i="1"/>
  <c r="N445" i="1"/>
  <c r="K445" i="1"/>
  <c r="L445" i="1" s="1"/>
  <c r="O445" i="1" s="1"/>
  <c r="G445" i="1"/>
  <c r="S444" i="1"/>
  <c r="N444" i="1"/>
  <c r="P444" i="1" s="1"/>
  <c r="K444" i="1"/>
  <c r="L444" i="1" s="1"/>
  <c r="O444" i="1" s="1"/>
  <c r="G444" i="1"/>
  <c r="S443" i="1"/>
  <c r="N443" i="1"/>
  <c r="P443" i="1" s="1"/>
  <c r="Q443" i="1" s="1"/>
  <c r="K443" i="1"/>
  <c r="L443" i="1" s="1"/>
  <c r="O443" i="1" s="1"/>
  <c r="G443" i="1"/>
  <c r="S442" i="1"/>
  <c r="M442" i="1"/>
  <c r="N442" i="1" s="1"/>
  <c r="L442" i="1"/>
  <c r="O442" i="1" s="1"/>
  <c r="K442" i="1"/>
  <c r="G442" i="1"/>
  <c r="S441" i="1"/>
  <c r="M441" i="1"/>
  <c r="N441" i="1" s="1"/>
  <c r="K441" i="1"/>
  <c r="L441" i="1" s="1"/>
  <c r="O441" i="1" s="1"/>
  <c r="G441" i="1"/>
  <c r="S440" i="1"/>
  <c r="M440" i="1"/>
  <c r="N440" i="1" s="1"/>
  <c r="K440" i="1"/>
  <c r="L440" i="1" s="1"/>
  <c r="O440" i="1" s="1"/>
  <c r="G440" i="1"/>
  <c r="S439" i="1"/>
  <c r="M439" i="1"/>
  <c r="N439" i="1" s="1"/>
  <c r="K439" i="1"/>
  <c r="L439" i="1" s="1"/>
  <c r="O439" i="1" s="1"/>
  <c r="G439" i="1"/>
  <c r="S438" i="1"/>
  <c r="M438" i="1"/>
  <c r="N438" i="1" s="1"/>
  <c r="P438" i="1" s="1"/>
  <c r="L438" i="1"/>
  <c r="O438" i="1" s="1"/>
  <c r="K438" i="1"/>
  <c r="G438" i="1"/>
  <c r="S437" i="1"/>
  <c r="M437" i="1"/>
  <c r="N437" i="1" s="1"/>
  <c r="K437" i="1"/>
  <c r="L437" i="1" s="1"/>
  <c r="O437" i="1" s="1"/>
  <c r="G437" i="1"/>
  <c r="S436" i="1"/>
  <c r="N436" i="1"/>
  <c r="K436" i="1"/>
  <c r="L436" i="1" s="1"/>
  <c r="O436" i="1" s="1"/>
  <c r="G436" i="1"/>
  <c r="S435" i="1"/>
  <c r="N435" i="1"/>
  <c r="K435" i="1"/>
  <c r="L435" i="1" s="1"/>
  <c r="O435" i="1" s="1"/>
  <c r="G435" i="1"/>
  <c r="P435" i="1" s="1"/>
  <c r="S434" i="1"/>
  <c r="M434" i="1"/>
  <c r="N434" i="1" s="1"/>
  <c r="K434" i="1"/>
  <c r="L434" i="1" s="1"/>
  <c r="O434" i="1" s="1"/>
  <c r="G434" i="1"/>
  <c r="P433" i="1"/>
  <c r="Q433" i="1" s="1"/>
  <c r="N433" i="1"/>
  <c r="K433" i="1"/>
  <c r="L433" i="1" s="1"/>
  <c r="O433" i="1" s="1"/>
  <c r="G433" i="1"/>
  <c r="N432" i="1"/>
  <c r="K432" i="1"/>
  <c r="L432" i="1" s="1"/>
  <c r="O432" i="1" s="1"/>
  <c r="G432" i="1"/>
  <c r="P431" i="1"/>
  <c r="Q431" i="1" s="1"/>
  <c r="N431" i="1"/>
  <c r="K431" i="1"/>
  <c r="L431" i="1" s="1"/>
  <c r="O431" i="1" s="1"/>
  <c r="G431" i="1"/>
  <c r="O430" i="1"/>
  <c r="N430" i="1"/>
  <c r="K430" i="1"/>
  <c r="L430" i="1" s="1"/>
  <c r="G430" i="1"/>
  <c r="N429" i="1"/>
  <c r="L429" i="1"/>
  <c r="O429" i="1" s="1"/>
  <c r="K429" i="1"/>
  <c r="G429" i="1"/>
  <c r="N428" i="1"/>
  <c r="K428" i="1"/>
  <c r="L428" i="1" s="1"/>
  <c r="O428" i="1" s="1"/>
  <c r="G428" i="1"/>
  <c r="N427" i="1"/>
  <c r="K427" i="1"/>
  <c r="L427" i="1" s="1"/>
  <c r="O427" i="1" s="1"/>
  <c r="G427" i="1"/>
  <c r="P427" i="1" s="1"/>
  <c r="N426" i="1"/>
  <c r="K426" i="1"/>
  <c r="L426" i="1" s="1"/>
  <c r="O426" i="1" s="1"/>
  <c r="G426" i="1"/>
  <c r="N425" i="1"/>
  <c r="P425" i="1" s="1"/>
  <c r="K425" i="1"/>
  <c r="L425" i="1" s="1"/>
  <c r="O425" i="1" s="1"/>
  <c r="G425" i="1"/>
  <c r="N424" i="1"/>
  <c r="K424" i="1"/>
  <c r="L424" i="1" s="1"/>
  <c r="O424" i="1" s="1"/>
  <c r="G424" i="1"/>
  <c r="N423" i="1"/>
  <c r="K423" i="1"/>
  <c r="L423" i="1" s="1"/>
  <c r="O423" i="1" s="1"/>
  <c r="G423" i="1"/>
  <c r="N422" i="1"/>
  <c r="K422" i="1"/>
  <c r="L422" i="1" s="1"/>
  <c r="O422" i="1" s="1"/>
  <c r="Q422" i="1" s="1"/>
  <c r="T422" i="1" s="1"/>
  <c r="G422" i="1"/>
  <c r="N421" i="1"/>
  <c r="K421" i="1"/>
  <c r="L421" i="1" s="1"/>
  <c r="O421" i="1" s="1"/>
  <c r="Q421" i="1" s="1"/>
  <c r="T421" i="1" s="1"/>
  <c r="G421" i="1"/>
  <c r="N420" i="1"/>
  <c r="L420" i="1"/>
  <c r="O420" i="1" s="1"/>
  <c r="K420" i="1"/>
  <c r="G420" i="1"/>
  <c r="N419" i="1"/>
  <c r="P419" i="1" s="1"/>
  <c r="K419" i="1"/>
  <c r="L419" i="1" s="1"/>
  <c r="O419" i="1" s="1"/>
  <c r="G419" i="1"/>
  <c r="N418" i="1"/>
  <c r="L418" i="1"/>
  <c r="O418" i="1" s="1"/>
  <c r="K418" i="1"/>
  <c r="G418" i="1"/>
  <c r="N417" i="1"/>
  <c r="K417" i="1"/>
  <c r="L417" i="1" s="1"/>
  <c r="O417" i="1" s="1"/>
  <c r="G417" i="1"/>
  <c r="R417" i="1" s="1"/>
  <c r="N416" i="1"/>
  <c r="L416" i="1"/>
  <c r="O416" i="1" s="1"/>
  <c r="K416" i="1"/>
  <c r="G416" i="1"/>
  <c r="R416" i="1" s="1"/>
  <c r="O415" i="1"/>
  <c r="N415" i="1"/>
  <c r="K415" i="1"/>
  <c r="L415" i="1" s="1"/>
  <c r="G415" i="1"/>
  <c r="R415" i="1" s="1"/>
  <c r="T414" i="1"/>
  <c r="S414" i="1"/>
  <c r="N414" i="1"/>
  <c r="P414" i="1" s="1"/>
  <c r="L414" i="1"/>
  <c r="O414" i="1" s="1"/>
  <c r="K414" i="1"/>
  <c r="G414" i="1"/>
  <c r="R414" i="1" s="1"/>
  <c r="S413" i="1"/>
  <c r="T413" i="1" s="1"/>
  <c r="N413" i="1"/>
  <c r="K413" i="1"/>
  <c r="L413" i="1" s="1"/>
  <c r="O413" i="1" s="1"/>
  <c r="G413" i="1"/>
  <c r="R413" i="1" s="1"/>
  <c r="S412" i="1"/>
  <c r="T412" i="1" s="1"/>
  <c r="N412" i="1"/>
  <c r="K412" i="1"/>
  <c r="L412" i="1" s="1"/>
  <c r="O412" i="1" s="1"/>
  <c r="G412" i="1"/>
  <c r="R412" i="1" s="1"/>
  <c r="T411" i="1"/>
  <c r="S411" i="1"/>
  <c r="O411" i="1"/>
  <c r="N411" i="1"/>
  <c r="K411" i="1"/>
  <c r="L411" i="1" s="1"/>
  <c r="G411" i="1"/>
  <c r="R411" i="1" s="1"/>
  <c r="T410" i="1"/>
  <c r="S410" i="1"/>
  <c r="R410" i="1"/>
  <c r="N410" i="1"/>
  <c r="P410" i="1" s="1"/>
  <c r="L410" i="1"/>
  <c r="O410" i="1" s="1"/>
  <c r="K410" i="1"/>
  <c r="G410" i="1"/>
  <c r="S409" i="1"/>
  <c r="T409" i="1" s="1"/>
  <c r="R409" i="1"/>
  <c r="N409" i="1"/>
  <c r="K409" i="1"/>
  <c r="L409" i="1" s="1"/>
  <c r="O409" i="1" s="1"/>
  <c r="G409" i="1"/>
  <c r="T408" i="1"/>
  <c r="S408" i="1"/>
  <c r="O408" i="1"/>
  <c r="N408" i="1"/>
  <c r="P408" i="1" s="1"/>
  <c r="L408" i="1"/>
  <c r="K408" i="1"/>
  <c r="G408" i="1"/>
  <c r="R408" i="1" s="1"/>
  <c r="T407" i="1"/>
  <c r="S407" i="1"/>
  <c r="N407" i="1"/>
  <c r="K407" i="1"/>
  <c r="L407" i="1" s="1"/>
  <c r="O407" i="1" s="1"/>
  <c r="G407" i="1"/>
  <c r="R407" i="1" s="1"/>
  <c r="S406" i="1"/>
  <c r="T406" i="1" s="1"/>
  <c r="R406" i="1"/>
  <c r="N406" i="1"/>
  <c r="K406" i="1"/>
  <c r="L406" i="1" s="1"/>
  <c r="O406" i="1" s="1"/>
  <c r="G406" i="1"/>
  <c r="P406" i="1" s="1"/>
  <c r="S405" i="1"/>
  <c r="T405" i="1" s="1"/>
  <c r="N405" i="1"/>
  <c r="P405" i="1" s="1"/>
  <c r="L405" i="1"/>
  <c r="O405" i="1" s="1"/>
  <c r="K405" i="1"/>
  <c r="G405" i="1"/>
  <c r="R405" i="1" s="1"/>
  <c r="T404" i="1"/>
  <c r="S404" i="1"/>
  <c r="N404" i="1"/>
  <c r="L404" i="1"/>
  <c r="O404" i="1" s="1"/>
  <c r="K404" i="1"/>
  <c r="G404" i="1"/>
  <c r="R404" i="1" s="1"/>
  <c r="S403" i="1"/>
  <c r="T403" i="1" s="1"/>
  <c r="N403" i="1"/>
  <c r="K403" i="1"/>
  <c r="L403" i="1" s="1"/>
  <c r="O403" i="1" s="1"/>
  <c r="G403" i="1"/>
  <c r="R403" i="1" s="1"/>
  <c r="T402" i="1"/>
  <c r="S402" i="1"/>
  <c r="P402" i="1"/>
  <c r="N402" i="1"/>
  <c r="K402" i="1"/>
  <c r="L402" i="1" s="1"/>
  <c r="O402" i="1" s="1"/>
  <c r="G402" i="1"/>
  <c r="R402" i="1" s="1"/>
  <c r="S401" i="1"/>
  <c r="T401" i="1" s="1"/>
  <c r="N401" i="1"/>
  <c r="P401" i="1" s="1"/>
  <c r="L401" i="1"/>
  <c r="O401" i="1" s="1"/>
  <c r="K401" i="1"/>
  <c r="G401" i="1"/>
  <c r="R401" i="1" s="1"/>
  <c r="S400" i="1"/>
  <c r="T400" i="1" s="1"/>
  <c r="N400" i="1"/>
  <c r="K400" i="1"/>
  <c r="L400" i="1" s="1"/>
  <c r="O400" i="1" s="1"/>
  <c r="G400" i="1"/>
  <c r="R400" i="1" s="1"/>
  <c r="S399" i="1"/>
  <c r="T399" i="1" s="1"/>
  <c r="O399" i="1"/>
  <c r="N399" i="1"/>
  <c r="K399" i="1"/>
  <c r="L399" i="1" s="1"/>
  <c r="G399" i="1"/>
  <c r="R399" i="1" s="1"/>
  <c r="T398" i="1"/>
  <c r="S398" i="1"/>
  <c r="P398" i="1"/>
  <c r="N398" i="1"/>
  <c r="L398" i="1"/>
  <c r="O398" i="1" s="1"/>
  <c r="K398" i="1"/>
  <c r="G398" i="1"/>
  <c r="R398" i="1" s="1"/>
  <c r="S397" i="1"/>
  <c r="T397" i="1" s="1"/>
  <c r="N397" i="1"/>
  <c r="K397" i="1"/>
  <c r="L397" i="1" s="1"/>
  <c r="O397" i="1" s="1"/>
  <c r="G397" i="1"/>
  <c r="R397" i="1" s="1"/>
  <c r="S396" i="1"/>
  <c r="T396" i="1" s="1"/>
  <c r="O396" i="1"/>
  <c r="N396" i="1"/>
  <c r="K396" i="1"/>
  <c r="L396" i="1" s="1"/>
  <c r="G396" i="1"/>
  <c r="R396" i="1" s="1"/>
  <c r="T395" i="1"/>
  <c r="S395" i="1"/>
  <c r="O395" i="1"/>
  <c r="N395" i="1"/>
  <c r="K395" i="1"/>
  <c r="L395" i="1" s="1"/>
  <c r="G395" i="1"/>
  <c r="R395" i="1" s="1"/>
  <c r="S394" i="1"/>
  <c r="T394" i="1" s="1"/>
  <c r="N394" i="1"/>
  <c r="K394" i="1"/>
  <c r="L394" i="1" s="1"/>
  <c r="O394" i="1" s="1"/>
  <c r="G394" i="1"/>
  <c r="R394" i="1" s="1"/>
  <c r="T393" i="1"/>
  <c r="S393" i="1"/>
  <c r="P393" i="1"/>
  <c r="N393" i="1"/>
  <c r="K393" i="1"/>
  <c r="L393" i="1" s="1"/>
  <c r="O393" i="1" s="1"/>
  <c r="G393" i="1"/>
  <c r="R393" i="1" s="1"/>
  <c r="T392" i="1"/>
  <c r="N392" i="1"/>
  <c r="K392" i="1"/>
  <c r="L392" i="1" s="1"/>
  <c r="O392" i="1" s="1"/>
  <c r="G392" i="1"/>
  <c r="P392" i="1" s="1"/>
  <c r="T391" i="1"/>
  <c r="T390" i="1"/>
  <c r="P387" i="1"/>
  <c r="N387" i="1"/>
  <c r="K387" i="1"/>
  <c r="L387" i="1" s="1"/>
  <c r="O387" i="1" s="1"/>
  <c r="G387" i="1"/>
  <c r="P386" i="1"/>
  <c r="N386" i="1"/>
  <c r="K386" i="1"/>
  <c r="L386" i="1" s="1"/>
  <c r="O386" i="1" s="1"/>
  <c r="G386" i="1"/>
  <c r="N385" i="1"/>
  <c r="K385" i="1"/>
  <c r="L385" i="1" s="1"/>
  <c r="O385" i="1" s="1"/>
  <c r="G385" i="1"/>
  <c r="N384" i="1"/>
  <c r="K384" i="1"/>
  <c r="L384" i="1" s="1"/>
  <c r="O384" i="1" s="1"/>
  <c r="G384" i="1"/>
  <c r="N383" i="1"/>
  <c r="K383" i="1"/>
  <c r="L383" i="1" s="1"/>
  <c r="O383" i="1" s="1"/>
  <c r="G383" i="1"/>
  <c r="P383" i="1" s="1"/>
  <c r="M382" i="1"/>
  <c r="N382" i="1" s="1"/>
  <c r="K382" i="1"/>
  <c r="L382" i="1" s="1"/>
  <c r="O382" i="1" s="1"/>
  <c r="G382" i="1"/>
  <c r="S381" i="1"/>
  <c r="T381" i="1" s="1"/>
  <c r="M381" i="1"/>
  <c r="N381" i="1" s="1"/>
  <c r="K381" i="1"/>
  <c r="L381" i="1" s="1"/>
  <c r="O381" i="1" s="1"/>
  <c r="G381" i="1"/>
  <c r="N380" i="1"/>
  <c r="K380" i="1"/>
  <c r="L380" i="1" s="1"/>
  <c r="O380" i="1" s="1"/>
  <c r="G380" i="1"/>
  <c r="N379" i="1"/>
  <c r="K379" i="1"/>
  <c r="L379" i="1" s="1"/>
  <c r="O379" i="1" s="1"/>
  <c r="G379" i="1"/>
  <c r="P379" i="1" s="1"/>
  <c r="Q379" i="1" s="1"/>
  <c r="S379" i="1" s="1"/>
  <c r="N378" i="1"/>
  <c r="L378" i="1"/>
  <c r="O378" i="1" s="1"/>
  <c r="K378" i="1"/>
  <c r="G378" i="1"/>
  <c r="O377" i="1"/>
  <c r="M377" i="1"/>
  <c r="K377" i="1"/>
  <c r="L377" i="1" s="1"/>
  <c r="C377" i="1"/>
  <c r="N377" i="1" s="1"/>
  <c r="N376" i="1"/>
  <c r="K376" i="1"/>
  <c r="L376" i="1" s="1"/>
  <c r="O376" i="1" s="1"/>
  <c r="G376" i="1"/>
  <c r="P376" i="1" s="1"/>
  <c r="Q376" i="1" s="1"/>
  <c r="S376" i="1" s="1"/>
  <c r="N375" i="1"/>
  <c r="K375" i="1"/>
  <c r="L375" i="1" s="1"/>
  <c r="O375" i="1" s="1"/>
  <c r="G375" i="1"/>
  <c r="N374" i="1"/>
  <c r="K374" i="1"/>
  <c r="L374" i="1" s="1"/>
  <c r="O374" i="1" s="1"/>
  <c r="G374" i="1"/>
  <c r="P374" i="1" s="1"/>
  <c r="Q374" i="1" s="1"/>
  <c r="S374" i="1" s="1"/>
  <c r="N373" i="1"/>
  <c r="K373" i="1"/>
  <c r="L373" i="1" s="1"/>
  <c r="O373" i="1" s="1"/>
  <c r="G373" i="1"/>
  <c r="N372" i="1"/>
  <c r="K372" i="1"/>
  <c r="L372" i="1" s="1"/>
  <c r="O372" i="1" s="1"/>
  <c r="G372" i="1"/>
  <c r="N371" i="1"/>
  <c r="L371" i="1"/>
  <c r="O371" i="1" s="1"/>
  <c r="K371" i="1"/>
  <c r="G371" i="1"/>
  <c r="M370" i="1"/>
  <c r="N370" i="1" s="1"/>
  <c r="P370" i="1" s="1"/>
  <c r="Q370" i="1" s="1"/>
  <c r="L370" i="1"/>
  <c r="O370" i="1" s="1"/>
  <c r="K370" i="1"/>
  <c r="G370" i="1"/>
  <c r="M369" i="1"/>
  <c r="K369" i="1"/>
  <c r="L369" i="1" s="1"/>
  <c r="O369" i="1" s="1"/>
  <c r="Q369" i="1" s="1"/>
  <c r="G369" i="1"/>
  <c r="T368" i="1"/>
  <c r="T367" i="1"/>
  <c r="C366" i="1"/>
  <c r="W365" i="1"/>
  <c r="S365" i="1"/>
  <c r="M365" i="1"/>
  <c r="N365" i="1" s="1"/>
  <c r="K365" i="1"/>
  <c r="L365" i="1" s="1"/>
  <c r="O365" i="1" s="1"/>
  <c r="G365" i="1"/>
  <c r="W364" i="1"/>
  <c r="S364" i="1"/>
  <c r="M364" i="1"/>
  <c r="N364" i="1" s="1"/>
  <c r="K364" i="1"/>
  <c r="L364" i="1" s="1"/>
  <c r="O364" i="1" s="1"/>
  <c r="G364" i="1"/>
  <c r="W363" i="1"/>
  <c r="S363" i="1"/>
  <c r="M363" i="1"/>
  <c r="K363" i="1"/>
  <c r="L363" i="1" s="1"/>
  <c r="O363" i="1" s="1"/>
  <c r="G363" i="1"/>
  <c r="S362" i="1"/>
  <c r="M362" i="1"/>
  <c r="K362" i="1"/>
  <c r="L362" i="1" s="1"/>
  <c r="O362" i="1" s="1"/>
  <c r="G362" i="1"/>
  <c r="W361" i="1"/>
  <c r="S361" i="1"/>
  <c r="U366" i="1" s="1"/>
  <c r="M361" i="1"/>
  <c r="N361" i="1" s="1"/>
  <c r="K361" i="1"/>
  <c r="L361" i="1" s="1"/>
  <c r="O361" i="1" s="1"/>
  <c r="G361" i="1"/>
  <c r="T360" i="1"/>
  <c r="T359" i="1"/>
  <c r="C358" i="1"/>
  <c r="W357" i="1"/>
  <c r="S357" i="1"/>
  <c r="M357" i="1"/>
  <c r="K357" i="1"/>
  <c r="L357" i="1" s="1"/>
  <c r="O357" i="1" s="1"/>
  <c r="G357" i="1"/>
  <c r="W356" i="1"/>
  <c r="S356" i="1"/>
  <c r="M356" i="1"/>
  <c r="N356" i="1" s="1"/>
  <c r="K356" i="1"/>
  <c r="L356" i="1" s="1"/>
  <c r="O356" i="1" s="1"/>
  <c r="G356" i="1"/>
  <c r="W355" i="1"/>
  <c r="S355" i="1"/>
  <c r="M355" i="1"/>
  <c r="N355" i="1" s="1"/>
  <c r="K355" i="1"/>
  <c r="L355" i="1" s="1"/>
  <c r="O355" i="1" s="1"/>
  <c r="G355" i="1"/>
  <c r="S354" i="1"/>
  <c r="O354" i="1"/>
  <c r="N354" i="1"/>
  <c r="P354" i="1" s="1"/>
  <c r="M354" i="1"/>
  <c r="K354" i="1"/>
  <c r="L354" i="1" s="1"/>
  <c r="G354" i="1"/>
  <c r="T353" i="1"/>
  <c r="T352" i="1"/>
  <c r="T350" i="1"/>
  <c r="S349" i="1"/>
  <c r="N349" i="1"/>
  <c r="K349" i="1"/>
  <c r="L349" i="1" s="1"/>
  <c r="O349" i="1" s="1"/>
  <c r="G349" i="1"/>
  <c r="S348" i="1"/>
  <c r="P348" i="1"/>
  <c r="Q348" i="1" s="1"/>
  <c r="N348" i="1"/>
  <c r="K348" i="1"/>
  <c r="L348" i="1" s="1"/>
  <c r="O348" i="1" s="1"/>
  <c r="G348" i="1"/>
  <c r="N347" i="1"/>
  <c r="L347" i="1"/>
  <c r="O347" i="1" s="1"/>
  <c r="K347" i="1"/>
  <c r="G347" i="1"/>
  <c r="N346" i="1"/>
  <c r="P346" i="1" s="1"/>
  <c r="K346" i="1"/>
  <c r="L346" i="1" s="1"/>
  <c r="O346" i="1" s="1"/>
  <c r="G346" i="1"/>
  <c r="N345" i="1"/>
  <c r="K345" i="1"/>
  <c r="L345" i="1" s="1"/>
  <c r="O345" i="1" s="1"/>
  <c r="G345" i="1"/>
  <c r="N344" i="1"/>
  <c r="K344" i="1"/>
  <c r="L344" i="1" s="1"/>
  <c r="O344" i="1" s="1"/>
  <c r="G344" i="1"/>
  <c r="S343" i="1"/>
  <c r="N343" i="1"/>
  <c r="K343" i="1"/>
  <c r="L343" i="1" s="1"/>
  <c r="O343" i="1" s="1"/>
  <c r="G343" i="1"/>
  <c r="S342" i="1"/>
  <c r="N342" i="1"/>
  <c r="P342" i="1" s="1"/>
  <c r="Q342" i="1" s="1"/>
  <c r="T342" i="1" s="1"/>
  <c r="K342" i="1"/>
  <c r="L342" i="1" s="1"/>
  <c r="O342" i="1" s="1"/>
  <c r="G342" i="1"/>
  <c r="S341" i="1"/>
  <c r="N341" i="1"/>
  <c r="P341" i="1" s="1"/>
  <c r="K341" i="1"/>
  <c r="L341" i="1" s="1"/>
  <c r="O341" i="1" s="1"/>
  <c r="G341" i="1"/>
  <c r="S340" i="1"/>
  <c r="N340" i="1"/>
  <c r="P340" i="1" s="1"/>
  <c r="K340" i="1"/>
  <c r="L340" i="1" s="1"/>
  <c r="O340" i="1" s="1"/>
  <c r="G340" i="1"/>
  <c r="S339" i="1"/>
  <c r="N339" i="1"/>
  <c r="K339" i="1"/>
  <c r="L339" i="1" s="1"/>
  <c r="O339" i="1" s="1"/>
  <c r="G339" i="1"/>
  <c r="S338" i="1"/>
  <c r="P338" i="1"/>
  <c r="N338" i="1"/>
  <c r="K338" i="1"/>
  <c r="L338" i="1" s="1"/>
  <c r="O338" i="1" s="1"/>
  <c r="G338" i="1"/>
  <c r="S337" i="1"/>
  <c r="M337" i="1"/>
  <c r="N337" i="1" s="1"/>
  <c r="K337" i="1"/>
  <c r="L337" i="1" s="1"/>
  <c r="O337" i="1" s="1"/>
  <c r="G337" i="1"/>
  <c r="S336" i="1"/>
  <c r="M336" i="1"/>
  <c r="N336" i="1" s="1"/>
  <c r="K336" i="1"/>
  <c r="L336" i="1" s="1"/>
  <c r="O336" i="1" s="1"/>
  <c r="G336" i="1"/>
  <c r="S335" i="1"/>
  <c r="M335" i="1"/>
  <c r="N335" i="1" s="1"/>
  <c r="P335" i="1" s="1"/>
  <c r="L335" i="1"/>
  <c r="O335" i="1" s="1"/>
  <c r="K335" i="1"/>
  <c r="G335" i="1"/>
  <c r="S334" i="1"/>
  <c r="O334" i="1"/>
  <c r="M334" i="1"/>
  <c r="N334" i="1" s="1"/>
  <c r="K334" i="1"/>
  <c r="L334" i="1" s="1"/>
  <c r="G334" i="1"/>
  <c r="S333" i="1"/>
  <c r="M333" i="1"/>
  <c r="N333" i="1" s="1"/>
  <c r="K333" i="1"/>
  <c r="L333" i="1" s="1"/>
  <c r="O333" i="1" s="1"/>
  <c r="G333" i="1"/>
  <c r="S332" i="1"/>
  <c r="M332" i="1"/>
  <c r="N332" i="1" s="1"/>
  <c r="K332" i="1"/>
  <c r="L332" i="1" s="1"/>
  <c r="O332" i="1" s="1"/>
  <c r="G332" i="1"/>
  <c r="S331" i="1"/>
  <c r="N331" i="1"/>
  <c r="P331" i="1" s="1"/>
  <c r="K331" i="1"/>
  <c r="L331" i="1" s="1"/>
  <c r="O331" i="1" s="1"/>
  <c r="G331" i="1"/>
  <c r="S330" i="1"/>
  <c r="O330" i="1"/>
  <c r="N330" i="1"/>
  <c r="M330" i="1"/>
  <c r="K330" i="1"/>
  <c r="L330" i="1" s="1"/>
  <c r="G330" i="1"/>
  <c r="S329" i="1"/>
  <c r="M329" i="1"/>
  <c r="N329" i="1" s="1"/>
  <c r="K329" i="1"/>
  <c r="L329" i="1" s="1"/>
  <c r="O329" i="1" s="1"/>
  <c r="G329" i="1"/>
  <c r="S328" i="1"/>
  <c r="M328" i="1"/>
  <c r="N328" i="1" s="1"/>
  <c r="P328" i="1" s="1"/>
  <c r="K328" i="1"/>
  <c r="L328" i="1" s="1"/>
  <c r="O328" i="1" s="1"/>
  <c r="G328" i="1"/>
  <c r="S327" i="1"/>
  <c r="O327" i="1"/>
  <c r="M327" i="1"/>
  <c r="N327" i="1" s="1"/>
  <c r="K327" i="1"/>
  <c r="L327" i="1" s="1"/>
  <c r="G327" i="1"/>
  <c r="S326" i="1"/>
  <c r="O326" i="1"/>
  <c r="M326" i="1"/>
  <c r="N326" i="1" s="1"/>
  <c r="K326" i="1"/>
  <c r="L326" i="1" s="1"/>
  <c r="G326" i="1"/>
  <c r="S325" i="1"/>
  <c r="M325" i="1"/>
  <c r="K325" i="1"/>
  <c r="L325" i="1" s="1"/>
  <c r="O325" i="1" s="1"/>
  <c r="C325" i="1"/>
  <c r="G325" i="1" s="1"/>
  <c r="S324" i="1"/>
  <c r="M324" i="1"/>
  <c r="N324" i="1" s="1"/>
  <c r="K324" i="1"/>
  <c r="L324" i="1" s="1"/>
  <c r="O324" i="1" s="1"/>
  <c r="G324" i="1"/>
  <c r="S323" i="1"/>
  <c r="M323" i="1"/>
  <c r="N323" i="1" s="1"/>
  <c r="K323" i="1"/>
  <c r="L323" i="1" s="1"/>
  <c r="O323" i="1" s="1"/>
  <c r="G323" i="1"/>
  <c r="S322" i="1"/>
  <c r="T322" i="1" s="1"/>
  <c r="O322" i="1"/>
  <c r="N322" i="1"/>
  <c r="K322" i="1"/>
  <c r="L322" i="1" s="1"/>
  <c r="G322" i="1"/>
  <c r="S321" i="1"/>
  <c r="T321" i="1" s="1"/>
  <c r="N321" i="1"/>
  <c r="R321" i="1" s="1"/>
  <c r="K321" i="1"/>
  <c r="L321" i="1" s="1"/>
  <c r="O321" i="1" s="1"/>
  <c r="G321" i="1"/>
  <c r="P321" i="1" s="1"/>
  <c r="S320" i="1"/>
  <c r="T320" i="1" s="1"/>
  <c r="M320" i="1"/>
  <c r="N320" i="1" s="1"/>
  <c r="P320" i="1" s="1"/>
  <c r="L320" i="1"/>
  <c r="O320" i="1" s="1"/>
  <c r="K320" i="1"/>
  <c r="G320" i="1"/>
  <c r="S319" i="1"/>
  <c r="T319" i="1" s="1"/>
  <c r="O319" i="1"/>
  <c r="M319" i="1"/>
  <c r="N319" i="1" s="1"/>
  <c r="K319" i="1"/>
  <c r="L319" i="1" s="1"/>
  <c r="G319" i="1"/>
  <c r="S318" i="1"/>
  <c r="M318" i="1"/>
  <c r="N318" i="1" s="1"/>
  <c r="K318" i="1"/>
  <c r="L318" i="1" s="1"/>
  <c r="O318" i="1" s="1"/>
  <c r="G318" i="1"/>
  <c r="S317" i="1"/>
  <c r="T317" i="1" s="1"/>
  <c r="O317" i="1"/>
  <c r="M317" i="1"/>
  <c r="N317" i="1" s="1"/>
  <c r="K317" i="1"/>
  <c r="L317" i="1" s="1"/>
  <c r="G317" i="1"/>
  <c r="S316" i="1"/>
  <c r="T316" i="1" s="1"/>
  <c r="M316" i="1"/>
  <c r="N316" i="1" s="1"/>
  <c r="K316" i="1"/>
  <c r="L316" i="1" s="1"/>
  <c r="O316" i="1" s="1"/>
  <c r="G316" i="1"/>
  <c r="S315" i="1"/>
  <c r="T315" i="1" s="1"/>
  <c r="M315" i="1"/>
  <c r="N315" i="1" s="1"/>
  <c r="R315" i="1" s="1"/>
  <c r="K315" i="1"/>
  <c r="L315" i="1" s="1"/>
  <c r="O315" i="1" s="1"/>
  <c r="G315" i="1"/>
  <c r="P315" i="1" s="1"/>
  <c r="S314" i="1"/>
  <c r="T314" i="1" s="1"/>
  <c r="M314" i="1"/>
  <c r="N314" i="1" s="1"/>
  <c r="R314" i="1" s="1"/>
  <c r="K314" i="1"/>
  <c r="L314" i="1" s="1"/>
  <c r="O314" i="1" s="1"/>
  <c r="G314" i="1"/>
  <c r="S313" i="1"/>
  <c r="T313" i="1" s="1"/>
  <c r="M313" i="1"/>
  <c r="N313" i="1" s="1"/>
  <c r="K313" i="1"/>
  <c r="L313" i="1" s="1"/>
  <c r="O313" i="1" s="1"/>
  <c r="G313" i="1"/>
  <c r="T312" i="1"/>
  <c r="M312" i="1"/>
  <c r="L312" i="1"/>
  <c r="O312" i="1" s="1"/>
  <c r="K312" i="1"/>
  <c r="G312" i="1"/>
  <c r="T311" i="1"/>
  <c r="M311" i="1"/>
  <c r="N311" i="1" s="1"/>
  <c r="K311" i="1"/>
  <c r="L311" i="1" s="1"/>
  <c r="O311" i="1" s="1"/>
  <c r="G311" i="1"/>
  <c r="T310" i="1"/>
  <c r="O310" i="1"/>
  <c r="N310" i="1"/>
  <c r="M310" i="1"/>
  <c r="K310" i="1"/>
  <c r="L310" i="1" s="1"/>
  <c r="G310" i="1"/>
  <c r="S309" i="1"/>
  <c r="M309" i="1"/>
  <c r="N309" i="1" s="1"/>
  <c r="P309" i="1" s="1"/>
  <c r="L309" i="1"/>
  <c r="O309" i="1" s="1"/>
  <c r="K309" i="1"/>
  <c r="G309" i="1"/>
  <c r="T308" i="1"/>
  <c r="M308" i="1"/>
  <c r="K308" i="1"/>
  <c r="L308" i="1" s="1"/>
  <c r="O308" i="1" s="1"/>
  <c r="C308" i="1"/>
  <c r="T307" i="1"/>
  <c r="M307" i="1"/>
  <c r="K307" i="1"/>
  <c r="L307" i="1" s="1"/>
  <c r="O307" i="1" s="1"/>
  <c r="C307" i="1"/>
  <c r="N306" i="1"/>
  <c r="K306" i="1"/>
  <c r="L306" i="1" s="1"/>
  <c r="O306" i="1" s="1"/>
  <c r="G306" i="1"/>
  <c r="N305" i="1"/>
  <c r="K305" i="1"/>
  <c r="L305" i="1" s="1"/>
  <c r="O305" i="1" s="1"/>
  <c r="G305" i="1"/>
  <c r="N304" i="1"/>
  <c r="P304" i="1" s="1"/>
  <c r="Q304" i="1" s="1"/>
  <c r="T304" i="1" s="1"/>
  <c r="K304" i="1"/>
  <c r="L304" i="1" s="1"/>
  <c r="O304" i="1" s="1"/>
  <c r="G304" i="1"/>
  <c r="N303" i="1"/>
  <c r="L303" i="1"/>
  <c r="O303" i="1" s="1"/>
  <c r="K303" i="1"/>
  <c r="G303" i="1"/>
  <c r="N302" i="1"/>
  <c r="K302" i="1"/>
  <c r="L302" i="1" s="1"/>
  <c r="O302" i="1" s="1"/>
  <c r="G302" i="1"/>
  <c r="N301" i="1"/>
  <c r="K301" i="1"/>
  <c r="L301" i="1" s="1"/>
  <c r="O301" i="1" s="1"/>
  <c r="G301" i="1"/>
  <c r="N300" i="1"/>
  <c r="P300" i="1" s="1"/>
  <c r="K300" i="1"/>
  <c r="L300" i="1" s="1"/>
  <c r="O300" i="1" s="1"/>
  <c r="G300" i="1"/>
  <c r="N299" i="1"/>
  <c r="K299" i="1"/>
  <c r="L299" i="1" s="1"/>
  <c r="O299" i="1" s="1"/>
  <c r="G299" i="1"/>
  <c r="M298" i="1"/>
  <c r="N298" i="1" s="1"/>
  <c r="K298" i="1"/>
  <c r="L298" i="1" s="1"/>
  <c r="O298" i="1" s="1"/>
  <c r="G298" i="1"/>
  <c r="T297" i="1"/>
  <c r="M297" i="1"/>
  <c r="N297" i="1" s="1"/>
  <c r="P297" i="1" s="1"/>
  <c r="K297" i="1"/>
  <c r="L297" i="1" s="1"/>
  <c r="O297" i="1" s="1"/>
  <c r="G297" i="1"/>
  <c r="R297" i="1" s="1"/>
  <c r="T296" i="1"/>
  <c r="P296" i="1"/>
  <c r="N296" i="1"/>
  <c r="K296" i="1"/>
  <c r="L296" i="1" s="1"/>
  <c r="O296" i="1" s="1"/>
  <c r="G296" i="1"/>
  <c r="R296" i="1" s="1"/>
  <c r="T295" i="1"/>
  <c r="N295" i="1"/>
  <c r="P295" i="1" s="1"/>
  <c r="K295" i="1"/>
  <c r="L295" i="1" s="1"/>
  <c r="O295" i="1" s="1"/>
  <c r="G295" i="1"/>
  <c r="R295" i="1" s="1"/>
  <c r="T294" i="1"/>
  <c r="N294" i="1"/>
  <c r="K294" i="1"/>
  <c r="L294" i="1" s="1"/>
  <c r="O294" i="1" s="1"/>
  <c r="G294" i="1"/>
  <c r="P294" i="1" s="1"/>
  <c r="T293" i="1"/>
  <c r="N293" i="1"/>
  <c r="P293" i="1" s="1"/>
  <c r="L293" i="1"/>
  <c r="O293" i="1" s="1"/>
  <c r="K293" i="1"/>
  <c r="G293" i="1"/>
  <c r="R293" i="1" s="1"/>
  <c r="T292" i="1"/>
  <c r="T291" i="1"/>
  <c r="C290" i="1"/>
  <c r="S289" i="1"/>
  <c r="O289" i="1"/>
  <c r="M289" i="1"/>
  <c r="N289" i="1" s="1"/>
  <c r="K289" i="1"/>
  <c r="L289" i="1" s="1"/>
  <c r="G289" i="1"/>
  <c r="Q289" i="1" s="1"/>
  <c r="S288" i="1"/>
  <c r="M288" i="1"/>
  <c r="N288" i="1" s="1"/>
  <c r="K288" i="1"/>
  <c r="L288" i="1" s="1"/>
  <c r="O288" i="1" s="1"/>
  <c r="G288" i="1"/>
  <c r="Q288" i="1" s="1"/>
  <c r="S287" i="1"/>
  <c r="M287" i="1"/>
  <c r="N287" i="1" s="1"/>
  <c r="K287" i="1"/>
  <c r="L287" i="1" s="1"/>
  <c r="O287" i="1" s="1"/>
  <c r="G287" i="1"/>
  <c r="Q287" i="1" s="1"/>
  <c r="T287" i="1" s="1"/>
  <c r="S286" i="1"/>
  <c r="M286" i="1"/>
  <c r="N286" i="1" s="1"/>
  <c r="R286" i="1" s="1"/>
  <c r="L286" i="1"/>
  <c r="O286" i="1" s="1"/>
  <c r="K286" i="1"/>
  <c r="G286" i="1"/>
  <c r="Q286" i="1" s="1"/>
  <c r="S285" i="1"/>
  <c r="O285" i="1"/>
  <c r="N285" i="1"/>
  <c r="K285" i="1"/>
  <c r="L285" i="1" s="1"/>
  <c r="G285" i="1"/>
  <c r="Q285" i="1" s="1"/>
  <c r="T285" i="1" s="1"/>
  <c r="T284" i="1"/>
  <c r="N283" i="1"/>
  <c r="L283" i="1"/>
  <c r="O283" i="1" s="1"/>
  <c r="K283" i="1"/>
  <c r="G283" i="1"/>
  <c r="Q283" i="1" s="1"/>
  <c r="T283" i="1" s="1"/>
  <c r="N282" i="1"/>
  <c r="K282" i="1"/>
  <c r="L282" i="1" s="1"/>
  <c r="O282" i="1" s="1"/>
  <c r="G282" i="1"/>
  <c r="Q282" i="1" s="1"/>
  <c r="N281" i="1"/>
  <c r="K281" i="1"/>
  <c r="L281" i="1" s="1"/>
  <c r="O281" i="1" s="1"/>
  <c r="G281" i="1"/>
  <c r="Q281" i="1" s="1"/>
  <c r="T281" i="1" s="1"/>
  <c r="N280" i="1"/>
  <c r="K280" i="1"/>
  <c r="L280" i="1" s="1"/>
  <c r="O280" i="1" s="1"/>
  <c r="G280" i="1"/>
  <c r="Q280" i="1" s="1"/>
  <c r="T280" i="1" s="1"/>
  <c r="Q279" i="1"/>
  <c r="T279" i="1" s="1"/>
  <c r="N279" i="1"/>
  <c r="R279" i="1" s="1"/>
  <c r="L279" i="1"/>
  <c r="O279" i="1" s="1"/>
  <c r="K279" i="1"/>
  <c r="G279" i="1"/>
  <c r="N278" i="1"/>
  <c r="K278" i="1"/>
  <c r="L278" i="1" s="1"/>
  <c r="O278" i="1" s="1"/>
  <c r="G278" i="1"/>
  <c r="Q278" i="1" s="1"/>
  <c r="N277" i="1"/>
  <c r="K277" i="1"/>
  <c r="L277" i="1" s="1"/>
  <c r="O277" i="1" s="1"/>
  <c r="G277" i="1"/>
  <c r="Q277" i="1" s="1"/>
  <c r="T277" i="1" s="1"/>
  <c r="N276" i="1"/>
  <c r="K276" i="1"/>
  <c r="L276" i="1" s="1"/>
  <c r="O276" i="1" s="1"/>
  <c r="G276" i="1"/>
  <c r="Q276" i="1" s="1"/>
  <c r="T276" i="1" s="1"/>
  <c r="Q275" i="1"/>
  <c r="T275" i="1" s="1"/>
  <c r="N275" i="1"/>
  <c r="R275" i="1" s="1"/>
  <c r="L275" i="1"/>
  <c r="O275" i="1" s="1"/>
  <c r="K275" i="1"/>
  <c r="G275" i="1"/>
  <c r="N274" i="1"/>
  <c r="P274" i="1" s="1"/>
  <c r="L274" i="1"/>
  <c r="O274" i="1" s="1"/>
  <c r="K274" i="1"/>
  <c r="G274" i="1"/>
  <c r="Q274" i="1" s="1"/>
  <c r="T274" i="1" s="1"/>
  <c r="O273" i="1"/>
  <c r="N273" i="1"/>
  <c r="K273" i="1"/>
  <c r="L273" i="1" s="1"/>
  <c r="G273" i="1"/>
  <c r="Q273" i="1" s="1"/>
  <c r="T273" i="1" s="1"/>
  <c r="N272" i="1"/>
  <c r="K272" i="1"/>
  <c r="L272" i="1" s="1"/>
  <c r="O272" i="1" s="1"/>
  <c r="G272" i="1"/>
  <c r="Q272" i="1" s="1"/>
  <c r="T272" i="1" s="1"/>
  <c r="S271" i="1"/>
  <c r="N271" i="1"/>
  <c r="K271" i="1"/>
  <c r="L271" i="1" s="1"/>
  <c r="O271" i="1" s="1"/>
  <c r="G271" i="1"/>
  <c r="Q271" i="1" s="1"/>
  <c r="T271" i="1" s="1"/>
  <c r="T270" i="1"/>
  <c r="S270" i="1"/>
  <c r="O270" i="1"/>
  <c r="N270" i="1"/>
  <c r="R270" i="1" s="1"/>
  <c r="K270" i="1"/>
  <c r="L270" i="1" s="1"/>
  <c r="G270" i="1"/>
  <c r="Q270" i="1" s="1"/>
  <c r="S269" i="1"/>
  <c r="N269" i="1"/>
  <c r="K269" i="1"/>
  <c r="L269" i="1" s="1"/>
  <c r="O269" i="1" s="1"/>
  <c r="G269" i="1"/>
  <c r="Q269" i="1" s="1"/>
  <c r="S268" i="1"/>
  <c r="N268" i="1"/>
  <c r="K268" i="1"/>
  <c r="L268" i="1" s="1"/>
  <c r="O268" i="1" s="1"/>
  <c r="G268" i="1"/>
  <c r="Q268" i="1" s="1"/>
  <c r="T268" i="1" s="1"/>
  <c r="N267" i="1"/>
  <c r="K267" i="1"/>
  <c r="L267" i="1" s="1"/>
  <c r="O267" i="1" s="1"/>
  <c r="Q267" i="1" s="1"/>
  <c r="N266" i="1"/>
  <c r="K266" i="1"/>
  <c r="L266" i="1" s="1"/>
  <c r="O266" i="1" s="1"/>
  <c r="Q266" i="1" s="1"/>
  <c r="T266" i="1" s="1"/>
  <c r="G266" i="1"/>
  <c r="N265" i="1"/>
  <c r="K265" i="1"/>
  <c r="L265" i="1" s="1"/>
  <c r="O265" i="1" s="1"/>
  <c r="Q265" i="1" s="1"/>
  <c r="T265" i="1" s="1"/>
  <c r="G265" i="1"/>
  <c r="N264" i="1"/>
  <c r="K264" i="1"/>
  <c r="L264" i="1" s="1"/>
  <c r="O264" i="1" s="1"/>
  <c r="Q264" i="1" s="1"/>
  <c r="T264" i="1" s="1"/>
  <c r="G264" i="1"/>
  <c r="N263" i="1"/>
  <c r="R263" i="1" s="1"/>
  <c r="L263" i="1"/>
  <c r="O263" i="1" s="1"/>
  <c r="Q263" i="1" s="1"/>
  <c r="T263" i="1" s="1"/>
  <c r="K263" i="1"/>
  <c r="G263" i="1"/>
  <c r="T262" i="1"/>
  <c r="K262" i="1"/>
  <c r="L262" i="1" s="1"/>
  <c r="O262" i="1" s="1"/>
  <c r="G262" i="1"/>
  <c r="T261" i="1"/>
  <c r="T260" i="1"/>
  <c r="N258" i="1"/>
  <c r="K258" i="1"/>
  <c r="L258" i="1" s="1"/>
  <c r="O258" i="1" s="1"/>
  <c r="G258" i="1"/>
  <c r="P258" i="1" s="1"/>
  <c r="N257" i="1"/>
  <c r="K257" i="1"/>
  <c r="L257" i="1" s="1"/>
  <c r="O257" i="1" s="1"/>
  <c r="G257" i="1"/>
  <c r="N256" i="1"/>
  <c r="K256" i="1"/>
  <c r="L256" i="1" s="1"/>
  <c r="O256" i="1" s="1"/>
  <c r="G256" i="1"/>
  <c r="N255" i="1"/>
  <c r="K255" i="1"/>
  <c r="L255" i="1" s="1"/>
  <c r="O255" i="1" s="1"/>
  <c r="G255" i="1"/>
  <c r="N254" i="1"/>
  <c r="K254" i="1"/>
  <c r="L254" i="1" s="1"/>
  <c r="O254" i="1" s="1"/>
  <c r="G254" i="1"/>
  <c r="N253" i="1"/>
  <c r="K253" i="1"/>
  <c r="L253" i="1" s="1"/>
  <c r="O253" i="1" s="1"/>
  <c r="G253" i="1"/>
  <c r="N252" i="1"/>
  <c r="K252" i="1"/>
  <c r="L252" i="1" s="1"/>
  <c r="O252" i="1" s="1"/>
  <c r="G252" i="1"/>
  <c r="N251" i="1"/>
  <c r="K251" i="1"/>
  <c r="L251" i="1" s="1"/>
  <c r="O251" i="1" s="1"/>
  <c r="G251" i="1"/>
  <c r="N250" i="1"/>
  <c r="K250" i="1"/>
  <c r="L250" i="1" s="1"/>
  <c r="O250" i="1" s="1"/>
  <c r="G250" i="1"/>
  <c r="N249" i="1"/>
  <c r="K249" i="1"/>
  <c r="L249" i="1" s="1"/>
  <c r="O249" i="1" s="1"/>
  <c r="G249" i="1"/>
  <c r="N248" i="1"/>
  <c r="K248" i="1"/>
  <c r="L248" i="1" s="1"/>
  <c r="O248" i="1" s="1"/>
  <c r="G248" i="1"/>
  <c r="N247" i="1"/>
  <c r="K247" i="1"/>
  <c r="L247" i="1" s="1"/>
  <c r="O247" i="1" s="1"/>
  <c r="G247" i="1"/>
  <c r="N246" i="1"/>
  <c r="K246" i="1"/>
  <c r="L246" i="1" s="1"/>
  <c r="O246" i="1" s="1"/>
  <c r="G246" i="1"/>
  <c r="N245" i="1"/>
  <c r="K245" i="1"/>
  <c r="L245" i="1" s="1"/>
  <c r="O245" i="1" s="1"/>
  <c r="G245" i="1"/>
  <c r="N244" i="1"/>
  <c r="P244" i="1" s="1"/>
  <c r="K244" i="1"/>
  <c r="L244" i="1" s="1"/>
  <c r="O244" i="1" s="1"/>
  <c r="G244" i="1"/>
  <c r="N243" i="1"/>
  <c r="K243" i="1"/>
  <c r="L243" i="1" s="1"/>
  <c r="O243" i="1" s="1"/>
  <c r="G243" i="1"/>
  <c r="N242" i="1"/>
  <c r="K242" i="1"/>
  <c r="L242" i="1" s="1"/>
  <c r="O242" i="1" s="1"/>
  <c r="G242" i="1"/>
  <c r="P242" i="1" s="1"/>
  <c r="N241" i="1"/>
  <c r="K241" i="1"/>
  <c r="L241" i="1" s="1"/>
  <c r="O241" i="1" s="1"/>
  <c r="G241" i="1"/>
  <c r="N240" i="1"/>
  <c r="K240" i="1"/>
  <c r="L240" i="1" s="1"/>
  <c r="O240" i="1" s="1"/>
  <c r="G240" i="1"/>
  <c r="N239" i="1"/>
  <c r="K239" i="1"/>
  <c r="L239" i="1" s="1"/>
  <c r="O239" i="1" s="1"/>
  <c r="G239" i="1"/>
  <c r="N238" i="1"/>
  <c r="K238" i="1"/>
  <c r="L238" i="1" s="1"/>
  <c r="O238" i="1" s="1"/>
  <c r="G238" i="1"/>
  <c r="P238" i="1" s="1"/>
  <c r="N237" i="1"/>
  <c r="K237" i="1"/>
  <c r="L237" i="1" s="1"/>
  <c r="O237" i="1" s="1"/>
  <c r="G237" i="1"/>
  <c r="P237" i="1" s="1"/>
  <c r="N236" i="1"/>
  <c r="K236" i="1"/>
  <c r="L236" i="1" s="1"/>
  <c r="O236" i="1" s="1"/>
  <c r="G236" i="1"/>
  <c r="N235" i="1"/>
  <c r="K235" i="1"/>
  <c r="L235" i="1" s="1"/>
  <c r="O235" i="1" s="1"/>
  <c r="G235" i="1"/>
  <c r="N234" i="1"/>
  <c r="K234" i="1"/>
  <c r="L234" i="1" s="1"/>
  <c r="O234" i="1" s="1"/>
  <c r="G234" i="1"/>
  <c r="N233" i="1"/>
  <c r="K233" i="1"/>
  <c r="L233" i="1" s="1"/>
  <c r="O233" i="1" s="1"/>
  <c r="G233" i="1"/>
  <c r="N232" i="1"/>
  <c r="K232" i="1"/>
  <c r="L232" i="1" s="1"/>
  <c r="O232" i="1" s="1"/>
  <c r="G232" i="1"/>
  <c r="N231" i="1"/>
  <c r="K231" i="1"/>
  <c r="L231" i="1" s="1"/>
  <c r="O231" i="1" s="1"/>
  <c r="G231" i="1"/>
  <c r="N230" i="1"/>
  <c r="K230" i="1"/>
  <c r="L230" i="1" s="1"/>
  <c r="O230" i="1" s="1"/>
  <c r="G230" i="1"/>
  <c r="N229" i="1"/>
  <c r="K229" i="1"/>
  <c r="L229" i="1" s="1"/>
  <c r="O229" i="1" s="1"/>
  <c r="G229" i="1"/>
  <c r="N228" i="1"/>
  <c r="K228" i="1"/>
  <c r="L228" i="1" s="1"/>
  <c r="O228" i="1" s="1"/>
  <c r="G228" i="1"/>
  <c r="N227" i="1"/>
  <c r="P227" i="1" s="1"/>
  <c r="K227" i="1"/>
  <c r="L227" i="1" s="1"/>
  <c r="O227" i="1" s="1"/>
  <c r="G227" i="1"/>
  <c r="N226" i="1"/>
  <c r="K226" i="1"/>
  <c r="L226" i="1" s="1"/>
  <c r="O226" i="1" s="1"/>
  <c r="G226" i="1"/>
  <c r="N225" i="1"/>
  <c r="K225" i="1"/>
  <c r="L225" i="1" s="1"/>
  <c r="O225" i="1" s="1"/>
  <c r="G225" i="1"/>
  <c r="N224" i="1"/>
  <c r="K224" i="1"/>
  <c r="L224" i="1" s="1"/>
  <c r="O224" i="1" s="1"/>
  <c r="G224" i="1"/>
  <c r="N223" i="1"/>
  <c r="K223" i="1"/>
  <c r="L223" i="1" s="1"/>
  <c r="O223" i="1" s="1"/>
  <c r="G223" i="1"/>
  <c r="N222" i="1"/>
  <c r="K222" i="1"/>
  <c r="L222" i="1" s="1"/>
  <c r="O222" i="1" s="1"/>
  <c r="G222" i="1"/>
  <c r="K221" i="1"/>
  <c r="L221" i="1" s="1"/>
  <c r="O221" i="1" s="1"/>
  <c r="C221" i="1"/>
  <c r="G221" i="1" s="1"/>
  <c r="N220" i="1"/>
  <c r="K220" i="1"/>
  <c r="L220" i="1" s="1"/>
  <c r="O220" i="1" s="1"/>
  <c r="G220" i="1"/>
  <c r="N219" i="1"/>
  <c r="K219" i="1"/>
  <c r="L219" i="1" s="1"/>
  <c r="O219" i="1" s="1"/>
  <c r="G219" i="1"/>
  <c r="N218" i="1"/>
  <c r="K218" i="1"/>
  <c r="L218" i="1" s="1"/>
  <c r="O218" i="1" s="1"/>
  <c r="G218" i="1"/>
  <c r="N217" i="1"/>
  <c r="K217" i="1"/>
  <c r="L217" i="1" s="1"/>
  <c r="O217" i="1" s="1"/>
  <c r="G217" i="1"/>
  <c r="N216" i="1"/>
  <c r="K216" i="1"/>
  <c r="L216" i="1" s="1"/>
  <c r="O216" i="1" s="1"/>
  <c r="G216" i="1"/>
  <c r="N215" i="1"/>
  <c r="K215" i="1"/>
  <c r="L215" i="1" s="1"/>
  <c r="O215" i="1" s="1"/>
  <c r="G215" i="1"/>
  <c r="N214" i="1"/>
  <c r="K214" i="1"/>
  <c r="L214" i="1" s="1"/>
  <c r="O214" i="1" s="1"/>
  <c r="G214" i="1"/>
  <c r="N213" i="1"/>
  <c r="K213" i="1"/>
  <c r="L213" i="1" s="1"/>
  <c r="O213" i="1" s="1"/>
  <c r="G213" i="1"/>
  <c r="N212" i="1"/>
  <c r="K212" i="1"/>
  <c r="L212" i="1" s="1"/>
  <c r="O212" i="1" s="1"/>
  <c r="G212" i="1"/>
  <c r="N211" i="1"/>
  <c r="K211" i="1"/>
  <c r="L211" i="1" s="1"/>
  <c r="O211" i="1" s="1"/>
  <c r="G211" i="1"/>
  <c r="N210" i="1"/>
  <c r="K210" i="1"/>
  <c r="L210" i="1" s="1"/>
  <c r="O210" i="1" s="1"/>
  <c r="G210" i="1"/>
  <c r="N209" i="1"/>
  <c r="K209" i="1"/>
  <c r="L209" i="1" s="1"/>
  <c r="O209" i="1" s="1"/>
  <c r="G209" i="1"/>
  <c r="N208" i="1"/>
  <c r="K208" i="1"/>
  <c r="L208" i="1" s="1"/>
  <c r="O208" i="1" s="1"/>
  <c r="G208" i="1"/>
  <c r="N207" i="1"/>
  <c r="K207" i="1"/>
  <c r="L207" i="1" s="1"/>
  <c r="O207" i="1" s="1"/>
  <c r="G207" i="1"/>
  <c r="N206" i="1"/>
  <c r="K206" i="1"/>
  <c r="L206" i="1" s="1"/>
  <c r="O206" i="1" s="1"/>
  <c r="G206" i="1"/>
  <c r="N205" i="1"/>
  <c r="K205" i="1"/>
  <c r="L205" i="1" s="1"/>
  <c r="O205" i="1" s="1"/>
  <c r="G205" i="1"/>
  <c r="N204" i="1"/>
  <c r="K204" i="1"/>
  <c r="L204" i="1" s="1"/>
  <c r="O204" i="1" s="1"/>
  <c r="G204" i="1"/>
  <c r="N203" i="1"/>
  <c r="K203" i="1"/>
  <c r="L203" i="1" s="1"/>
  <c r="O203" i="1" s="1"/>
  <c r="G203" i="1"/>
  <c r="N202" i="1"/>
  <c r="K202" i="1"/>
  <c r="L202" i="1" s="1"/>
  <c r="O202" i="1" s="1"/>
  <c r="G202" i="1"/>
  <c r="N201" i="1"/>
  <c r="K201" i="1"/>
  <c r="L201" i="1" s="1"/>
  <c r="O201" i="1" s="1"/>
  <c r="G201" i="1"/>
  <c r="N200" i="1"/>
  <c r="K200" i="1"/>
  <c r="L200" i="1" s="1"/>
  <c r="O200" i="1" s="1"/>
  <c r="G200" i="1"/>
  <c r="N199" i="1"/>
  <c r="K199" i="1"/>
  <c r="L199" i="1" s="1"/>
  <c r="O199" i="1" s="1"/>
  <c r="G199" i="1"/>
  <c r="N198" i="1"/>
  <c r="K198" i="1"/>
  <c r="L198" i="1" s="1"/>
  <c r="O198" i="1" s="1"/>
  <c r="G198" i="1"/>
  <c r="N197" i="1"/>
  <c r="K197" i="1"/>
  <c r="L197" i="1" s="1"/>
  <c r="O197" i="1" s="1"/>
  <c r="G197" i="1"/>
  <c r="N196" i="1"/>
  <c r="K196" i="1"/>
  <c r="L196" i="1" s="1"/>
  <c r="O196" i="1" s="1"/>
  <c r="G196" i="1"/>
  <c r="N195" i="1"/>
  <c r="K195" i="1"/>
  <c r="L195" i="1" s="1"/>
  <c r="O195" i="1" s="1"/>
  <c r="G195" i="1"/>
  <c r="N194" i="1"/>
  <c r="P194" i="1" s="1"/>
  <c r="K194" i="1"/>
  <c r="L194" i="1" s="1"/>
  <c r="O194" i="1" s="1"/>
  <c r="G194" i="1"/>
  <c r="N193" i="1"/>
  <c r="K193" i="1"/>
  <c r="L193" i="1" s="1"/>
  <c r="O193" i="1" s="1"/>
  <c r="G193" i="1"/>
  <c r="N192" i="1"/>
  <c r="K192" i="1"/>
  <c r="L192" i="1" s="1"/>
  <c r="O192" i="1" s="1"/>
  <c r="G192" i="1"/>
  <c r="N191" i="1"/>
  <c r="K191" i="1"/>
  <c r="L191" i="1" s="1"/>
  <c r="O191" i="1" s="1"/>
  <c r="G191" i="1"/>
  <c r="N190" i="1"/>
  <c r="P190" i="1" s="1"/>
  <c r="K190" i="1"/>
  <c r="L190" i="1" s="1"/>
  <c r="O190" i="1" s="1"/>
  <c r="G190" i="1"/>
  <c r="N189" i="1"/>
  <c r="K189" i="1"/>
  <c r="L189" i="1" s="1"/>
  <c r="O189" i="1" s="1"/>
  <c r="G189" i="1"/>
  <c r="N188" i="1"/>
  <c r="P188" i="1" s="1"/>
  <c r="K188" i="1"/>
  <c r="L188" i="1" s="1"/>
  <c r="O188" i="1" s="1"/>
  <c r="G188" i="1"/>
  <c r="N187" i="1"/>
  <c r="K187" i="1"/>
  <c r="L187" i="1" s="1"/>
  <c r="O187" i="1" s="1"/>
  <c r="G187" i="1"/>
  <c r="N186" i="1"/>
  <c r="K186" i="1"/>
  <c r="L186" i="1" s="1"/>
  <c r="O186" i="1" s="1"/>
  <c r="G186" i="1"/>
  <c r="N185" i="1"/>
  <c r="K185" i="1"/>
  <c r="L185" i="1" s="1"/>
  <c r="O185" i="1" s="1"/>
  <c r="G185" i="1"/>
  <c r="N184" i="1"/>
  <c r="K184" i="1"/>
  <c r="L184" i="1" s="1"/>
  <c r="O184" i="1" s="1"/>
  <c r="G184" i="1"/>
  <c r="N183" i="1"/>
  <c r="K183" i="1"/>
  <c r="L183" i="1" s="1"/>
  <c r="O183" i="1" s="1"/>
  <c r="G183" i="1"/>
  <c r="N182" i="1"/>
  <c r="K182" i="1"/>
  <c r="L182" i="1" s="1"/>
  <c r="O182" i="1" s="1"/>
  <c r="G182" i="1"/>
  <c r="N181" i="1"/>
  <c r="K181" i="1"/>
  <c r="L181" i="1" s="1"/>
  <c r="O181" i="1" s="1"/>
  <c r="G181" i="1"/>
  <c r="N180" i="1"/>
  <c r="K180" i="1"/>
  <c r="L180" i="1" s="1"/>
  <c r="O180" i="1" s="1"/>
  <c r="G180" i="1"/>
  <c r="N179" i="1"/>
  <c r="K179" i="1"/>
  <c r="L179" i="1" s="1"/>
  <c r="O179" i="1" s="1"/>
  <c r="G179" i="1"/>
  <c r="N178" i="1"/>
  <c r="K178" i="1"/>
  <c r="L178" i="1" s="1"/>
  <c r="O178" i="1" s="1"/>
  <c r="G178" i="1"/>
  <c r="N177" i="1"/>
  <c r="K177" i="1"/>
  <c r="L177" i="1" s="1"/>
  <c r="O177" i="1" s="1"/>
  <c r="G177" i="1"/>
  <c r="N176" i="1"/>
  <c r="K176" i="1"/>
  <c r="L176" i="1" s="1"/>
  <c r="O176" i="1" s="1"/>
  <c r="G176" i="1"/>
  <c r="N175" i="1"/>
  <c r="K175" i="1"/>
  <c r="L175" i="1" s="1"/>
  <c r="O175" i="1" s="1"/>
  <c r="G175" i="1"/>
  <c r="N174" i="1"/>
  <c r="K174" i="1"/>
  <c r="L174" i="1" s="1"/>
  <c r="O174" i="1" s="1"/>
  <c r="G174" i="1"/>
  <c r="N173" i="1"/>
  <c r="K173" i="1"/>
  <c r="L173" i="1" s="1"/>
  <c r="O173" i="1" s="1"/>
  <c r="G173" i="1"/>
  <c r="N172" i="1"/>
  <c r="K172" i="1"/>
  <c r="L172" i="1" s="1"/>
  <c r="O172" i="1" s="1"/>
  <c r="G172" i="1"/>
  <c r="N171" i="1"/>
  <c r="K171" i="1"/>
  <c r="L171" i="1" s="1"/>
  <c r="O171" i="1" s="1"/>
  <c r="G171" i="1"/>
  <c r="N170" i="1"/>
  <c r="K170" i="1"/>
  <c r="L170" i="1" s="1"/>
  <c r="O170" i="1" s="1"/>
  <c r="G170" i="1"/>
  <c r="N169" i="1"/>
  <c r="K169" i="1"/>
  <c r="L169" i="1" s="1"/>
  <c r="O169" i="1" s="1"/>
  <c r="G169" i="1"/>
  <c r="N168" i="1"/>
  <c r="K168" i="1"/>
  <c r="L168" i="1" s="1"/>
  <c r="O168" i="1" s="1"/>
  <c r="G168" i="1"/>
  <c r="N167" i="1"/>
  <c r="K167" i="1"/>
  <c r="L167" i="1" s="1"/>
  <c r="O167" i="1" s="1"/>
  <c r="G167" i="1"/>
  <c r="N166" i="1"/>
  <c r="K166" i="1"/>
  <c r="L166" i="1" s="1"/>
  <c r="O166" i="1" s="1"/>
  <c r="G166" i="1"/>
  <c r="N165" i="1"/>
  <c r="K165" i="1"/>
  <c r="L165" i="1" s="1"/>
  <c r="O165" i="1" s="1"/>
  <c r="G165" i="1"/>
  <c r="N164" i="1"/>
  <c r="K164" i="1"/>
  <c r="L164" i="1" s="1"/>
  <c r="O164" i="1" s="1"/>
  <c r="G164" i="1"/>
  <c r="N163" i="1"/>
  <c r="K163" i="1"/>
  <c r="L163" i="1" s="1"/>
  <c r="O163" i="1" s="1"/>
  <c r="G163" i="1"/>
  <c r="N162" i="1"/>
  <c r="K162" i="1"/>
  <c r="L162" i="1" s="1"/>
  <c r="O162" i="1" s="1"/>
  <c r="G162" i="1"/>
  <c r="N161" i="1"/>
  <c r="K161" i="1"/>
  <c r="L161" i="1" s="1"/>
  <c r="O161" i="1" s="1"/>
  <c r="G161" i="1"/>
  <c r="N160" i="1"/>
  <c r="K160" i="1"/>
  <c r="L160" i="1" s="1"/>
  <c r="O160" i="1" s="1"/>
  <c r="G160" i="1"/>
  <c r="N159" i="1"/>
  <c r="K159" i="1"/>
  <c r="L159" i="1" s="1"/>
  <c r="O159" i="1" s="1"/>
  <c r="G159" i="1"/>
  <c r="N158" i="1"/>
  <c r="K158" i="1"/>
  <c r="L158" i="1" s="1"/>
  <c r="O158" i="1" s="1"/>
  <c r="G158" i="1"/>
  <c r="N157" i="1"/>
  <c r="K157" i="1"/>
  <c r="L157" i="1" s="1"/>
  <c r="O157" i="1" s="1"/>
  <c r="G157" i="1"/>
  <c r="N156" i="1"/>
  <c r="K156" i="1"/>
  <c r="L156" i="1" s="1"/>
  <c r="O156" i="1" s="1"/>
  <c r="G156" i="1"/>
  <c r="N155" i="1"/>
  <c r="K155" i="1"/>
  <c r="L155" i="1" s="1"/>
  <c r="O155" i="1" s="1"/>
  <c r="G155" i="1"/>
  <c r="N154" i="1"/>
  <c r="K154" i="1"/>
  <c r="L154" i="1" s="1"/>
  <c r="O154" i="1" s="1"/>
  <c r="G154" i="1"/>
  <c r="N153" i="1"/>
  <c r="K153" i="1"/>
  <c r="L153" i="1" s="1"/>
  <c r="O153" i="1" s="1"/>
  <c r="G153" i="1"/>
  <c r="N152" i="1"/>
  <c r="K152" i="1"/>
  <c r="L152" i="1" s="1"/>
  <c r="O152" i="1" s="1"/>
  <c r="G152" i="1"/>
  <c r="N151" i="1"/>
  <c r="K151" i="1"/>
  <c r="L151" i="1" s="1"/>
  <c r="O151" i="1" s="1"/>
  <c r="G151" i="1"/>
  <c r="N150" i="1"/>
  <c r="K150" i="1"/>
  <c r="L150" i="1" s="1"/>
  <c r="O150" i="1" s="1"/>
  <c r="G150" i="1"/>
  <c r="N149" i="1"/>
  <c r="K149" i="1"/>
  <c r="L149" i="1" s="1"/>
  <c r="O149" i="1" s="1"/>
  <c r="G149" i="1"/>
  <c r="N148" i="1"/>
  <c r="K148" i="1"/>
  <c r="L148" i="1" s="1"/>
  <c r="O148" i="1" s="1"/>
  <c r="G148" i="1"/>
  <c r="N147" i="1"/>
  <c r="K147" i="1"/>
  <c r="L147" i="1" s="1"/>
  <c r="O147" i="1" s="1"/>
  <c r="G147" i="1"/>
  <c r="N146" i="1"/>
  <c r="K146" i="1"/>
  <c r="L146" i="1" s="1"/>
  <c r="O146" i="1" s="1"/>
  <c r="G146" i="1"/>
  <c r="N145" i="1"/>
  <c r="K145" i="1"/>
  <c r="L145" i="1" s="1"/>
  <c r="O145" i="1" s="1"/>
  <c r="G145" i="1"/>
  <c r="N144" i="1"/>
  <c r="K144" i="1"/>
  <c r="L144" i="1" s="1"/>
  <c r="O144" i="1" s="1"/>
  <c r="G144" i="1"/>
  <c r="N143" i="1"/>
  <c r="K143" i="1"/>
  <c r="L143" i="1" s="1"/>
  <c r="O143" i="1" s="1"/>
  <c r="G143" i="1"/>
  <c r="N142" i="1"/>
  <c r="K142" i="1"/>
  <c r="L142" i="1" s="1"/>
  <c r="O142" i="1" s="1"/>
  <c r="G142" i="1"/>
  <c r="N141" i="1"/>
  <c r="K141" i="1"/>
  <c r="L141" i="1" s="1"/>
  <c r="O141" i="1" s="1"/>
  <c r="G141" i="1"/>
  <c r="N140" i="1"/>
  <c r="K140" i="1"/>
  <c r="L140" i="1" s="1"/>
  <c r="O140" i="1" s="1"/>
  <c r="G140" i="1"/>
  <c r="N139" i="1"/>
  <c r="K139" i="1"/>
  <c r="L139" i="1" s="1"/>
  <c r="O139" i="1" s="1"/>
  <c r="G139" i="1"/>
  <c r="N138" i="1"/>
  <c r="K138" i="1"/>
  <c r="L138" i="1" s="1"/>
  <c r="O138" i="1" s="1"/>
  <c r="G138" i="1"/>
  <c r="N137" i="1"/>
  <c r="K137" i="1"/>
  <c r="L137" i="1" s="1"/>
  <c r="O137" i="1" s="1"/>
  <c r="G137" i="1"/>
  <c r="N136" i="1"/>
  <c r="K136" i="1"/>
  <c r="L136" i="1" s="1"/>
  <c r="O136" i="1" s="1"/>
  <c r="G136" i="1"/>
  <c r="N135" i="1"/>
  <c r="K135" i="1"/>
  <c r="L135" i="1" s="1"/>
  <c r="O135" i="1" s="1"/>
  <c r="G135" i="1"/>
  <c r="N134" i="1"/>
  <c r="K134" i="1"/>
  <c r="L134" i="1" s="1"/>
  <c r="O134" i="1" s="1"/>
  <c r="G134" i="1"/>
  <c r="N133" i="1"/>
  <c r="K133" i="1"/>
  <c r="L133" i="1" s="1"/>
  <c r="O133" i="1" s="1"/>
  <c r="G133" i="1"/>
  <c r="N132" i="1"/>
  <c r="K132" i="1"/>
  <c r="L132" i="1" s="1"/>
  <c r="O132" i="1" s="1"/>
  <c r="G132" i="1"/>
  <c r="N131" i="1"/>
  <c r="K131" i="1"/>
  <c r="L131" i="1" s="1"/>
  <c r="O131" i="1" s="1"/>
  <c r="G131" i="1"/>
  <c r="N130" i="1"/>
  <c r="K130" i="1"/>
  <c r="L130" i="1" s="1"/>
  <c r="O130" i="1" s="1"/>
  <c r="G130" i="1"/>
  <c r="N129" i="1"/>
  <c r="K129" i="1"/>
  <c r="L129" i="1" s="1"/>
  <c r="O129" i="1" s="1"/>
  <c r="G129" i="1"/>
  <c r="N128" i="1"/>
  <c r="K128" i="1"/>
  <c r="L128" i="1" s="1"/>
  <c r="O128" i="1" s="1"/>
  <c r="G128" i="1"/>
  <c r="N127" i="1"/>
  <c r="K127" i="1"/>
  <c r="L127" i="1" s="1"/>
  <c r="O127" i="1" s="1"/>
  <c r="G127" i="1"/>
  <c r="N126" i="1"/>
  <c r="K126" i="1"/>
  <c r="L126" i="1" s="1"/>
  <c r="O126" i="1" s="1"/>
  <c r="G126" i="1"/>
  <c r="N125" i="1"/>
  <c r="K125" i="1"/>
  <c r="L125" i="1" s="1"/>
  <c r="O125" i="1" s="1"/>
  <c r="G125" i="1"/>
  <c r="N124" i="1"/>
  <c r="K124" i="1"/>
  <c r="L124" i="1" s="1"/>
  <c r="O124" i="1" s="1"/>
  <c r="G124" i="1"/>
  <c r="N123" i="1"/>
  <c r="K123" i="1"/>
  <c r="L123" i="1" s="1"/>
  <c r="O123" i="1" s="1"/>
  <c r="G123" i="1"/>
  <c r="N122" i="1"/>
  <c r="K122" i="1"/>
  <c r="L122" i="1" s="1"/>
  <c r="O122" i="1" s="1"/>
  <c r="G122" i="1"/>
  <c r="N121" i="1"/>
  <c r="K121" i="1"/>
  <c r="L121" i="1" s="1"/>
  <c r="O121" i="1" s="1"/>
  <c r="G121" i="1"/>
  <c r="S120" i="1"/>
  <c r="N120" i="1"/>
  <c r="K120" i="1"/>
  <c r="L120" i="1" s="1"/>
  <c r="O120" i="1" s="1"/>
  <c r="G120" i="1"/>
  <c r="N119" i="1"/>
  <c r="K119" i="1"/>
  <c r="L119" i="1" s="1"/>
  <c r="O119" i="1" s="1"/>
  <c r="G119" i="1"/>
  <c r="N118" i="1"/>
  <c r="K118" i="1"/>
  <c r="L118" i="1" s="1"/>
  <c r="O118" i="1" s="1"/>
  <c r="G118" i="1"/>
  <c r="N117" i="1"/>
  <c r="K117" i="1"/>
  <c r="L117" i="1" s="1"/>
  <c r="O117" i="1" s="1"/>
  <c r="G117" i="1"/>
  <c r="N116" i="1"/>
  <c r="P116" i="1" s="1"/>
  <c r="Q116" i="1" s="1"/>
  <c r="T116" i="1" s="1"/>
  <c r="K116" i="1"/>
  <c r="L116" i="1" s="1"/>
  <c r="O116" i="1" s="1"/>
  <c r="G116" i="1"/>
  <c r="N115" i="1"/>
  <c r="K115" i="1"/>
  <c r="L115" i="1" s="1"/>
  <c r="O115" i="1" s="1"/>
  <c r="G115" i="1"/>
  <c r="N114" i="1"/>
  <c r="K114" i="1"/>
  <c r="L114" i="1" s="1"/>
  <c r="O114" i="1" s="1"/>
  <c r="G114" i="1"/>
  <c r="N113" i="1"/>
  <c r="K113" i="1"/>
  <c r="L113" i="1" s="1"/>
  <c r="O113" i="1" s="1"/>
  <c r="G113" i="1"/>
  <c r="N112" i="1"/>
  <c r="K112" i="1"/>
  <c r="L112" i="1" s="1"/>
  <c r="O112" i="1" s="1"/>
  <c r="G112" i="1"/>
  <c r="N111" i="1"/>
  <c r="P111" i="1" s="1"/>
  <c r="L111" i="1"/>
  <c r="O111" i="1" s="1"/>
  <c r="K111" i="1"/>
  <c r="G111" i="1"/>
  <c r="N110" i="1"/>
  <c r="P110" i="1" s="1"/>
  <c r="L110" i="1"/>
  <c r="O110" i="1" s="1"/>
  <c r="K110" i="1"/>
  <c r="G110" i="1"/>
  <c r="O109" i="1"/>
  <c r="N109" i="1"/>
  <c r="K109" i="1"/>
  <c r="L109" i="1" s="1"/>
  <c r="G109" i="1"/>
  <c r="N108" i="1"/>
  <c r="P108" i="1" s="1"/>
  <c r="K108" i="1"/>
  <c r="L108" i="1" s="1"/>
  <c r="O108" i="1" s="1"/>
  <c r="G108" i="1"/>
  <c r="N107" i="1"/>
  <c r="K107" i="1"/>
  <c r="L107" i="1" s="1"/>
  <c r="O107" i="1" s="1"/>
  <c r="G107" i="1"/>
  <c r="N106" i="1"/>
  <c r="K106" i="1"/>
  <c r="L106" i="1" s="1"/>
  <c r="O106" i="1" s="1"/>
  <c r="G106" i="1"/>
  <c r="N105" i="1"/>
  <c r="K105" i="1"/>
  <c r="L105" i="1" s="1"/>
  <c r="O105" i="1" s="1"/>
  <c r="G105" i="1"/>
  <c r="N104" i="1"/>
  <c r="K104" i="1"/>
  <c r="L104" i="1" s="1"/>
  <c r="O104" i="1" s="1"/>
  <c r="G104" i="1"/>
  <c r="P104" i="1" s="1"/>
  <c r="N103" i="1"/>
  <c r="K103" i="1"/>
  <c r="L103" i="1" s="1"/>
  <c r="O103" i="1" s="1"/>
  <c r="G103" i="1"/>
  <c r="N102" i="1"/>
  <c r="K102" i="1"/>
  <c r="L102" i="1" s="1"/>
  <c r="O102" i="1" s="1"/>
  <c r="G102" i="1"/>
  <c r="N101" i="1"/>
  <c r="K101" i="1"/>
  <c r="L101" i="1" s="1"/>
  <c r="O101" i="1" s="1"/>
  <c r="G101" i="1"/>
  <c r="N100" i="1"/>
  <c r="K100" i="1"/>
  <c r="L100" i="1" s="1"/>
  <c r="O100" i="1" s="1"/>
  <c r="G100" i="1"/>
  <c r="P100" i="1" s="1"/>
  <c r="Q100" i="1" s="1"/>
  <c r="T100" i="1" s="1"/>
  <c r="N99" i="1"/>
  <c r="K99" i="1"/>
  <c r="L99" i="1" s="1"/>
  <c r="O99" i="1" s="1"/>
  <c r="G99" i="1"/>
  <c r="N98" i="1"/>
  <c r="P98" i="1" s="1"/>
  <c r="K98" i="1"/>
  <c r="L98" i="1" s="1"/>
  <c r="O98" i="1" s="1"/>
  <c r="G98" i="1"/>
  <c r="N97" i="1"/>
  <c r="K97" i="1"/>
  <c r="L97" i="1" s="1"/>
  <c r="O97" i="1" s="1"/>
  <c r="G97" i="1"/>
  <c r="N96" i="1"/>
  <c r="K96" i="1"/>
  <c r="L96" i="1" s="1"/>
  <c r="O96" i="1" s="1"/>
  <c r="G96" i="1"/>
  <c r="N95" i="1"/>
  <c r="K95" i="1"/>
  <c r="L95" i="1" s="1"/>
  <c r="O95" i="1" s="1"/>
  <c r="G95" i="1"/>
  <c r="N94" i="1"/>
  <c r="K94" i="1"/>
  <c r="L94" i="1" s="1"/>
  <c r="O94" i="1" s="1"/>
  <c r="G94" i="1"/>
  <c r="N93" i="1"/>
  <c r="K93" i="1"/>
  <c r="L93" i="1" s="1"/>
  <c r="O93" i="1" s="1"/>
  <c r="G93" i="1"/>
  <c r="N92" i="1"/>
  <c r="K92" i="1"/>
  <c r="L92" i="1" s="1"/>
  <c r="O92" i="1" s="1"/>
  <c r="G92" i="1"/>
  <c r="N91" i="1"/>
  <c r="K91" i="1"/>
  <c r="L91" i="1" s="1"/>
  <c r="O91" i="1" s="1"/>
  <c r="G91" i="1"/>
  <c r="N90" i="1"/>
  <c r="K90" i="1"/>
  <c r="L90" i="1" s="1"/>
  <c r="O90" i="1" s="1"/>
  <c r="G90" i="1"/>
  <c r="N89" i="1"/>
  <c r="K89" i="1"/>
  <c r="L89" i="1" s="1"/>
  <c r="O89" i="1" s="1"/>
  <c r="G89" i="1"/>
  <c r="N88" i="1"/>
  <c r="K88" i="1"/>
  <c r="L88" i="1" s="1"/>
  <c r="O88" i="1" s="1"/>
  <c r="G88" i="1"/>
  <c r="N87" i="1"/>
  <c r="K87" i="1"/>
  <c r="L87" i="1" s="1"/>
  <c r="O87" i="1" s="1"/>
  <c r="G87" i="1"/>
  <c r="N86" i="1"/>
  <c r="K86" i="1"/>
  <c r="L86" i="1" s="1"/>
  <c r="O86" i="1" s="1"/>
  <c r="G86" i="1"/>
  <c r="N85" i="1"/>
  <c r="K85" i="1"/>
  <c r="L85" i="1" s="1"/>
  <c r="O85" i="1" s="1"/>
  <c r="G85" i="1"/>
  <c r="N84" i="1"/>
  <c r="K84" i="1"/>
  <c r="L84" i="1" s="1"/>
  <c r="O84" i="1" s="1"/>
  <c r="G84" i="1"/>
  <c r="N83" i="1"/>
  <c r="K83" i="1"/>
  <c r="L83" i="1" s="1"/>
  <c r="O83" i="1" s="1"/>
  <c r="G83" i="1"/>
  <c r="P83" i="1" s="1"/>
  <c r="N82" i="1"/>
  <c r="K82" i="1"/>
  <c r="L82" i="1" s="1"/>
  <c r="O82" i="1" s="1"/>
  <c r="G82" i="1"/>
  <c r="O81" i="1"/>
  <c r="N81" i="1"/>
  <c r="K81" i="1"/>
  <c r="L81" i="1" s="1"/>
  <c r="G81" i="1"/>
  <c r="N80" i="1"/>
  <c r="K80" i="1"/>
  <c r="L80" i="1" s="1"/>
  <c r="O80" i="1" s="1"/>
  <c r="G80" i="1"/>
  <c r="N79" i="1"/>
  <c r="K79" i="1"/>
  <c r="L79" i="1" s="1"/>
  <c r="O79" i="1" s="1"/>
  <c r="G79" i="1"/>
  <c r="N78" i="1"/>
  <c r="K78" i="1"/>
  <c r="L78" i="1" s="1"/>
  <c r="O78" i="1" s="1"/>
  <c r="G78" i="1"/>
  <c r="N77" i="1"/>
  <c r="K77" i="1"/>
  <c r="L77" i="1" s="1"/>
  <c r="O77" i="1" s="1"/>
  <c r="G77" i="1"/>
  <c r="N76" i="1"/>
  <c r="K76" i="1"/>
  <c r="L76" i="1" s="1"/>
  <c r="O76" i="1" s="1"/>
  <c r="G76" i="1"/>
  <c r="N75" i="1"/>
  <c r="P75" i="1" s="1"/>
  <c r="K75" i="1"/>
  <c r="L75" i="1" s="1"/>
  <c r="O75" i="1" s="1"/>
  <c r="G75" i="1"/>
  <c r="N74" i="1"/>
  <c r="K74" i="1"/>
  <c r="L74" i="1" s="1"/>
  <c r="O74" i="1" s="1"/>
  <c r="G74" i="1"/>
  <c r="N73" i="1"/>
  <c r="K73" i="1"/>
  <c r="L73" i="1" s="1"/>
  <c r="O73" i="1" s="1"/>
  <c r="G73" i="1"/>
  <c r="S72" i="1"/>
  <c r="N72" i="1"/>
  <c r="K72" i="1"/>
  <c r="L72" i="1" s="1"/>
  <c r="O72" i="1" s="1"/>
  <c r="G72" i="1"/>
  <c r="N71" i="1"/>
  <c r="K71" i="1"/>
  <c r="L71" i="1" s="1"/>
  <c r="O71" i="1" s="1"/>
  <c r="G71" i="1"/>
  <c r="N70" i="1"/>
  <c r="K70" i="1"/>
  <c r="L70" i="1" s="1"/>
  <c r="O70" i="1" s="1"/>
  <c r="G70" i="1"/>
  <c r="N69" i="1"/>
  <c r="K69" i="1"/>
  <c r="L69" i="1" s="1"/>
  <c r="O69" i="1" s="1"/>
  <c r="G69" i="1"/>
  <c r="N68" i="1"/>
  <c r="K68" i="1"/>
  <c r="L68" i="1" s="1"/>
  <c r="O68" i="1" s="1"/>
  <c r="G68" i="1"/>
  <c r="P68" i="1" s="1"/>
  <c r="N67" i="1"/>
  <c r="K67" i="1"/>
  <c r="L67" i="1" s="1"/>
  <c r="O67" i="1" s="1"/>
  <c r="G67" i="1"/>
  <c r="N66" i="1"/>
  <c r="K66" i="1"/>
  <c r="L66" i="1" s="1"/>
  <c r="O66" i="1" s="1"/>
  <c r="G66" i="1"/>
  <c r="S65" i="1"/>
  <c r="M65" i="1"/>
  <c r="N65" i="1" s="1"/>
  <c r="K65" i="1"/>
  <c r="L65" i="1" s="1"/>
  <c r="O65" i="1" s="1"/>
  <c r="G65" i="1"/>
  <c r="N64" i="1"/>
  <c r="K64" i="1"/>
  <c r="L64" i="1" s="1"/>
  <c r="O64" i="1" s="1"/>
  <c r="G64" i="1"/>
  <c r="N63" i="1"/>
  <c r="K63" i="1"/>
  <c r="L63" i="1" s="1"/>
  <c r="O63" i="1" s="1"/>
  <c r="G63" i="1"/>
  <c r="N62" i="1"/>
  <c r="K62" i="1"/>
  <c r="L62" i="1" s="1"/>
  <c r="O62" i="1" s="1"/>
  <c r="G62" i="1"/>
  <c r="N61" i="1"/>
  <c r="K61" i="1"/>
  <c r="L61" i="1" s="1"/>
  <c r="O61" i="1" s="1"/>
  <c r="G61" i="1"/>
  <c r="O60" i="1"/>
  <c r="N60" i="1"/>
  <c r="K60" i="1"/>
  <c r="L60" i="1" s="1"/>
  <c r="G60" i="1"/>
  <c r="O59" i="1"/>
  <c r="N59" i="1"/>
  <c r="K59" i="1"/>
  <c r="L59" i="1" s="1"/>
  <c r="G59" i="1"/>
  <c r="N58" i="1"/>
  <c r="P58" i="1" s="1"/>
  <c r="K58" i="1"/>
  <c r="L58" i="1" s="1"/>
  <c r="O58" i="1" s="1"/>
  <c r="G58" i="1"/>
  <c r="S57" i="1"/>
  <c r="M57" i="1"/>
  <c r="N57" i="1" s="1"/>
  <c r="K57" i="1"/>
  <c r="L57" i="1" s="1"/>
  <c r="O57" i="1" s="1"/>
  <c r="G57" i="1"/>
  <c r="N56" i="1"/>
  <c r="P56" i="1" s="1"/>
  <c r="K56" i="1"/>
  <c r="L56" i="1" s="1"/>
  <c r="O56" i="1" s="1"/>
  <c r="G56" i="1"/>
  <c r="N55" i="1"/>
  <c r="K55" i="1"/>
  <c r="L55" i="1" s="1"/>
  <c r="O55" i="1" s="1"/>
  <c r="G55" i="1"/>
  <c r="N54" i="1"/>
  <c r="K54" i="1"/>
  <c r="L54" i="1" s="1"/>
  <c r="O54" i="1" s="1"/>
  <c r="G54" i="1"/>
  <c r="N53" i="1"/>
  <c r="K53" i="1"/>
  <c r="L53" i="1" s="1"/>
  <c r="O53" i="1" s="1"/>
  <c r="G53" i="1"/>
  <c r="N52" i="1"/>
  <c r="K52" i="1"/>
  <c r="L52" i="1" s="1"/>
  <c r="O52" i="1" s="1"/>
  <c r="G52" i="1"/>
  <c r="N51" i="1"/>
  <c r="K51" i="1"/>
  <c r="L51" i="1" s="1"/>
  <c r="O51" i="1" s="1"/>
  <c r="G51" i="1"/>
  <c r="N50" i="1"/>
  <c r="K50" i="1"/>
  <c r="L50" i="1" s="1"/>
  <c r="O50" i="1" s="1"/>
  <c r="G50" i="1"/>
  <c r="N49" i="1"/>
  <c r="K49" i="1"/>
  <c r="L49" i="1" s="1"/>
  <c r="O49" i="1" s="1"/>
  <c r="G49" i="1"/>
  <c r="N48" i="1"/>
  <c r="K48" i="1"/>
  <c r="L48" i="1" s="1"/>
  <c r="O48" i="1" s="1"/>
  <c r="G48" i="1"/>
  <c r="N47" i="1"/>
  <c r="K47" i="1"/>
  <c r="L47" i="1" s="1"/>
  <c r="O47" i="1" s="1"/>
  <c r="G47" i="1"/>
  <c r="N46" i="1"/>
  <c r="K46" i="1"/>
  <c r="L46" i="1" s="1"/>
  <c r="O46" i="1" s="1"/>
  <c r="G46" i="1"/>
  <c r="O45" i="1"/>
  <c r="N45" i="1"/>
  <c r="K45" i="1"/>
  <c r="L45" i="1" s="1"/>
  <c r="G45" i="1"/>
  <c r="P44" i="1"/>
  <c r="N44" i="1"/>
  <c r="K44" i="1"/>
  <c r="L44" i="1" s="1"/>
  <c r="O44" i="1" s="1"/>
  <c r="G44" i="1"/>
  <c r="Q43" i="1"/>
  <c r="T43" i="1" s="1"/>
  <c r="N43" i="1"/>
  <c r="K43" i="1"/>
  <c r="L43" i="1" s="1"/>
  <c r="O43" i="1" s="1"/>
  <c r="G43" i="1"/>
  <c r="N42" i="1"/>
  <c r="K42" i="1"/>
  <c r="L42" i="1" s="1"/>
  <c r="O42" i="1" s="1"/>
  <c r="G42" i="1"/>
  <c r="Q42" i="1" s="1"/>
  <c r="T42" i="1" s="1"/>
  <c r="N41" i="1"/>
  <c r="K41" i="1"/>
  <c r="L41" i="1" s="1"/>
  <c r="O41" i="1" s="1"/>
  <c r="G41" i="1"/>
  <c r="N40" i="1"/>
  <c r="K40" i="1"/>
  <c r="L40" i="1" s="1"/>
  <c r="O40" i="1" s="1"/>
  <c r="G40" i="1"/>
  <c r="N39" i="1"/>
  <c r="K39" i="1"/>
  <c r="L39" i="1" s="1"/>
  <c r="O39" i="1" s="1"/>
  <c r="G39" i="1"/>
  <c r="N38" i="1"/>
  <c r="K38" i="1"/>
  <c r="L38" i="1" s="1"/>
  <c r="O38" i="1" s="1"/>
  <c r="G38" i="1"/>
  <c r="N37" i="1"/>
  <c r="K37" i="1"/>
  <c r="L37" i="1" s="1"/>
  <c r="O37" i="1" s="1"/>
  <c r="G37" i="1"/>
  <c r="K36" i="1"/>
  <c r="L36" i="1" s="1"/>
  <c r="O36" i="1" s="1"/>
  <c r="C36" i="1"/>
  <c r="C259" i="1" s="1"/>
  <c r="N35" i="1"/>
  <c r="K35" i="1"/>
  <c r="L35" i="1" s="1"/>
  <c r="O35" i="1" s="1"/>
  <c r="G35" i="1"/>
  <c r="N34" i="1"/>
  <c r="K34" i="1"/>
  <c r="L34" i="1" s="1"/>
  <c r="O34" i="1" s="1"/>
  <c r="G34" i="1"/>
  <c r="P34" i="1" s="1"/>
  <c r="N33" i="1"/>
  <c r="K33" i="1"/>
  <c r="L33" i="1" s="1"/>
  <c r="O33" i="1" s="1"/>
  <c r="G33" i="1"/>
  <c r="N32" i="1"/>
  <c r="K32" i="1"/>
  <c r="L32" i="1" s="1"/>
  <c r="O32" i="1" s="1"/>
  <c r="G32" i="1"/>
  <c r="N31" i="1"/>
  <c r="K31" i="1"/>
  <c r="L31" i="1" s="1"/>
  <c r="O31" i="1" s="1"/>
  <c r="G31" i="1"/>
  <c r="N30" i="1"/>
  <c r="K30" i="1"/>
  <c r="L30" i="1" s="1"/>
  <c r="O30" i="1" s="1"/>
  <c r="G30" i="1"/>
  <c r="N29" i="1"/>
  <c r="K29" i="1"/>
  <c r="L29" i="1" s="1"/>
  <c r="O29" i="1" s="1"/>
  <c r="G29" i="1"/>
  <c r="N28" i="1"/>
  <c r="K28" i="1"/>
  <c r="L28" i="1" s="1"/>
  <c r="O28" i="1" s="1"/>
  <c r="G28" i="1"/>
  <c r="P28" i="1" s="1"/>
  <c r="N27" i="1"/>
  <c r="K27" i="1"/>
  <c r="L27" i="1" s="1"/>
  <c r="O27" i="1" s="1"/>
  <c r="G27" i="1"/>
  <c r="N26" i="1"/>
  <c r="K26" i="1"/>
  <c r="L26" i="1" s="1"/>
  <c r="O26" i="1" s="1"/>
  <c r="G26" i="1"/>
  <c r="N25" i="1"/>
  <c r="K25" i="1"/>
  <c r="L25" i="1" s="1"/>
  <c r="O25" i="1" s="1"/>
  <c r="G25" i="1"/>
  <c r="N24" i="1"/>
  <c r="K24" i="1"/>
  <c r="L24" i="1" s="1"/>
  <c r="O24" i="1" s="1"/>
  <c r="J24" i="1"/>
  <c r="G24" i="1"/>
  <c r="N23" i="1"/>
  <c r="K23" i="1"/>
  <c r="L23" i="1" s="1"/>
  <c r="O23" i="1" s="1"/>
  <c r="G23" i="1"/>
  <c r="N22" i="1"/>
  <c r="P22" i="1" s="1"/>
  <c r="K22" i="1"/>
  <c r="L22" i="1" s="1"/>
  <c r="O22" i="1" s="1"/>
  <c r="G22" i="1"/>
  <c r="N21" i="1"/>
  <c r="K21" i="1"/>
  <c r="L21" i="1" s="1"/>
  <c r="O21" i="1" s="1"/>
  <c r="G21" i="1"/>
  <c r="T20" i="1"/>
  <c r="N20" i="1"/>
  <c r="K20" i="1"/>
  <c r="L20" i="1" s="1"/>
  <c r="O20" i="1" s="1"/>
  <c r="G20" i="1"/>
  <c r="Q20" i="1" s="1"/>
  <c r="N19" i="1"/>
  <c r="K19" i="1"/>
  <c r="L19" i="1" s="1"/>
  <c r="O19" i="1" s="1"/>
  <c r="G19" i="1"/>
  <c r="Q19" i="1" s="1"/>
  <c r="T19" i="1" s="1"/>
  <c r="N18" i="1"/>
  <c r="K18" i="1"/>
  <c r="L18" i="1" s="1"/>
  <c r="O18" i="1" s="1"/>
  <c r="G18" i="1"/>
  <c r="N17" i="1"/>
  <c r="K17" i="1"/>
  <c r="L17" i="1" s="1"/>
  <c r="O17" i="1" s="1"/>
  <c r="G17" i="1"/>
  <c r="N16" i="1"/>
  <c r="K16" i="1"/>
  <c r="L16" i="1" s="1"/>
  <c r="O16" i="1" s="1"/>
  <c r="G16" i="1"/>
  <c r="Q16" i="1" s="1"/>
  <c r="T16" i="1" s="1"/>
  <c r="Y15" i="1"/>
  <c r="N15" i="1"/>
  <c r="K15" i="1"/>
  <c r="L15" i="1" s="1"/>
  <c r="O15" i="1" s="1"/>
  <c r="G15" i="1"/>
  <c r="Q15" i="1" s="1"/>
  <c r="U12" i="1"/>
  <c r="M12" i="1"/>
  <c r="C12" i="1"/>
  <c r="N11" i="1"/>
  <c r="K11" i="1"/>
  <c r="L11" i="1" s="1"/>
  <c r="O11" i="1" s="1"/>
  <c r="V11" i="1" s="1"/>
  <c r="G11" i="1"/>
  <c r="W11" i="1" s="1"/>
  <c r="Y11" i="1" s="1"/>
  <c r="N10" i="1"/>
  <c r="P10" i="1" s="1"/>
  <c r="K10" i="1"/>
  <c r="L10" i="1" s="1"/>
  <c r="O10" i="1" s="1"/>
  <c r="G10" i="1"/>
  <c r="W10" i="1" s="1"/>
  <c r="Y10" i="1" s="1"/>
  <c r="N9" i="1"/>
  <c r="P9" i="1" s="1"/>
  <c r="L9" i="1"/>
  <c r="O9" i="1" s="1"/>
  <c r="K9" i="1"/>
  <c r="G9" i="1"/>
  <c r="O8" i="1"/>
  <c r="N8" i="1"/>
  <c r="K8" i="1"/>
  <c r="L8" i="1" s="1"/>
  <c r="G8" i="1"/>
  <c r="W8" i="1" s="1"/>
  <c r="Y8" i="1" s="1"/>
  <c r="N7" i="1"/>
  <c r="P7" i="1" s="1"/>
  <c r="Q7" i="1" s="1"/>
  <c r="T7" i="1" s="1"/>
  <c r="K7" i="1"/>
  <c r="L7" i="1" s="1"/>
  <c r="O7" i="1" s="1"/>
  <c r="G7" i="1"/>
  <c r="N6" i="1"/>
  <c r="K6" i="1"/>
  <c r="L6" i="1" s="1"/>
  <c r="O6" i="1" s="1"/>
  <c r="G6" i="1"/>
  <c r="N5" i="1"/>
  <c r="K5" i="1"/>
  <c r="L5" i="1" s="1"/>
  <c r="O5" i="1" s="1"/>
  <c r="G5" i="1"/>
  <c r="N4" i="1"/>
  <c r="K4" i="1"/>
  <c r="L4" i="1" s="1"/>
  <c r="O4" i="1" s="1"/>
  <c r="Q4" i="1" s="1"/>
  <c r="G4" i="1"/>
  <c r="H13" i="20" l="1"/>
  <c r="T282" i="1"/>
  <c r="R282" i="1"/>
  <c r="Q328" i="1"/>
  <c r="T328" i="1" s="1"/>
  <c r="P377" i="1"/>
  <c r="Q377" i="1" s="1"/>
  <c r="T269" i="1"/>
  <c r="R269" i="1"/>
  <c r="T278" i="1"/>
  <c r="R278" i="1"/>
  <c r="Q9" i="1"/>
  <c r="Q194" i="1"/>
  <c r="R194" i="1" s="1"/>
  <c r="R283" i="1"/>
  <c r="T288" i="1"/>
  <c r="R294" i="1"/>
  <c r="Q335" i="1"/>
  <c r="T335" i="1" s="1"/>
  <c r="G358" i="1"/>
  <c r="G377" i="1"/>
  <c r="C389" i="1"/>
  <c r="R422" i="1"/>
  <c r="R443" i="1"/>
  <c r="T450" i="1"/>
  <c r="R453" i="1"/>
  <c r="P11" i="1"/>
  <c r="Q11" i="1" s="1"/>
  <c r="Q300" i="1"/>
  <c r="T300" i="1" s="1"/>
  <c r="V356" i="1"/>
  <c r="Q108" i="1"/>
  <c r="T108" i="1" s="1"/>
  <c r="P5" i="1"/>
  <c r="Q5" i="1" s="1"/>
  <c r="T5" i="1" s="1"/>
  <c r="Q10" i="1"/>
  <c r="P40" i="1"/>
  <c r="P55" i="1"/>
  <c r="P72" i="1"/>
  <c r="P99" i="1"/>
  <c r="P167" i="1"/>
  <c r="P183" i="1"/>
  <c r="P189" i="1"/>
  <c r="P197" i="1"/>
  <c r="P218" i="1"/>
  <c r="P223" i="1"/>
  <c r="P225" i="1"/>
  <c r="P226" i="1"/>
  <c r="P253" i="1"/>
  <c r="R264" i="1"/>
  <c r="P269" i="1"/>
  <c r="P275" i="1"/>
  <c r="P279" i="1"/>
  <c r="P283" i="1"/>
  <c r="T286" i="1"/>
  <c r="R309" i="1"/>
  <c r="R320" i="1"/>
  <c r="P324" i="1"/>
  <c r="Q324" i="1" s="1"/>
  <c r="T324" i="1" s="1"/>
  <c r="P332" i="1"/>
  <c r="Q332" i="1" s="1"/>
  <c r="T332" i="1" s="1"/>
  <c r="Q338" i="1"/>
  <c r="P344" i="1"/>
  <c r="P475" i="1"/>
  <c r="Q475" i="1" s="1"/>
  <c r="T475" i="1" s="1"/>
  <c r="Q331" i="1"/>
  <c r="T331" i="1" s="1"/>
  <c r="Q75" i="1"/>
  <c r="T75" i="1" s="1"/>
  <c r="P6" i="1"/>
  <c r="Q6" i="1" s="1"/>
  <c r="T6" i="1" s="1"/>
  <c r="P20" i="1"/>
  <c r="P21" i="1"/>
  <c r="P33" i="1"/>
  <c r="G36" i="1"/>
  <c r="P48" i="1"/>
  <c r="P54" i="1"/>
  <c r="P63" i="1"/>
  <c r="P69" i="1"/>
  <c r="P71" i="1"/>
  <c r="P84" i="1"/>
  <c r="Q84" i="1" s="1"/>
  <c r="T84" i="1" s="1"/>
  <c r="P88" i="1"/>
  <c r="P91" i="1"/>
  <c r="Q91" i="1" s="1"/>
  <c r="T91" i="1" s="1"/>
  <c r="P115" i="1"/>
  <c r="P196" i="1"/>
  <c r="P245" i="1"/>
  <c r="P249" i="1"/>
  <c r="P276" i="1"/>
  <c r="P278" i="1"/>
  <c r="P280" i="1"/>
  <c r="P282" i="1"/>
  <c r="P288" i="1"/>
  <c r="P301" i="1"/>
  <c r="Q301" i="1" s="1"/>
  <c r="T301" i="1" s="1"/>
  <c r="P305" i="1"/>
  <c r="Q305" i="1" s="1"/>
  <c r="T305" i="1" s="1"/>
  <c r="U351" i="1"/>
  <c r="P345" i="1"/>
  <c r="G389" i="1"/>
  <c r="P371" i="1"/>
  <c r="Q371" i="1" s="1"/>
  <c r="R371" i="1"/>
  <c r="Q383" i="1"/>
  <c r="T383" i="1" s="1"/>
  <c r="R392" i="1"/>
  <c r="P416" i="1"/>
  <c r="Q416" i="1" s="1"/>
  <c r="P420" i="1"/>
  <c r="Q420" i="1" s="1"/>
  <c r="P429" i="1"/>
  <c r="Q429" i="1" s="1"/>
  <c r="Q438" i="1"/>
  <c r="T438" i="1" s="1"/>
  <c r="Q448" i="1"/>
  <c r="Q456" i="1"/>
  <c r="T456" i="1" s="1"/>
  <c r="P461" i="1"/>
  <c r="Q461" i="1" s="1"/>
  <c r="R461" i="1" s="1"/>
  <c r="I4" i="15"/>
  <c r="I9" i="15"/>
  <c r="I14" i="15"/>
  <c r="P372" i="1"/>
  <c r="Q372" i="1" s="1"/>
  <c r="P382" i="1"/>
  <c r="Q382" i="1" s="1"/>
  <c r="T382" i="1" s="1"/>
  <c r="P409" i="1"/>
  <c r="P412" i="1"/>
  <c r="P423" i="1"/>
  <c r="Q423" i="1" s="1"/>
  <c r="P428" i="1"/>
  <c r="Q428" i="1" s="1"/>
  <c r="P436" i="1"/>
  <c r="Q436" i="1" s="1"/>
  <c r="R436" i="1" s="1"/>
  <c r="P445" i="1"/>
  <c r="Q445" i="1" s="1"/>
  <c r="P457" i="1"/>
  <c r="P463" i="1"/>
  <c r="I5" i="15"/>
  <c r="I12" i="15"/>
  <c r="I15" i="15"/>
  <c r="I20" i="15"/>
  <c r="I23" i="15"/>
  <c r="I26" i="15"/>
  <c r="I27" i="15"/>
  <c r="J27" i="15" s="1"/>
  <c r="M63" i="15"/>
  <c r="I44" i="15"/>
  <c r="I48" i="15"/>
  <c r="I52" i="15"/>
  <c r="I56" i="15"/>
  <c r="I60" i="15"/>
  <c r="H67" i="16"/>
  <c r="E150" i="16"/>
  <c r="I107" i="16"/>
  <c r="F7" i="16"/>
  <c r="F88" i="16"/>
  <c r="F97" i="16"/>
  <c r="G127" i="16"/>
  <c r="I127" i="16" s="1"/>
  <c r="F146" i="16"/>
  <c r="G170" i="16"/>
  <c r="P349" i="1"/>
  <c r="U358" i="1"/>
  <c r="P356" i="1"/>
  <c r="Q356" i="1" s="1"/>
  <c r="V361" i="1"/>
  <c r="P373" i="1"/>
  <c r="Q373" i="1" s="1"/>
  <c r="R374" i="1"/>
  <c r="P378" i="1"/>
  <c r="Q378" i="1" s="1"/>
  <c r="R379" i="1"/>
  <c r="P385" i="1"/>
  <c r="Q385" i="1" s="1"/>
  <c r="P397" i="1"/>
  <c r="P400" i="1"/>
  <c r="P413" i="1"/>
  <c r="P426" i="1"/>
  <c r="Q426" i="1" s="1"/>
  <c r="P449" i="1"/>
  <c r="P455" i="1"/>
  <c r="P469" i="1"/>
  <c r="Q469" i="1" s="1"/>
  <c r="R476" i="1"/>
  <c r="I10" i="15"/>
  <c r="I13" i="15"/>
  <c r="I18" i="15"/>
  <c r="I21" i="15"/>
  <c r="I45" i="15"/>
  <c r="I49" i="15"/>
  <c r="I53" i="15"/>
  <c r="I57" i="15"/>
  <c r="I61" i="15"/>
  <c r="B83" i="15"/>
  <c r="F39" i="16"/>
  <c r="E76" i="16"/>
  <c r="G81" i="16"/>
  <c r="I81" i="16" s="1"/>
  <c r="Q69" i="1"/>
  <c r="T69" i="1" s="1"/>
  <c r="Q115" i="1"/>
  <c r="T115" i="1" s="1"/>
  <c r="Q196" i="1"/>
  <c r="R196" i="1" s="1"/>
  <c r="Q197" i="1"/>
  <c r="R197" i="1" s="1"/>
  <c r="Q238" i="1"/>
  <c r="T238" i="1" s="1"/>
  <c r="Q72" i="1"/>
  <c r="Q189" i="1"/>
  <c r="P16" i="1"/>
  <c r="P23" i="1"/>
  <c r="P25" i="1"/>
  <c r="Q25" i="1" s="1"/>
  <c r="T25" i="1" s="1"/>
  <c r="P42" i="1"/>
  <c r="P43" i="1"/>
  <c r="P49" i="1"/>
  <c r="P52" i="1"/>
  <c r="P78" i="1"/>
  <c r="Q78" i="1" s="1"/>
  <c r="P94" i="1"/>
  <c r="P103" i="1"/>
  <c r="P118" i="1"/>
  <c r="P119" i="1"/>
  <c r="P174" i="1"/>
  <c r="P178" i="1"/>
  <c r="Q178" i="1" s="1"/>
  <c r="R178" i="1" s="1"/>
  <c r="P180" i="1"/>
  <c r="Q180" i="1" s="1"/>
  <c r="R180" i="1" s="1"/>
  <c r="P181" i="1"/>
  <c r="Q181" i="1" s="1"/>
  <c r="P195" i="1"/>
  <c r="Q195" i="1" s="1"/>
  <c r="P204" i="1"/>
  <c r="P205" i="1"/>
  <c r="Q205" i="1" s="1"/>
  <c r="R205" i="1" s="1"/>
  <c r="P211" i="1"/>
  <c r="Q211" i="1" s="1"/>
  <c r="P212" i="1"/>
  <c r="P213" i="1"/>
  <c r="P214" i="1"/>
  <c r="P215" i="1"/>
  <c r="P220" i="1"/>
  <c r="P228" i="1"/>
  <c r="P230" i="1"/>
  <c r="Q230" i="1" s="1"/>
  <c r="R230" i="1" s="1"/>
  <c r="P232" i="1"/>
  <c r="Q232" i="1" s="1"/>
  <c r="R232" i="1" s="1"/>
  <c r="Q245" i="1"/>
  <c r="T245" i="1" s="1"/>
  <c r="P252" i="1"/>
  <c r="P254" i="1"/>
  <c r="Q254" i="1" s="1"/>
  <c r="T254" i="1" s="1"/>
  <c r="P257" i="1"/>
  <c r="Q257" i="1" s="1"/>
  <c r="T257" i="1" s="1"/>
  <c r="Q111" i="1"/>
  <c r="T111" i="1" s="1"/>
  <c r="Q188" i="1"/>
  <c r="R188" i="1" s="1"/>
  <c r="P18" i="1"/>
  <c r="Q18" i="1" s="1"/>
  <c r="T18" i="1" s="1"/>
  <c r="P26" i="1"/>
  <c r="Q55" i="1"/>
  <c r="T55" i="1" s="1"/>
  <c r="P59" i="1"/>
  <c r="Q59" i="1" s="1"/>
  <c r="P79" i="1"/>
  <c r="Q79" i="1" s="1"/>
  <c r="T79" i="1" s="1"/>
  <c r="P95" i="1"/>
  <c r="Q95" i="1" s="1"/>
  <c r="T95" i="1" s="1"/>
  <c r="P107" i="1"/>
  <c r="Q107" i="1" s="1"/>
  <c r="T107" i="1" s="1"/>
  <c r="P120" i="1"/>
  <c r="Q120" i="1" s="1"/>
  <c r="R120" i="1" s="1"/>
  <c r="P170" i="1"/>
  <c r="Q170" i="1" s="1"/>
  <c r="R170" i="1" s="1"/>
  <c r="P175" i="1"/>
  <c r="P179" i="1"/>
  <c r="Q179" i="1" s="1"/>
  <c r="P182" i="1"/>
  <c r="P222" i="1"/>
  <c r="Q222" i="1" s="1"/>
  <c r="R222" i="1" s="1"/>
  <c r="P224" i="1"/>
  <c r="Q224" i="1" s="1"/>
  <c r="P229" i="1"/>
  <c r="Q229" i="1" s="1"/>
  <c r="R229" i="1" s="1"/>
  <c r="P231" i="1"/>
  <c r="Q231" i="1" s="1"/>
  <c r="R231" i="1" s="1"/>
  <c r="P233" i="1"/>
  <c r="Q233" i="1" s="1"/>
  <c r="T233" i="1" s="1"/>
  <c r="P248" i="1"/>
  <c r="Q33" i="1"/>
  <c r="T33" i="1" s="1"/>
  <c r="Q21" i="1"/>
  <c r="T21" i="1" s="1"/>
  <c r="Q40" i="1"/>
  <c r="T40" i="1" s="1"/>
  <c r="P46" i="1"/>
  <c r="Q46" i="1" s="1"/>
  <c r="T46" i="1" s="1"/>
  <c r="R46" i="1"/>
  <c r="Q183" i="1"/>
  <c r="R183" i="1" s="1"/>
  <c r="Q228" i="1"/>
  <c r="R228" i="1" s="1"/>
  <c r="P17" i="1"/>
  <c r="Q17" i="1" s="1"/>
  <c r="T17" i="1" s="1"/>
  <c r="P30" i="1"/>
  <c r="Q30" i="1" s="1"/>
  <c r="R30" i="1" s="1"/>
  <c r="P32" i="1"/>
  <c r="Q32" i="1" s="1"/>
  <c r="T32" i="1" s="1"/>
  <c r="P37" i="1"/>
  <c r="Q37" i="1" s="1"/>
  <c r="T37" i="1" s="1"/>
  <c r="P41" i="1"/>
  <c r="Q41" i="1" s="1"/>
  <c r="T41" i="1" s="1"/>
  <c r="P45" i="1"/>
  <c r="Q45" i="1" s="1"/>
  <c r="T45" i="1" s="1"/>
  <c r="P47" i="1"/>
  <c r="Q47" i="1" s="1"/>
  <c r="T47" i="1" s="1"/>
  <c r="P51" i="1"/>
  <c r="Q51" i="1" s="1"/>
  <c r="T51" i="1" s="1"/>
  <c r="P66" i="1"/>
  <c r="Q66" i="1" s="1"/>
  <c r="T66" i="1" s="1"/>
  <c r="P67" i="1"/>
  <c r="Q67" i="1" s="1"/>
  <c r="T67" i="1" s="1"/>
  <c r="Q71" i="1"/>
  <c r="T71" i="1" s="1"/>
  <c r="P82" i="1"/>
  <c r="Q82" i="1" s="1"/>
  <c r="T82" i="1" s="1"/>
  <c r="P87" i="1"/>
  <c r="Q94" i="1"/>
  <c r="R94" i="1" s="1"/>
  <c r="P187" i="1"/>
  <c r="Q187" i="1" s="1"/>
  <c r="R187" i="1" s="1"/>
  <c r="P210" i="1"/>
  <c r="Q210" i="1" s="1"/>
  <c r="R210" i="1" s="1"/>
  <c r="Q212" i="1"/>
  <c r="R212" i="1" s="1"/>
  <c r="Q213" i="1"/>
  <c r="R213" i="1" s="1"/>
  <c r="Q215" i="1"/>
  <c r="R215" i="1" s="1"/>
  <c r="Q226" i="1"/>
  <c r="P236" i="1"/>
  <c r="Q236" i="1" s="1"/>
  <c r="T236" i="1" s="1"/>
  <c r="Q248" i="1"/>
  <c r="T248" i="1" s="1"/>
  <c r="Q258" i="1"/>
  <c r="T258" i="1" s="1"/>
  <c r="Q56" i="1"/>
  <c r="T56" i="1" s="1"/>
  <c r="P31" i="1"/>
  <c r="Q31" i="1" s="1"/>
  <c r="Q49" i="1"/>
  <c r="T49" i="1" s="1"/>
  <c r="P53" i="1"/>
  <c r="Q53" i="1" s="1"/>
  <c r="T53" i="1" s="1"/>
  <c r="P62" i="1"/>
  <c r="Q62" i="1" s="1"/>
  <c r="P112" i="1"/>
  <c r="Q112" i="1" s="1"/>
  <c r="T112" i="1" s="1"/>
  <c r="P171" i="1"/>
  <c r="Q171" i="1" s="1"/>
  <c r="R171" i="1" s="1"/>
  <c r="Q175" i="1"/>
  <c r="R175" i="1" s="1"/>
  <c r="P186" i="1"/>
  <c r="Q186" i="1" s="1"/>
  <c r="R186" i="1" s="1"/>
  <c r="P203" i="1"/>
  <c r="Q203" i="1" s="1"/>
  <c r="P219" i="1"/>
  <c r="Q219" i="1" s="1"/>
  <c r="R219" i="1" s="1"/>
  <c r="P241" i="1"/>
  <c r="Q241" i="1" s="1"/>
  <c r="R15" i="1"/>
  <c r="Q22" i="1"/>
  <c r="T22" i="1" s="1"/>
  <c r="P38" i="1"/>
  <c r="Q38" i="1" s="1"/>
  <c r="T38" i="1" s="1"/>
  <c r="P27" i="1"/>
  <c r="Q27" i="1" s="1"/>
  <c r="R27" i="1" s="1"/>
  <c r="P39" i="1"/>
  <c r="Q39" i="1" s="1"/>
  <c r="T39" i="1" s="1"/>
  <c r="Q54" i="1"/>
  <c r="T54" i="1" s="1"/>
  <c r="P60" i="1"/>
  <c r="Q60" i="1" s="1"/>
  <c r="T60" i="1" s="1"/>
  <c r="Q63" i="1"/>
  <c r="T63" i="1" s="1"/>
  <c r="Q98" i="1"/>
  <c r="T98" i="1" s="1"/>
  <c r="P202" i="1"/>
  <c r="Q202" i="1" s="1"/>
  <c r="R202" i="1" s="1"/>
  <c r="Q204" i="1"/>
  <c r="R204" i="1" s="1"/>
  <c r="Q218" i="1"/>
  <c r="R218" i="1" s="1"/>
  <c r="Q220" i="1"/>
  <c r="R220" i="1" s="1"/>
  <c r="Q227" i="1"/>
  <c r="Q242" i="1"/>
  <c r="T242" i="1" s="1"/>
  <c r="Q252" i="1"/>
  <c r="T252" i="1" s="1"/>
  <c r="Q58" i="1"/>
  <c r="T58" i="1" s="1"/>
  <c r="P74" i="1"/>
  <c r="Q74" i="1" s="1"/>
  <c r="T74" i="1" s="1"/>
  <c r="P80" i="1"/>
  <c r="Q80" i="1" s="1"/>
  <c r="T80" i="1" s="1"/>
  <c r="P90" i="1"/>
  <c r="Q90" i="1" s="1"/>
  <c r="T90" i="1" s="1"/>
  <c r="P96" i="1"/>
  <c r="Q96" i="1" s="1"/>
  <c r="T96" i="1" s="1"/>
  <c r="P106" i="1"/>
  <c r="P114" i="1"/>
  <c r="Q114" i="1" s="1"/>
  <c r="Q174" i="1"/>
  <c r="R174" i="1" s="1"/>
  <c r="Q182" i="1"/>
  <c r="R182" i="1" s="1"/>
  <c r="Q190" i="1"/>
  <c r="R190" i="1" s="1"/>
  <c r="P191" i="1"/>
  <c r="Q191" i="1" s="1"/>
  <c r="R191" i="1" s="1"/>
  <c r="P198" i="1"/>
  <c r="Q198" i="1" s="1"/>
  <c r="R198" i="1" s="1"/>
  <c r="P199" i="1"/>
  <c r="Q199" i="1" s="1"/>
  <c r="P206" i="1"/>
  <c r="Q206" i="1" s="1"/>
  <c r="R206" i="1" s="1"/>
  <c r="P207" i="1"/>
  <c r="Q207" i="1" s="1"/>
  <c r="R207" i="1" s="1"/>
  <c r="Q214" i="1"/>
  <c r="R214" i="1" s="1"/>
  <c r="Q223" i="1"/>
  <c r="R223" i="1" s="1"/>
  <c r="P234" i="1"/>
  <c r="Q234" i="1" s="1"/>
  <c r="T234" i="1" s="1"/>
  <c r="Q237" i="1"/>
  <c r="T237" i="1" s="1"/>
  <c r="Q244" i="1"/>
  <c r="T244" i="1" s="1"/>
  <c r="P250" i="1"/>
  <c r="Q250" i="1" s="1"/>
  <c r="T250" i="1" s="1"/>
  <c r="Q253" i="1"/>
  <c r="T253" i="1" s="1"/>
  <c r="P35" i="1"/>
  <c r="Q35" i="1" s="1"/>
  <c r="T35" i="1" s="1"/>
  <c r="Q44" i="1"/>
  <c r="T44" i="1" s="1"/>
  <c r="P61" i="1"/>
  <c r="Q61" i="1" s="1"/>
  <c r="T61" i="1" s="1"/>
  <c r="P76" i="1"/>
  <c r="Q76" i="1" s="1"/>
  <c r="T76" i="1" s="1"/>
  <c r="P86" i="1"/>
  <c r="Q86" i="1" s="1"/>
  <c r="P92" i="1"/>
  <c r="Q92" i="1" s="1"/>
  <c r="T92" i="1" s="1"/>
  <c r="P102" i="1"/>
  <c r="Q102" i="1" s="1"/>
  <c r="T102" i="1" s="1"/>
  <c r="R108" i="1"/>
  <c r="R116" i="1"/>
  <c r="Q119" i="1"/>
  <c r="T119" i="1" s="1"/>
  <c r="P176" i="1"/>
  <c r="Q176" i="1" s="1"/>
  <c r="R176" i="1" s="1"/>
  <c r="P177" i="1"/>
  <c r="Q177" i="1" s="1"/>
  <c r="P184" i="1"/>
  <c r="Q184" i="1" s="1"/>
  <c r="R184" i="1" s="1"/>
  <c r="P185" i="1"/>
  <c r="Q185" i="1" s="1"/>
  <c r="R185" i="1" s="1"/>
  <c r="P192" i="1"/>
  <c r="Q192" i="1" s="1"/>
  <c r="R192" i="1" s="1"/>
  <c r="P193" i="1"/>
  <c r="Q193" i="1" s="1"/>
  <c r="P200" i="1"/>
  <c r="Q200" i="1" s="1"/>
  <c r="R200" i="1" s="1"/>
  <c r="P201" i="1"/>
  <c r="Q201" i="1" s="1"/>
  <c r="R201" i="1" s="1"/>
  <c r="P208" i="1"/>
  <c r="Q208" i="1" s="1"/>
  <c r="R208" i="1" s="1"/>
  <c r="P209" i="1"/>
  <c r="Q209" i="1" s="1"/>
  <c r="P216" i="1"/>
  <c r="Q216" i="1" s="1"/>
  <c r="R216" i="1" s="1"/>
  <c r="P217" i="1"/>
  <c r="Q217" i="1" s="1"/>
  <c r="R217" i="1" s="1"/>
  <c r="Q225" i="1"/>
  <c r="R225" i="1" s="1"/>
  <c r="P240" i="1"/>
  <c r="Q240" i="1" s="1"/>
  <c r="T240" i="1" s="1"/>
  <c r="P246" i="1"/>
  <c r="Q246" i="1" s="1"/>
  <c r="T246" i="1" s="1"/>
  <c r="Q249" i="1"/>
  <c r="T249" i="1" s="1"/>
  <c r="P256" i="1"/>
  <c r="Q256" i="1" s="1"/>
  <c r="T256" i="1" s="1"/>
  <c r="I11" i="13"/>
  <c r="U290" i="1"/>
  <c r="P286" i="1"/>
  <c r="N308" i="1"/>
  <c r="T436" i="1"/>
  <c r="T448" i="1"/>
  <c r="E154" i="16"/>
  <c r="E160" i="16" s="1"/>
  <c r="E199" i="16" s="1"/>
  <c r="Q434" i="1"/>
  <c r="N290" i="1"/>
  <c r="R324" i="1"/>
  <c r="T338" i="1"/>
  <c r="T443" i="1"/>
  <c r="T458" i="1"/>
  <c r="F151" i="16"/>
  <c r="F152" i="16" s="1"/>
  <c r="T72" i="1"/>
  <c r="T461" i="1"/>
  <c r="T466" i="1"/>
  <c r="M480" i="1"/>
  <c r="M99" i="18"/>
  <c r="N99" i="18" s="1"/>
  <c r="O99" i="18" s="1"/>
  <c r="M95" i="18"/>
  <c r="M91" i="18"/>
  <c r="N91" i="18" s="1"/>
  <c r="O91" i="18" s="1"/>
  <c r="M87" i="18"/>
  <c r="N87" i="18" s="1"/>
  <c r="O87" i="18" s="1"/>
  <c r="M83" i="18"/>
  <c r="G13" i="13"/>
  <c r="M24" i="18"/>
  <c r="N24" i="18" s="1"/>
  <c r="O24" i="18" s="1"/>
  <c r="M79" i="18"/>
  <c r="N79" i="18" s="1"/>
  <c r="O79" i="18" s="1"/>
  <c r="M75" i="18"/>
  <c r="N75" i="18" s="1"/>
  <c r="O75" i="18" s="1"/>
  <c r="M71" i="18"/>
  <c r="M67" i="18"/>
  <c r="N67" i="18" s="1"/>
  <c r="O67" i="18" s="1"/>
  <c r="M63" i="18"/>
  <c r="N63" i="18" s="1"/>
  <c r="O63" i="18" s="1"/>
  <c r="M59" i="18"/>
  <c r="N59" i="18" s="1"/>
  <c r="O59" i="18" s="1"/>
  <c r="M55" i="18"/>
  <c r="M51" i="18"/>
  <c r="N51" i="18" s="1"/>
  <c r="O51" i="18" s="1"/>
  <c r="M43" i="18"/>
  <c r="N43" i="18" s="1"/>
  <c r="O43" i="18" s="1"/>
  <c r="M39" i="18"/>
  <c r="M35" i="18"/>
  <c r="M31" i="18"/>
  <c r="N31" i="18" s="1"/>
  <c r="O31" i="18" s="1"/>
  <c r="N7" i="19"/>
  <c r="O7" i="19" s="1"/>
  <c r="P7" i="19" s="1"/>
  <c r="G14" i="13"/>
  <c r="I14" i="13"/>
  <c r="M100" i="18"/>
  <c r="N100" i="18" s="1"/>
  <c r="O100" i="18" s="1"/>
  <c r="M96" i="18"/>
  <c r="N96" i="18" s="1"/>
  <c r="O96" i="18" s="1"/>
  <c r="M92" i="18"/>
  <c r="M88" i="18"/>
  <c r="N88" i="18" s="1"/>
  <c r="O88" i="18" s="1"/>
  <c r="M84" i="18"/>
  <c r="N84" i="18" s="1"/>
  <c r="O84" i="18" s="1"/>
  <c r="M47" i="18"/>
  <c r="N47" i="18" s="1"/>
  <c r="O47" i="18" s="1"/>
  <c r="M86" i="18"/>
  <c r="N86" i="18" s="1"/>
  <c r="O86" i="18" s="1"/>
  <c r="M90" i="18"/>
  <c r="N90" i="18" s="1"/>
  <c r="O90" i="18" s="1"/>
  <c r="M94" i="18"/>
  <c r="N94" i="18" s="1"/>
  <c r="O94" i="18" s="1"/>
  <c r="M98" i="18"/>
  <c r="N98" i="18" s="1"/>
  <c r="O98" i="18" s="1"/>
  <c r="I13" i="13"/>
  <c r="M82" i="18"/>
  <c r="N82" i="18" s="1"/>
  <c r="O82" i="18" s="1"/>
  <c r="M12" i="18"/>
  <c r="N12" i="18" s="1"/>
  <c r="O12" i="18" s="1"/>
  <c r="M6" i="18"/>
  <c r="N6" i="18" s="1"/>
  <c r="O6" i="18" s="1"/>
  <c r="M8" i="18"/>
  <c r="N8" i="18" s="1"/>
  <c r="O8" i="18" s="1"/>
  <c r="M10" i="18"/>
  <c r="N10" i="18" s="1"/>
  <c r="O10" i="18" s="1"/>
  <c r="M23" i="18"/>
  <c r="N23" i="18" s="1"/>
  <c r="O23" i="18" s="1"/>
  <c r="M16" i="18"/>
  <c r="N16" i="18" s="1"/>
  <c r="O16" i="18" s="1"/>
  <c r="M20" i="18"/>
  <c r="N20" i="18" s="1"/>
  <c r="O20" i="18" s="1"/>
  <c r="M74" i="18"/>
  <c r="N74" i="18" s="1"/>
  <c r="O74" i="18" s="1"/>
  <c r="M66" i="18"/>
  <c r="N66" i="18" s="1"/>
  <c r="O66" i="18" s="1"/>
  <c r="M58" i="18"/>
  <c r="N58" i="18" s="1"/>
  <c r="O58" i="18" s="1"/>
  <c r="M50" i="18"/>
  <c r="N50" i="18" s="1"/>
  <c r="O50" i="18" s="1"/>
  <c r="M42" i="18"/>
  <c r="N42" i="18" s="1"/>
  <c r="O42" i="18" s="1"/>
  <c r="M34" i="18"/>
  <c r="N34" i="18" s="1"/>
  <c r="O34" i="18" s="1"/>
  <c r="N93" i="18"/>
  <c r="O93" i="18" s="1"/>
  <c r="N89" i="18"/>
  <c r="O89" i="18" s="1"/>
  <c r="N85" i="18"/>
  <c r="O85" i="18" s="1"/>
  <c r="N81" i="18"/>
  <c r="O81" i="18" s="1"/>
  <c r="M11" i="18"/>
  <c r="N11" i="18" s="1"/>
  <c r="O11" i="18" s="1"/>
  <c r="M77" i="18"/>
  <c r="N77" i="18" s="1"/>
  <c r="O77" i="18" s="1"/>
  <c r="M73" i="18"/>
  <c r="N73" i="18" s="1"/>
  <c r="O73" i="18" s="1"/>
  <c r="M69" i="18"/>
  <c r="N69" i="18" s="1"/>
  <c r="O69" i="18" s="1"/>
  <c r="M65" i="18"/>
  <c r="N65" i="18" s="1"/>
  <c r="O65" i="18" s="1"/>
  <c r="M61" i="18"/>
  <c r="N61" i="18" s="1"/>
  <c r="O61" i="18" s="1"/>
  <c r="M57" i="18"/>
  <c r="N57" i="18" s="1"/>
  <c r="O57" i="18" s="1"/>
  <c r="M53" i="18"/>
  <c r="N53" i="18" s="1"/>
  <c r="O53" i="18" s="1"/>
  <c r="M49" i="18"/>
  <c r="N49" i="18" s="1"/>
  <c r="O49" i="18" s="1"/>
  <c r="M45" i="18"/>
  <c r="N45" i="18" s="1"/>
  <c r="O45" i="18" s="1"/>
  <c r="M41" i="18"/>
  <c r="N41" i="18" s="1"/>
  <c r="O41" i="18" s="1"/>
  <c r="M37" i="18"/>
  <c r="N37" i="18" s="1"/>
  <c r="O37" i="18" s="1"/>
  <c r="M33" i="18"/>
  <c r="N33" i="18" s="1"/>
  <c r="O33" i="18" s="1"/>
  <c r="M29" i="18"/>
  <c r="N29" i="18" s="1"/>
  <c r="O29" i="18" s="1"/>
  <c r="M78" i="18"/>
  <c r="N78" i="18" s="1"/>
  <c r="O78" i="18" s="1"/>
  <c r="M70" i="18"/>
  <c r="N70" i="18" s="1"/>
  <c r="O70" i="18" s="1"/>
  <c r="M62" i="18"/>
  <c r="N62" i="18" s="1"/>
  <c r="O62" i="18" s="1"/>
  <c r="M54" i="18"/>
  <c r="N54" i="18" s="1"/>
  <c r="O54" i="18" s="1"/>
  <c r="M46" i="18"/>
  <c r="N46" i="18" s="1"/>
  <c r="O46" i="18" s="1"/>
  <c r="M38" i="18"/>
  <c r="N38" i="18" s="1"/>
  <c r="O38" i="18" s="1"/>
  <c r="M30" i="18"/>
  <c r="N30" i="18" s="1"/>
  <c r="O30" i="18" s="1"/>
  <c r="N97" i="18"/>
  <c r="O97" i="18" s="1"/>
  <c r="N95" i="18"/>
  <c r="O95" i="18" s="1"/>
  <c r="N83" i="18"/>
  <c r="O83" i="18" s="1"/>
  <c r="M76" i="18"/>
  <c r="N76" i="18" s="1"/>
  <c r="O76" i="18" s="1"/>
  <c r="M72" i="18"/>
  <c r="N72" i="18" s="1"/>
  <c r="O72" i="18" s="1"/>
  <c r="M68" i="18"/>
  <c r="N68" i="18" s="1"/>
  <c r="O68" i="18" s="1"/>
  <c r="M64" i="18"/>
  <c r="N64" i="18" s="1"/>
  <c r="O64" i="18" s="1"/>
  <c r="M60" i="18"/>
  <c r="N60" i="18" s="1"/>
  <c r="O60" i="18" s="1"/>
  <c r="M56" i="18"/>
  <c r="N56" i="18" s="1"/>
  <c r="O56" i="18" s="1"/>
  <c r="M52" i="18"/>
  <c r="N52" i="18" s="1"/>
  <c r="O52" i="18" s="1"/>
  <c r="M48" i="18"/>
  <c r="N48" i="18" s="1"/>
  <c r="O48" i="18" s="1"/>
  <c r="M44" i="18"/>
  <c r="N44" i="18" s="1"/>
  <c r="O44" i="18" s="1"/>
  <c r="M40" i="18"/>
  <c r="N40" i="18" s="1"/>
  <c r="O40" i="18" s="1"/>
  <c r="M36" i="18"/>
  <c r="N36" i="18" s="1"/>
  <c r="O36" i="18" s="1"/>
  <c r="M32" i="18"/>
  <c r="N32" i="18" s="1"/>
  <c r="O32" i="18" s="1"/>
  <c r="M28" i="18"/>
  <c r="N28" i="18" s="1"/>
  <c r="O28" i="18" s="1"/>
  <c r="N92" i="18"/>
  <c r="O92" i="18" s="1"/>
  <c r="M65" i="17"/>
  <c r="N65" i="17" s="1"/>
  <c r="O65" i="17" s="1"/>
  <c r="G8" i="20"/>
  <c r="N306" i="2"/>
  <c r="O306" i="2" s="1"/>
  <c r="P306" i="2" s="1"/>
  <c r="N294" i="2"/>
  <c r="O294" i="2" s="1"/>
  <c r="P294" i="2" s="1"/>
  <c r="N286" i="2"/>
  <c r="O286" i="2" s="1"/>
  <c r="P286" i="2" s="1"/>
  <c r="N271" i="2"/>
  <c r="O271" i="2" s="1"/>
  <c r="P271" i="2" s="1"/>
  <c r="N261" i="2"/>
  <c r="O261" i="2" s="1"/>
  <c r="P261" i="2" s="1"/>
  <c r="N257" i="2"/>
  <c r="O257" i="2" s="1"/>
  <c r="P257" i="2" s="1"/>
  <c r="N245" i="2"/>
  <c r="O245" i="2" s="1"/>
  <c r="P245" i="2" s="1"/>
  <c r="N302" i="2"/>
  <c r="O302" i="2" s="1"/>
  <c r="P302" i="2" s="1"/>
  <c r="N305" i="2"/>
  <c r="O305" i="2" s="1"/>
  <c r="P305" i="2" s="1"/>
  <c r="N301" i="2"/>
  <c r="O301" i="2" s="1"/>
  <c r="P301" i="2" s="1"/>
  <c r="N297" i="2"/>
  <c r="O297" i="2" s="1"/>
  <c r="P297" i="2" s="1"/>
  <c r="N293" i="2"/>
  <c r="O293" i="2" s="1"/>
  <c r="P293" i="2" s="1"/>
  <c r="N289" i="2"/>
  <c r="O289" i="2" s="1"/>
  <c r="P289" i="2" s="1"/>
  <c r="N285" i="2"/>
  <c r="O285" i="2" s="1"/>
  <c r="P285" i="2" s="1"/>
  <c r="N281" i="2"/>
  <c r="O281" i="2" s="1"/>
  <c r="P281" i="2" s="1"/>
  <c r="N278" i="2"/>
  <c r="O278" i="2" s="1"/>
  <c r="P278" i="2" s="1"/>
  <c r="N274" i="2"/>
  <c r="O274" i="2" s="1"/>
  <c r="P274" i="2" s="1"/>
  <c r="N270" i="2"/>
  <c r="O270" i="2" s="1"/>
  <c r="P270" i="2" s="1"/>
  <c r="N266" i="2"/>
  <c r="O266" i="2" s="1"/>
  <c r="P266" i="2" s="1"/>
  <c r="N260" i="2"/>
  <c r="O260" i="2" s="1"/>
  <c r="P260" i="2" s="1"/>
  <c r="N256" i="2"/>
  <c r="O256" i="2" s="1"/>
  <c r="P256" i="2" s="1"/>
  <c r="N252" i="2"/>
  <c r="O252" i="2" s="1"/>
  <c r="P252" i="2" s="1"/>
  <c r="N248" i="2"/>
  <c r="O248" i="2" s="1"/>
  <c r="P248" i="2" s="1"/>
  <c r="N244" i="2"/>
  <c r="O244" i="2" s="1"/>
  <c r="P244" i="2" s="1"/>
  <c r="N298" i="2"/>
  <c r="O298" i="2" s="1"/>
  <c r="P298" i="2" s="1"/>
  <c r="N282" i="2"/>
  <c r="O282" i="2" s="1"/>
  <c r="P282" i="2" s="1"/>
  <c r="N267" i="2"/>
  <c r="O267" i="2" s="1"/>
  <c r="P267" i="2" s="1"/>
  <c r="N249" i="2"/>
  <c r="O249" i="2" s="1"/>
  <c r="P249" i="2" s="1"/>
  <c r="N308" i="2"/>
  <c r="O308" i="2" s="1"/>
  <c r="P308" i="2" s="1"/>
  <c r="N304" i="2"/>
  <c r="O304" i="2" s="1"/>
  <c r="P304" i="2" s="1"/>
  <c r="N300" i="2"/>
  <c r="O300" i="2" s="1"/>
  <c r="P300" i="2" s="1"/>
  <c r="N296" i="2"/>
  <c r="O296" i="2" s="1"/>
  <c r="P296" i="2" s="1"/>
  <c r="N292" i="2"/>
  <c r="O292" i="2" s="1"/>
  <c r="P292" i="2" s="1"/>
  <c r="N288" i="2"/>
  <c r="O288" i="2" s="1"/>
  <c r="P288" i="2" s="1"/>
  <c r="N284" i="2"/>
  <c r="O284" i="2" s="1"/>
  <c r="P284" i="2" s="1"/>
  <c r="N280" i="2"/>
  <c r="O280" i="2" s="1"/>
  <c r="P280" i="2" s="1"/>
  <c r="N277" i="2"/>
  <c r="O277" i="2" s="1"/>
  <c r="P277" i="2" s="1"/>
  <c r="N273" i="2"/>
  <c r="O273" i="2" s="1"/>
  <c r="P273" i="2" s="1"/>
  <c r="N269" i="2"/>
  <c r="O269" i="2" s="1"/>
  <c r="P269" i="2" s="1"/>
  <c r="N265" i="2"/>
  <c r="O265" i="2" s="1"/>
  <c r="P265" i="2" s="1"/>
  <c r="N259" i="2"/>
  <c r="O259" i="2" s="1"/>
  <c r="P259" i="2" s="1"/>
  <c r="N255" i="2"/>
  <c r="O255" i="2" s="1"/>
  <c r="P255" i="2" s="1"/>
  <c r="N251" i="2"/>
  <c r="O251" i="2" s="1"/>
  <c r="P251" i="2" s="1"/>
  <c r="N247" i="2"/>
  <c r="O247" i="2" s="1"/>
  <c r="P247" i="2" s="1"/>
  <c r="N243" i="2"/>
  <c r="O243" i="2" s="1"/>
  <c r="P243" i="2" s="1"/>
  <c r="N290" i="2"/>
  <c r="O290" i="2" s="1"/>
  <c r="P290" i="2" s="1"/>
  <c r="N275" i="2"/>
  <c r="O275" i="2" s="1"/>
  <c r="P275" i="2" s="1"/>
  <c r="N263" i="2"/>
  <c r="O263" i="2" s="1"/>
  <c r="P263" i="2" s="1"/>
  <c r="N253" i="2"/>
  <c r="O253" i="2" s="1"/>
  <c r="P253" i="2" s="1"/>
  <c r="N307" i="2"/>
  <c r="O307" i="2" s="1"/>
  <c r="P307" i="2" s="1"/>
  <c r="N303" i="2"/>
  <c r="O303" i="2" s="1"/>
  <c r="P303" i="2" s="1"/>
  <c r="N299" i="2"/>
  <c r="O299" i="2" s="1"/>
  <c r="P299" i="2" s="1"/>
  <c r="N295" i="2"/>
  <c r="O295" i="2" s="1"/>
  <c r="P295" i="2" s="1"/>
  <c r="N291" i="2"/>
  <c r="O291" i="2" s="1"/>
  <c r="P291" i="2" s="1"/>
  <c r="N287" i="2"/>
  <c r="O287" i="2" s="1"/>
  <c r="P287" i="2" s="1"/>
  <c r="N283" i="2"/>
  <c r="O283" i="2" s="1"/>
  <c r="P283" i="2" s="1"/>
  <c r="N279" i="2"/>
  <c r="O279" i="2" s="1"/>
  <c r="P279" i="2" s="1"/>
  <c r="N276" i="2"/>
  <c r="O276" i="2" s="1"/>
  <c r="P276" i="2" s="1"/>
  <c r="N272" i="2"/>
  <c r="O272" i="2" s="1"/>
  <c r="P272" i="2" s="1"/>
  <c r="N268" i="2"/>
  <c r="O268" i="2" s="1"/>
  <c r="P268" i="2" s="1"/>
  <c r="N264" i="2"/>
  <c r="O264" i="2" s="1"/>
  <c r="P264" i="2" s="1"/>
  <c r="N262" i="2"/>
  <c r="O262" i="2" s="1"/>
  <c r="P262" i="2" s="1"/>
  <c r="N258" i="2"/>
  <c r="O258" i="2" s="1"/>
  <c r="P258" i="2" s="1"/>
  <c r="N254" i="2"/>
  <c r="O254" i="2" s="1"/>
  <c r="P254" i="2" s="1"/>
  <c r="N250" i="2"/>
  <c r="O250" i="2" s="1"/>
  <c r="P250" i="2" s="1"/>
  <c r="N246" i="2"/>
  <c r="O246" i="2" s="1"/>
  <c r="P246" i="2" s="1"/>
  <c r="N242" i="2"/>
  <c r="O242" i="2" s="1"/>
  <c r="P242" i="2" s="1"/>
  <c r="H90" i="2"/>
  <c r="H82" i="2"/>
  <c r="H74" i="2"/>
  <c r="H66" i="2"/>
  <c r="H58" i="2"/>
  <c r="H34" i="2"/>
  <c r="H18" i="2"/>
  <c r="H6" i="2"/>
  <c r="H78" i="2"/>
  <c r="H38" i="2"/>
  <c r="H30" i="2"/>
  <c r="H10" i="2"/>
  <c r="H240" i="2"/>
  <c r="H236" i="2"/>
  <c r="H87" i="2"/>
  <c r="H79" i="2"/>
  <c r="H71" i="2"/>
  <c r="H55" i="2"/>
  <c r="H43" i="2"/>
  <c r="H39" i="2"/>
  <c r="H35" i="2"/>
  <c r="H19" i="2"/>
  <c r="H70" i="2"/>
  <c r="H213" i="2"/>
  <c r="H205" i="2"/>
  <c r="H197" i="2"/>
  <c r="H181" i="2"/>
  <c r="H173" i="2"/>
  <c r="H165" i="2"/>
  <c r="H149" i="2"/>
  <c r="H141" i="2"/>
  <c r="H133" i="2"/>
  <c r="H101" i="2"/>
  <c r="H97" i="2"/>
  <c r="H89" i="2"/>
  <c r="H77" i="2"/>
  <c r="H65" i="2"/>
  <c r="H37" i="2"/>
  <c r="H29" i="2"/>
  <c r="H225" i="2"/>
  <c r="H193" i="2"/>
  <c r="H161" i="2"/>
  <c r="N11" i="19"/>
  <c r="O11" i="19" s="1"/>
  <c r="M80" i="18"/>
  <c r="N80" i="18" s="1"/>
  <c r="O80" i="18" s="1"/>
  <c r="G12" i="13"/>
  <c r="G12" i="20"/>
  <c r="H12" i="20"/>
  <c r="M76" i="17"/>
  <c r="N76" i="17" s="1"/>
  <c r="O76" i="17" s="1"/>
  <c r="M72" i="17"/>
  <c r="N72" i="17" s="1"/>
  <c r="O72" i="17" s="1"/>
  <c r="M68" i="17"/>
  <c r="N68" i="17" s="1"/>
  <c r="O68" i="17" s="1"/>
  <c r="M64" i="17"/>
  <c r="N64" i="17" s="1"/>
  <c r="O64" i="17" s="1"/>
  <c r="M77" i="17"/>
  <c r="M69" i="17"/>
  <c r="N69" i="17" s="1"/>
  <c r="O69" i="17" s="1"/>
  <c r="M75" i="17"/>
  <c r="N75" i="17" s="1"/>
  <c r="O75" i="17" s="1"/>
  <c r="M71" i="17"/>
  <c r="N71" i="17" s="1"/>
  <c r="O71" i="17" s="1"/>
  <c r="M67" i="17"/>
  <c r="N67" i="17" s="1"/>
  <c r="O67" i="17" s="1"/>
  <c r="M63" i="17"/>
  <c r="N63" i="17" s="1"/>
  <c r="O63" i="17" s="1"/>
  <c r="M73" i="17"/>
  <c r="N73" i="17" s="1"/>
  <c r="O73" i="17" s="1"/>
  <c r="M47" i="17"/>
  <c r="N47" i="17" s="1"/>
  <c r="O47" i="17" s="1"/>
  <c r="M74" i="17"/>
  <c r="N74" i="17" s="1"/>
  <c r="O74" i="17" s="1"/>
  <c r="M70" i="17"/>
  <c r="N70" i="17" s="1"/>
  <c r="O70" i="17" s="1"/>
  <c r="M66" i="17"/>
  <c r="N66" i="17" s="1"/>
  <c r="O66" i="17" s="1"/>
  <c r="M62" i="17"/>
  <c r="N62" i="17" s="1"/>
  <c r="O62" i="17" s="1"/>
  <c r="N77" i="17"/>
  <c r="O77" i="17" s="1"/>
  <c r="H11" i="13"/>
  <c r="H11" i="20"/>
  <c r="H8" i="13"/>
  <c r="N4" i="19"/>
  <c r="O4" i="19" s="1"/>
  <c r="P4" i="19" s="1"/>
  <c r="N8" i="19"/>
  <c r="O8" i="19" s="1"/>
  <c r="P8" i="19" s="1"/>
  <c r="N6" i="19"/>
  <c r="O6" i="19" s="1"/>
  <c r="P6" i="19" s="1"/>
  <c r="N10" i="19"/>
  <c r="O10" i="19" s="1"/>
  <c r="P10" i="19" s="1"/>
  <c r="N5" i="19"/>
  <c r="O5" i="19" s="1"/>
  <c r="P5" i="19" s="1"/>
  <c r="N9" i="19"/>
  <c r="O9" i="19" s="1"/>
  <c r="P9" i="19" s="1"/>
  <c r="M4" i="18"/>
  <c r="N4" i="18" s="1"/>
  <c r="O4" i="18" s="1"/>
  <c r="M27" i="18"/>
  <c r="N27" i="18" s="1"/>
  <c r="O27" i="18" s="1"/>
  <c r="M19" i="18"/>
  <c r="N19" i="18" s="1"/>
  <c r="O19" i="18" s="1"/>
  <c r="M15" i="18"/>
  <c r="N15" i="18" s="1"/>
  <c r="O15" i="18" s="1"/>
  <c r="N71" i="18"/>
  <c r="O71" i="18" s="1"/>
  <c r="N55" i="18"/>
  <c r="O55" i="18" s="1"/>
  <c r="N39" i="18"/>
  <c r="O39" i="18" s="1"/>
  <c r="N35" i="18"/>
  <c r="O35" i="18" s="1"/>
  <c r="M5" i="18"/>
  <c r="N5" i="18" s="1"/>
  <c r="O5" i="18" s="1"/>
  <c r="M14" i="18"/>
  <c r="N14" i="18" s="1"/>
  <c r="O14" i="18" s="1"/>
  <c r="M18" i="18"/>
  <c r="N18" i="18" s="1"/>
  <c r="O18" i="18" s="1"/>
  <c r="M22" i="18"/>
  <c r="N22" i="18" s="1"/>
  <c r="O22" i="18" s="1"/>
  <c r="M26" i="18"/>
  <c r="M9" i="18"/>
  <c r="N9" i="18" s="1"/>
  <c r="O9" i="18" s="1"/>
  <c r="M13" i="18"/>
  <c r="N13" i="18" s="1"/>
  <c r="O13" i="18" s="1"/>
  <c r="M17" i="18"/>
  <c r="N17" i="18" s="1"/>
  <c r="O17" i="18" s="1"/>
  <c r="M21" i="18"/>
  <c r="N21" i="18" s="1"/>
  <c r="O21" i="18" s="1"/>
  <c r="M25" i="18"/>
  <c r="N25" i="18" s="1"/>
  <c r="O25" i="18" s="1"/>
  <c r="M7" i="18"/>
  <c r="N7" i="18" s="1"/>
  <c r="O7" i="18" s="1"/>
  <c r="M3" i="18"/>
  <c r="N26" i="18"/>
  <c r="O26" i="18" s="1"/>
  <c r="M5" i="17"/>
  <c r="M26" i="17"/>
  <c r="N26" i="17" s="1"/>
  <c r="O26" i="17" s="1"/>
  <c r="M46" i="17"/>
  <c r="N46" i="17" s="1"/>
  <c r="O46" i="17" s="1"/>
  <c r="M55" i="17"/>
  <c r="N55" i="17" s="1"/>
  <c r="O55" i="17" s="1"/>
  <c r="M21" i="17"/>
  <c r="N21" i="17" s="1"/>
  <c r="O21" i="17" s="1"/>
  <c r="M19" i="17"/>
  <c r="N19" i="17" s="1"/>
  <c r="O19" i="17" s="1"/>
  <c r="M38" i="17"/>
  <c r="M18" i="17"/>
  <c r="N18" i="17" s="1"/>
  <c r="O18" i="17" s="1"/>
  <c r="M43" i="17"/>
  <c r="N43" i="17" s="1"/>
  <c r="O43" i="17" s="1"/>
  <c r="M11" i="17"/>
  <c r="N11" i="17" s="1"/>
  <c r="O11" i="17" s="1"/>
  <c r="M58" i="17"/>
  <c r="N58" i="17" s="1"/>
  <c r="O58" i="17" s="1"/>
  <c r="M14" i="17"/>
  <c r="N14" i="17" s="1"/>
  <c r="O14" i="17" s="1"/>
  <c r="M15" i="17"/>
  <c r="N15" i="17" s="1"/>
  <c r="O15" i="17" s="1"/>
  <c r="M39" i="17"/>
  <c r="N39" i="17" s="1"/>
  <c r="O39" i="17" s="1"/>
  <c r="M13" i="17"/>
  <c r="N13" i="17" s="1"/>
  <c r="O13" i="17" s="1"/>
  <c r="M51" i="17"/>
  <c r="N51" i="17" s="1"/>
  <c r="O51" i="17" s="1"/>
  <c r="M59" i="17"/>
  <c r="N59" i="17" s="1"/>
  <c r="O59" i="17" s="1"/>
  <c r="M30" i="17"/>
  <c r="N30" i="17" s="1"/>
  <c r="O30" i="17" s="1"/>
  <c r="M10" i="17"/>
  <c r="N10" i="17" s="1"/>
  <c r="O10" i="17" s="1"/>
  <c r="M22" i="17"/>
  <c r="N22" i="17" s="1"/>
  <c r="O22" i="17" s="1"/>
  <c r="M23" i="17"/>
  <c r="N23" i="17" s="1"/>
  <c r="O23" i="17" s="1"/>
  <c r="M35" i="17"/>
  <c r="N35" i="17" s="1"/>
  <c r="O35" i="17" s="1"/>
  <c r="M48" i="17"/>
  <c r="N48" i="17" s="1"/>
  <c r="O48" i="17" s="1"/>
  <c r="M56" i="17"/>
  <c r="N56" i="17" s="1"/>
  <c r="O56" i="17" s="1"/>
  <c r="M27" i="17"/>
  <c r="N27" i="17" s="1"/>
  <c r="O27" i="17" s="1"/>
  <c r="M6" i="17"/>
  <c r="N6" i="17" s="1"/>
  <c r="O6" i="17" s="1"/>
  <c r="M7" i="17"/>
  <c r="N7" i="17" s="1"/>
  <c r="O7" i="17" s="1"/>
  <c r="M31" i="17"/>
  <c r="N31" i="17" s="1"/>
  <c r="O31" i="17" s="1"/>
  <c r="M52" i="17"/>
  <c r="N52" i="17" s="1"/>
  <c r="O52" i="17" s="1"/>
  <c r="M60" i="17"/>
  <c r="N60" i="17" s="1"/>
  <c r="O60" i="17" s="1"/>
  <c r="M17" i="17"/>
  <c r="N17" i="17" s="1"/>
  <c r="O17" i="17" s="1"/>
  <c r="M42" i="17"/>
  <c r="N42" i="17" s="1"/>
  <c r="O42" i="17" s="1"/>
  <c r="M9" i="17"/>
  <c r="N9" i="17" s="1"/>
  <c r="O9" i="17" s="1"/>
  <c r="M25" i="17"/>
  <c r="N25" i="17" s="1"/>
  <c r="O25" i="17" s="1"/>
  <c r="M34" i="17"/>
  <c r="N34" i="17" s="1"/>
  <c r="O34" i="17" s="1"/>
  <c r="M28" i="17"/>
  <c r="N28" i="17" s="1"/>
  <c r="O28" i="17" s="1"/>
  <c r="M32" i="17"/>
  <c r="N32" i="17" s="1"/>
  <c r="O32" i="17" s="1"/>
  <c r="M36" i="17"/>
  <c r="N36" i="17" s="1"/>
  <c r="O36" i="17" s="1"/>
  <c r="N38" i="17"/>
  <c r="O38" i="17" s="1"/>
  <c r="M40" i="17"/>
  <c r="N40" i="17" s="1"/>
  <c r="O40" i="17" s="1"/>
  <c r="M44" i="17"/>
  <c r="N44" i="17" s="1"/>
  <c r="O44" i="17" s="1"/>
  <c r="M50" i="17"/>
  <c r="N50" i="17" s="1"/>
  <c r="O50" i="17" s="1"/>
  <c r="M54" i="17"/>
  <c r="N54" i="17" s="1"/>
  <c r="O54" i="17" s="1"/>
  <c r="M8" i="17"/>
  <c r="N8" i="17" s="1"/>
  <c r="O8" i="17" s="1"/>
  <c r="M12" i="17"/>
  <c r="N12" i="17" s="1"/>
  <c r="O12" i="17" s="1"/>
  <c r="M16" i="17"/>
  <c r="N16" i="17" s="1"/>
  <c r="O16" i="17" s="1"/>
  <c r="M20" i="17"/>
  <c r="N20" i="17" s="1"/>
  <c r="O20" i="17" s="1"/>
  <c r="M24" i="17"/>
  <c r="N24" i="17" s="1"/>
  <c r="O24" i="17" s="1"/>
  <c r="M29" i="17"/>
  <c r="N29" i="17" s="1"/>
  <c r="O29" i="17" s="1"/>
  <c r="M33" i="17"/>
  <c r="N33" i="17" s="1"/>
  <c r="O33" i="17" s="1"/>
  <c r="M37" i="17"/>
  <c r="N37" i="17" s="1"/>
  <c r="O37" i="17" s="1"/>
  <c r="M41" i="17"/>
  <c r="N41" i="17" s="1"/>
  <c r="O41" i="17" s="1"/>
  <c r="M45" i="17"/>
  <c r="N45" i="17" s="1"/>
  <c r="O45" i="17" s="1"/>
  <c r="M49" i="17"/>
  <c r="N49" i="17" s="1"/>
  <c r="O49" i="17" s="1"/>
  <c r="M53" i="17"/>
  <c r="N53" i="17" s="1"/>
  <c r="O53" i="17" s="1"/>
  <c r="M57" i="17"/>
  <c r="N57" i="17" s="1"/>
  <c r="O57" i="17" s="1"/>
  <c r="M61" i="17"/>
  <c r="N61" i="17" s="1"/>
  <c r="O61" i="17" s="1"/>
  <c r="G118" i="16"/>
  <c r="I118" i="16" s="1"/>
  <c r="F118" i="16"/>
  <c r="G11" i="16"/>
  <c r="F11" i="16"/>
  <c r="G30" i="16"/>
  <c r="I30" i="16" s="1"/>
  <c r="G44" i="16"/>
  <c r="I44" i="16" s="1"/>
  <c r="F44" i="16"/>
  <c r="G80" i="16"/>
  <c r="H150" i="16"/>
  <c r="F80" i="16"/>
  <c r="I148" i="16"/>
  <c r="I167" i="16"/>
  <c r="I170" i="16" s="1"/>
  <c r="F67" i="16"/>
  <c r="F69" i="16"/>
  <c r="I176" i="16" s="1"/>
  <c r="I182" i="16" s="1"/>
  <c r="H75" i="16"/>
  <c r="H76" i="16" s="1"/>
  <c r="H154" i="16" s="1"/>
  <c r="H170" i="16"/>
  <c r="H176" i="16"/>
  <c r="H182" i="16" s="1"/>
  <c r="E185" i="16"/>
  <c r="G73" i="16"/>
  <c r="I73" i="16" s="1"/>
  <c r="F73" i="16"/>
  <c r="G87" i="16"/>
  <c r="I87" i="16" s="1"/>
  <c r="G98" i="16"/>
  <c r="I98" i="16" s="1"/>
  <c r="F98" i="16"/>
  <c r="G105" i="16"/>
  <c r="L5" i="15"/>
  <c r="J5" i="15"/>
  <c r="L12" i="15"/>
  <c r="J12" i="15"/>
  <c r="L15" i="15"/>
  <c r="J15" i="15"/>
  <c r="L20" i="15"/>
  <c r="J20" i="15"/>
  <c r="L23" i="15"/>
  <c r="J23" i="15"/>
  <c r="I28" i="15"/>
  <c r="J26" i="15"/>
  <c r="J28" i="15" s="1"/>
  <c r="J44" i="15"/>
  <c r="L44" i="15"/>
  <c r="J48" i="15"/>
  <c r="L48" i="15"/>
  <c r="J52" i="15"/>
  <c r="L52" i="15"/>
  <c r="J56" i="15"/>
  <c r="L56" i="15"/>
  <c r="J60" i="15"/>
  <c r="L60" i="15"/>
  <c r="L4" i="15"/>
  <c r="J4" i="15"/>
  <c r="I6" i="15"/>
  <c r="J9" i="15"/>
  <c r="L9" i="15"/>
  <c r="J14" i="15"/>
  <c r="L14" i="15"/>
  <c r="J17" i="15"/>
  <c r="L17" i="15"/>
  <c r="J22" i="15"/>
  <c r="L22" i="15"/>
  <c r="L43" i="15"/>
  <c r="J43" i="15"/>
  <c r="J47" i="15"/>
  <c r="L47" i="15"/>
  <c r="J51" i="15"/>
  <c r="L51" i="15"/>
  <c r="J55" i="15"/>
  <c r="L55" i="15"/>
  <c r="J59" i="15"/>
  <c r="L59" i="15"/>
  <c r="L8" i="15"/>
  <c r="I24" i="15"/>
  <c r="J8" i="15"/>
  <c r="L11" i="15"/>
  <c r="J11" i="15"/>
  <c r="L16" i="15"/>
  <c r="J16" i="15"/>
  <c r="L19" i="15"/>
  <c r="J19" i="15"/>
  <c r="I63" i="15"/>
  <c r="I83" i="15" s="1"/>
  <c r="J42" i="15"/>
  <c r="L42" i="15"/>
  <c r="L46" i="15"/>
  <c r="J46" i="15"/>
  <c r="L50" i="15"/>
  <c r="J50" i="15"/>
  <c r="L54" i="15"/>
  <c r="J54" i="15"/>
  <c r="J58" i="15"/>
  <c r="L58" i="15"/>
  <c r="J10" i="15"/>
  <c r="L10" i="15"/>
  <c r="J13" i="15"/>
  <c r="L13" i="15"/>
  <c r="J18" i="15"/>
  <c r="L18" i="15"/>
  <c r="L21" i="15"/>
  <c r="J21" i="15"/>
  <c r="L27" i="15"/>
  <c r="J45" i="15"/>
  <c r="L45" i="15"/>
  <c r="J49" i="15"/>
  <c r="L49" i="15"/>
  <c r="L53" i="15"/>
  <c r="J53" i="15"/>
  <c r="L57" i="15"/>
  <c r="J57" i="15"/>
  <c r="L61" i="15"/>
  <c r="J61" i="15"/>
  <c r="J66" i="15"/>
  <c r="J68" i="15" s="1"/>
  <c r="K83" i="15"/>
  <c r="L26" i="15"/>
  <c r="L66" i="15"/>
  <c r="T94" i="1"/>
  <c r="T11" i="1"/>
  <c r="X11" i="1"/>
  <c r="R74" i="1"/>
  <c r="T86" i="1"/>
  <c r="R86" i="1"/>
  <c r="Q87" i="1"/>
  <c r="T87" i="1" s="1"/>
  <c r="R102" i="1"/>
  <c r="Q103" i="1"/>
  <c r="T103" i="1" s="1"/>
  <c r="S30" i="1"/>
  <c r="S31" i="1" s="1"/>
  <c r="T31" i="1" s="1"/>
  <c r="Q48" i="1"/>
  <c r="T48" i="1" s="1"/>
  <c r="T10" i="1"/>
  <c r="Q28" i="1"/>
  <c r="R28" i="1" s="1"/>
  <c r="Q34" i="1"/>
  <c r="T34" i="1" s="1"/>
  <c r="Q52" i="1"/>
  <c r="T52" i="1" s="1"/>
  <c r="Q68" i="1"/>
  <c r="T68" i="1" s="1"/>
  <c r="Q83" i="1"/>
  <c r="T83" i="1" s="1"/>
  <c r="Q88" i="1"/>
  <c r="T88" i="1" s="1"/>
  <c r="Q99" i="1"/>
  <c r="T99" i="1" s="1"/>
  <c r="Q104" i="1"/>
  <c r="T104" i="1" s="1"/>
  <c r="R75" i="1"/>
  <c r="R11" i="1"/>
  <c r="Q23" i="1"/>
  <c r="T23" i="1" s="1"/>
  <c r="R33" i="1"/>
  <c r="R39" i="1"/>
  <c r="R84" i="1"/>
  <c r="T4" i="1"/>
  <c r="R6" i="1"/>
  <c r="R7" i="1"/>
  <c r="R16" i="1"/>
  <c r="R22" i="1"/>
  <c r="R58" i="1"/>
  <c r="Q106" i="1"/>
  <c r="T106" i="1" s="1"/>
  <c r="Q110" i="1"/>
  <c r="T110" i="1" s="1"/>
  <c r="Q118" i="1"/>
  <c r="T118" i="1" s="1"/>
  <c r="R4" i="1"/>
  <c r="N12" i="1"/>
  <c r="Q26" i="1"/>
  <c r="T26" i="1" s="1"/>
  <c r="R49" i="1"/>
  <c r="R63" i="1"/>
  <c r="W9" i="1"/>
  <c r="Y9" i="1" s="1"/>
  <c r="V9" i="1"/>
  <c r="X9" i="1" s="1"/>
  <c r="R17" i="1"/>
  <c r="R25" i="1"/>
  <c r="R55" i="1"/>
  <c r="R56" i="1"/>
  <c r="R96" i="1"/>
  <c r="R9" i="1"/>
  <c r="V10" i="1"/>
  <c r="X10" i="1" s="1"/>
  <c r="X15" i="1"/>
  <c r="T15" i="1"/>
  <c r="R19" i="1"/>
  <c r="R41" i="1"/>
  <c r="R43" i="1"/>
  <c r="R5" i="1"/>
  <c r="V8" i="1"/>
  <c r="T9" i="1"/>
  <c r="R10" i="1"/>
  <c r="R20" i="1"/>
  <c r="P24" i="1"/>
  <c r="Q24" i="1" s="1"/>
  <c r="P29" i="1"/>
  <c r="Q29" i="1" s="1"/>
  <c r="R31" i="1"/>
  <c r="R42" i="1"/>
  <c r="R45" i="1"/>
  <c r="R47" i="1"/>
  <c r="P50" i="1"/>
  <c r="Q50" i="1" s="1"/>
  <c r="P57" i="1"/>
  <c r="Q57" i="1" s="1"/>
  <c r="R61" i="1"/>
  <c r="P64" i="1"/>
  <c r="Q64" i="1" s="1"/>
  <c r="P65" i="1"/>
  <c r="Q65" i="1" s="1"/>
  <c r="T65" i="1" s="1"/>
  <c r="R67" i="1"/>
  <c r="P70" i="1"/>
  <c r="Q70" i="1" s="1"/>
  <c r="P73" i="1"/>
  <c r="Q73" i="1" s="1"/>
  <c r="P77" i="1"/>
  <c r="Q77" i="1" s="1"/>
  <c r="P81" i="1"/>
  <c r="Q81" i="1" s="1"/>
  <c r="P85" i="1"/>
  <c r="Q85" i="1" s="1"/>
  <c r="P89" i="1"/>
  <c r="Q89" i="1" s="1"/>
  <c r="P93" i="1"/>
  <c r="Q93" i="1" s="1"/>
  <c r="P97" i="1"/>
  <c r="Q97" i="1" s="1"/>
  <c r="P101" i="1"/>
  <c r="Q101" i="1" s="1"/>
  <c r="P105" i="1"/>
  <c r="Q105" i="1" s="1"/>
  <c r="R106" i="1"/>
  <c r="R107" i="1"/>
  <c r="R110" i="1"/>
  <c r="R111" i="1"/>
  <c r="R115" i="1"/>
  <c r="R119" i="1"/>
  <c r="R69" i="1"/>
  <c r="R72" i="1"/>
  <c r="R87" i="1"/>
  <c r="R95" i="1"/>
  <c r="R103" i="1"/>
  <c r="P19" i="1"/>
  <c r="R83" i="1"/>
  <c r="R91" i="1"/>
  <c r="P8" i="1"/>
  <c r="Q8" i="1" s="1"/>
  <c r="R8" i="1" s="1"/>
  <c r="P15" i="1"/>
  <c r="R18" i="1"/>
  <c r="R100" i="1"/>
  <c r="Q167" i="1"/>
  <c r="R308" i="1"/>
  <c r="N36" i="1"/>
  <c r="P109" i="1"/>
  <c r="Q109" i="1" s="1"/>
  <c r="T109" i="1" s="1"/>
  <c r="P113" i="1"/>
  <c r="Q113" i="1" s="1"/>
  <c r="T113" i="1" s="1"/>
  <c r="P117" i="1"/>
  <c r="Q117" i="1" s="1"/>
  <c r="T117" i="1" s="1"/>
  <c r="R177" i="1"/>
  <c r="R179" i="1"/>
  <c r="R181" i="1"/>
  <c r="R189" i="1"/>
  <c r="R193" i="1"/>
  <c r="R195" i="1"/>
  <c r="R199" i="1"/>
  <c r="R203" i="1"/>
  <c r="R209" i="1"/>
  <c r="R211" i="1"/>
  <c r="P235" i="1"/>
  <c r="Q235" i="1" s="1"/>
  <c r="P239" i="1"/>
  <c r="Q239" i="1" s="1"/>
  <c r="P243" i="1"/>
  <c r="Q243" i="1" s="1"/>
  <c r="P247" i="1"/>
  <c r="Q247" i="1" s="1"/>
  <c r="P251" i="1"/>
  <c r="Q251" i="1" s="1"/>
  <c r="P255" i="1"/>
  <c r="Q255" i="1" s="1"/>
  <c r="P271" i="1"/>
  <c r="R271" i="1"/>
  <c r="P281" i="1"/>
  <c r="R281" i="1"/>
  <c r="R288" i="1"/>
  <c r="P302" i="1"/>
  <c r="Q302" i="1" s="1"/>
  <c r="T302" i="1" s="1"/>
  <c r="P306" i="1"/>
  <c r="Q306" i="1" s="1"/>
  <c r="T306" i="1" s="1"/>
  <c r="G308" i="1"/>
  <c r="P308" i="1" s="1"/>
  <c r="P311" i="1"/>
  <c r="P318" i="1"/>
  <c r="Q318" i="1" s="1"/>
  <c r="T318" i="1" s="1"/>
  <c r="P329" i="1"/>
  <c r="Q329" i="1" s="1"/>
  <c r="T329" i="1" s="1"/>
  <c r="R332" i="1"/>
  <c r="P336" i="1"/>
  <c r="Q336" i="1" s="1"/>
  <c r="T336" i="1" s="1"/>
  <c r="Q340" i="1"/>
  <c r="T340" i="1" s="1"/>
  <c r="M259" i="1"/>
  <c r="P121" i="1"/>
  <c r="Q121" i="1" s="1"/>
  <c r="P122" i="1"/>
  <c r="Q122" i="1" s="1"/>
  <c r="R122" i="1" s="1"/>
  <c r="P123" i="1"/>
  <c r="Q123" i="1" s="1"/>
  <c r="R123" i="1" s="1"/>
  <c r="P124" i="1"/>
  <c r="Q124" i="1" s="1"/>
  <c r="R124" i="1" s="1"/>
  <c r="P125" i="1"/>
  <c r="Q125" i="1" s="1"/>
  <c r="R125" i="1" s="1"/>
  <c r="P126" i="1"/>
  <c r="Q126" i="1" s="1"/>
  <c r="R126" i="1" s="1"/>
  <c r="P127" i="1"/>
  <c r="Q127" i="1" s="1"/>
  <c r="R127" i="1" s="1"/>
  <c r="P128" i="1"/>
  <c r="Q128" i="1" s="1"/>
  <c r="R128" i="1" s="1"/>
  <c r="P129" i="1"/>
  <c r="Q129" i="1" s="1"/>
  <c r="R129" i="1" s="1"/>
  <c r="P130" i="1"/>
  <c r="Q130" i="1" s="1"/>
  <c r="R130" i="1" s="1"/>
  <c r="P131" i="1"/>
  <c r="Q131" i="1" s="1"/>
  <c r="R131" i="1" s="1"/>
  <c r="P132" i="1"/>
  <c r="Q132" i="1" s="1"/>
  <c r="R132" i="1" s="1"/>
  <c r="P133" i="1"/>
  <c r="Q133" i="1" s="1"/>
  <c r="R133" i="1" s="1"/>
  <c r="P134" i="1"/>
  <c r="Q134" i="1" s="1"/>
  <c r="R134" i="1" s="1"/>
  <c r="P135" i="1"/>
  <c r="Q135" i="1" s="1"/>
  <c r="R135" i="1" s="1"/>
  <c r="P136" i="1"/>
  <c r="Q136" i="1" s="1"/>
  <c r="R136" i="1" s="1"/>
  <c r="P137" i="1"/>
  <c r="Q137" i="1" s="1"/>
  <c r="R137" i="1" s="1"/>
  <c r="P138" i="1"/>
  <c r="Q138" i="1" s="1"/>
  <c r="R138" i="1" s="1"/>
  <c r="P139" i="1"/>
  <c r="Q139" i="1" s="1"/>
  <c r="R139" i="1" s="1"/>
  <c r="P140" i="1"/>
  <c r="Q140" i="1" s="1"/>
  <c r="R140" i="1" s="1"/>
  <c r="P141" i="1"/>
  <c r="Q141" i="1" s="1"/>
  <c r="R141" i="1" s="1"/>
  <c r="P142" i="1"/>
  <c r="Q142" i="1" s="1"/>
  <c r="R142" i="1" s="1"/>
  <c r="P143" i="1"/>
  <c r="Q143" i="1" s="1"/>
  <c r="R143" i="1" s="1"/>
  <c r="P144" i="1"/>
  <c r="Q144" i="1" s="1"/>
  <c r="R144" i="1" s="1"/>
  <c r="P145" i="1"/>
  <c r="Q145" i="1" s="1"/>
  <c r="R145" i="1" s="1"/>
  <c r="P146" i="1"/>
  <c r="Q146" i="1" s="1"/>
  <c r="R146" i="1" s="1"/>
  <c r="P147" i="1"/>
  <c r="Q147" i="1" s="1"/>
  <c r="R147" i="1" s="1"/>
  <c r="P148" i="1"/>
  <c r="Q148" i="1" s="1"/>
  <c r="R148" i="1" s="1"/>
  <c r="P149" i="1"/>
  <c r="Q149" i="1" s="1"/>
  <c r="R149" i="1" s="1"/>
  <c r="P150" i="1"/>
  <c r="Q150" i="1" s="1"/>
  <c r="R150" i="1" s="1"/>
  <c r="P151" i="1"/>
  <c r="Q151" i="1" s="1"/>
  <c r="R151" i="1" s="1"/>
  <c r="P152" i="1"/>
  <c r="Q152" i="1" s="1"/>
  <c r="R152" i="1" s="1"/>
  <c r="P153" i="1"/>
  <c r="Q153" i="1" s="1"/>
  <c r="R153" i="1" s="1"/>
  <c r="P154" i="1"/>
  <c r="Q154" i="1" s="1"/>
  <c r="R154" i="1" s="1"/>
  <c r="P155" i="1"/>
  <c r="Q155" i="1" s="1"/>
  <c r="R155" i="1" s="1"/>
  <c r="P156" i="1"/>
  <c r="Q156" i="1" s="1"/>
  <c r="R156" i="1" s="1"/>
  <c r="P157" i="1"/>
  <c r="Q157" i="1" s="1"/>
  <c r="R157" i="1" s="1"/>
  <c r="P158" i="1"/>
  <c r="Q158" i="1" s="1"/>
  <c r="R158" i="1" s="1"/>
  <c r="P159" i="1"/>
  <c r="Q159" i="1" s="1"/>
  <c r="R159" i="1" s="1"/>
  <c r="P160" i="1"/>
  <c r="Q160" i="1" s="1"/>
  <c r="R160" i="1" s="1"/>
  <c r="P161" i="1"/>
  <c r="Q161" i="1" s="1"/>
  <c r="R161" i="1" s="1"/>
  <c r="P162" i="1"/>
  <c r="Q162" i="1" s="1"/>
  <c r="R162" i="1" s="1"/>
  <c r="P163" i="1"/>
  <c r="Q163" i="1" s="1"/>
  <c r="R163" i="1" s="1"/>
  <c r="P164" i="1"/>
  <c r="Q164" i="1" s="1"/>
  <c r="R164" i="1" s="1"/>
  <c r="P165" i="1"/>
  <c r="Q165" i="1" s="1"/>
  <c r="R165" i="1" s="1"/>
  <c r="P166" i="1"/>
  <c r="Q166" i="1" s="1"/>
  <c r="R166" i="1" s="1"/>
  <c r="P169" i="1"/>
  <c r="Q169" i="1" s="1"/>
  <c r="R169" i="1" s="1"/>
  <c r="P173" i="1"/>
  <c r="Q173" i="1" s="1"/>
  <c r="R173" i="1" s="1"/>
  <c r="R227" i="1"/>
  <c r="R236" i="1"/>
  <c r="R237" i="1"/>
  <c r="R245" i="1"/>
  <c r="R248" i="1"/>
  <c r="R252" i="1"/>
  <c r="R253" i="1"/>
  <c r="R256" i="1"/>
  <c r="Q290" i="1"/>
  <c r="R265" i="1"/>
  <c r="R274" i="1"/>
  <c r="P289" i="1"/>
  <c r="R289" i="1"/>
  <c r="P299" i="1"/>
  <c r="Q299" i="1" s="1"/>
  <c r="T299" i="1" s="1"/>
  <c r="P303" i="1"/>
  <c r="Q303" i="1" s="1"/>
  <c r="T303" i="1" s="1"/>
  <c r="R303" i="1"/>
  <c r="R311" i="1"/>
  <c r="P314" i="1"/>
  <c r="P316" i="1"/>
  <c r="R316" i="1"/>
  <c r="R317" i="1"/>
  <c r="P317" i="1"/>
  <c r="P326" i="1"/>
  <c r="Q326" i="1" s="1"/>
  <c r="T326" i="1" s="1"/>
  <c r="R326" i="1"/>
  <c r="R328" i="1"/>
  <c r="P333" i="1"/>
  <c r="Q333" i="1" s="1"/>
  <c r="T333" i="1" s="1"/>
  <c r="R335" i="1"/>
  <c r="P343" i="1"/>
  <c r="Q343" i="1" s="1"/>
  <c r="T343" i="1" s="1"/>
  <c r="R167" i="1"/>
  <c r="P168" i="1"/>
  <c r="Q168" i="1" s="1"/>
  <c r="R168" i="1" s="1"/>
  <c r="P172" i="1"/>
  <c r="Q172" i="1" s="1"/>
  <c r="R172" i="1" s="1"/>
  <c r="R234" i="1"/>
  <c r="R238" i="1"/>
  <c r="R242" i="1"/>
  <c r="R250" i="1"/>
  <c r="R254" i="1"/>
  <c r="T267" i="1"/>
  <c r="R267" i="1"/>
  <c r="P268" i="1"/>
  <c r="P272" i="1"/>
  <c r="P273" i="1"/>
  <c r="R273" i="1"/>
  <c r="N312" i="1"/>
  <c r="M351" i="1"/>
  <c r="R313" i="1"/>
  <c r="P313" i="1"/>
  <c r="P327" i="1"/>
  <c r="Q327" i="1" s="1"/>
  <c r="T327" i="1" s="1"/>
  <c r="P334" i="1"/>
  <c r="Q334" i="1" s="1"/>
  <c r="T334" i="1" s="1"/>
  <c r="R224" i="1"/>
  <c r="R226" i="1"/>
  <c r="P277" i="1"/>
  <c r="R277" i="1"/>
  <c r="R285" i="1"/>
  <c r="P298" i="1"/>
  <c r="Q298" i="1" s="1"/>
  <c r="R298" i="1" s="1"/>
  <c r="R310" i="1"/>
  <c r="P310" i="1"/>
  <c r="P339" i="1"/>
  <c r="Q339" i="1" s="1"/>
  <c r="T339" i="1" s="1"/>
  <c r="R340" i="1"/>
  <c r="N221" i="1"/>
  <c r="R266" i="1"/>
  <c r="R268" i="1"/>
  <c r="P270" i="1"/>
  <c r="R272" i="1"/>
  <c r="R276" i="1"/>
  <c r="R280" i="1"/>
  <c r="R287" i="1"/>
  <c r="T289" i="1"/>
  <c r="M290" i="1"/>
  <c r="R300" i="1"/>
  <c r="R304" i="1"/>
  <c r="N325" i="1"/>
  <c r="R331" i="1"/>
  <c r="R338" i="1"/>
  <c r="Q341" i="1"/>
  <c r="T341" i="1" s="1"/>
  <c r="M366" i="1"/>
  <c r="T374" i="1"/>
  <c r="P375" i="1"/>
  <c r="Q375" i="1" s="1"/>
  <c r="R375" i="1"/>
  <c r="S378" i="1"/>
  <c r="T378" i="1" s="1"/>
  <c r="R378" i="1"/>
  <c r="Q386" i="1"/>
  <c r="T386" i="1" s="1"/>
  <c r="Q387" i="1"/>
  <c r="T387" i="1" s="1"/>
  <c r="P285" i="1"/>
  <c r="P287" i="1"/>
  <c r="R301" i="1"/>
  <c r="R305" i="1"/>
  <c r="R319" i="1"/>
  <c r="P319" i="1"/>
  <c r="R322" i="1"/>
  <c r="P322" i="1"/>
  <c r="P323" i="1"/>
  <c r="Q323" i="1" s="1"/>
  <c r="T323" i="1" s="1"/>
  <c r="P330" i="1"/>
  <c r="Q330" i="1" s="1"/>
  <c r="P337" i="1"/>
  <c r="Q337" i="1" s="1"/>
  <c r="R342" i="1"/>
  <c r="Q344" i="1"/>
  <c r="T344" i="1" s="1"/>
  <c r="Q346" i="1"/>
  <c r="Q349" i="1"/>
  <c r="T349" i="1" s="1"/>
  <c r="S370" i="1"/>
  <c r="T370" i="1" s="1"/>
  <c r="S371" i="1"/>
  <c r="T371" i="1" s="1"/>
  <c r="T376" i="1"/>
  <c r="T379" i="1"/>
  <c r="P380" i="1"/>
  <c r="Q380" i="1" s="1"/>
  <c r="R380" i="1" s="1"/>
  <c r="P384" i="1"/>
  <c r="Q384" i="1" s="1"/>
  <c r="T384" i="1" s="1"/>
  <c r="G470" i="1"/>
  <c r="Q427" i="1"/>
  <c r="R427" i="1" s="1"/>
  <c r="Q345" i="1"/>
  <c r="T345" i="1" s="1"/>
  <c r="R348" i="1"/>
  <c r="P355" i="1"/>
  <c r="Q355" i="1" s="1"/>
  <c r="T355" i="1" s="1"/>
  <c r="S416" i="1"/>
  <c r="T416" i="1" s="1"/>
  <c r="S429" i="1"/>
  <c r="T429" i="1" s="1"/>
  <c r="S431" i="1"/>
  <c r="T431" i="1" s="1"/>
  <c r="S433" i="1"/>
  <c r="T433" i="1" s="1"/>
  <c r="R349" i="1"/>
  <c r="V357" i="1"/>
  <c r="N357" i="1"/>
  <c r="M358" i="1"/>
  <c r="V362" i="1"/>
  <c r="N362" i="1"/>
  <c r="N366" i="1" s="1"/>
  <c r="V363" i="1"/>
  <c r="N363" i="1"/>
  <c r="P365" i="1"/>
  <c r="Q365" i="1" s="1"/>
  <c r="T365" i="1" s="1"/>
  <c r="T369" i="1"/>
  <c r="T372" i="1"/>
  <c r="S372" i="1"/>
  <c r="S373" i="1"/>
  <c r="T373" i="1" s="1"/>
  <c r="R373" i="1"/>
  <c r="T385" i="1"/>
  <c r="R385" i="1"/>
  <c r="T434" i="1"/>
  <c r="R434" i="1"/>
  <c r="C351" i="1"/>
  <c r="C482" i="1" s="1"/>
  <c r="R370" i="1"/>
  <c r="S377" i="1"/>
  <c r="T377" i="1" s="1"/>
  <c r="R381" i="1"/>
  <c r="P381" i="1"/>
  <c r="R383" i="1"/>
  <c r="P395" i="1"/>
  <c r="P418" i="1"/>
  <c r="Q418" i="1" s="1"/>
  <c r="R418" i="1"/>
  <c r="Q419" i="1"/>
  <c r="P424" i="1"/>
  <c r="Q424" i="1" s="1"/>
  <c r="R424" i="1" s="1"/>
  <c r="Q425" i="1"/>
  <c r="T428" i="1"/>
  <c r="S428" i="1"/>
  <c r="G307" i="1"/>
  <c r="G351" i="1" s="1"/>
  <c r="N307" i="1"/>
  <c r="T309" i="1"/>
  <c r="P347" i="1"/>
  <c r="Q347" i="1" s="1"/>
  <c r="T347" i="1" s="1"/>
  <c r="R356" i="1"/>
  <c r="P364" i="1"/>
  <c r="Q364" i="1" s="1"/>
  <c r="T364" i="1" s="1"/>
  <c r="V364" i="1"/>
  <c r="G366" i="1"/>
  <c r="M389" i="1"/>
  <c r="N369" i="1"/>
  <c r="R372" i="1"/>
  <c r="R377" i="1"/>
  <c r="P394" i="1"/>
  <c r="P404" i="1"/>
  <c r="R428" i="1"/>
  <c r="Q435" i="1"/>
  <c r="T435" i="1" s="1"/>
  <c r="P437" i="1"/>
  <c r="Q437" i="1" s="1"/>
  <c r="T437" i="1" s="1"/>
  <c r="P441" i="1"/>
  <c r="Q441" i="1" s="1"/>
  <c r="T441" i="1" s="1"/>
  <c r="Q354" i="1"/>
  <c r="R354" i="1" s="1"/>
  <c r="V355" i="1"/>
  <c r="T356" i="1"/>
  <c r="N358" i="1"/>
  <c r="P361" i="1"/>
  <c r="V365" i="1"/>
  <c r="R376" i="1"/>
  <c r="R382" i="1"/>
  <c r="R386" i="1"/>
  <c r="P451" i="1"/>
  <c r="Q451" i="1" s="1"/>
  <c r="T451" i="1" s="1"/>
  <c r="R451" i="1"/>
  <c r="N470" i="1"/>
  <c r="P399" i="1"/>
  <c r="P403" i="1"/>
  <c r="P407" i="1"/>
  <c r="P411" i="1"/>
  <c r="P415" i="1"/>
  <c r="Q415" i="1" s="1"/>
  <c r="R419" i="1"/>
  <c r="R425" i="1"/>
  <c r="P430" i="1"/>
  <c r="Q430" i="1" s="1"/>
  <c r="R430" i="1"/>
  <c r="R435" i="1"/>
  <c r="P439" i="1"/>
  <c r="Q439" i="1" s="1"/>
  <c r="T439" i="1" s="1"/>
  <c r="P396" i="1"/>
  <c r="P417" i="1"/>
  <c r="Q417" i="1" s="1"/>
  <c r="R421" i="1"/>
  <c r="P432" i="1"/>
  <c r="Q432" i="1" s="1"/>
  <c r="R432" i="1" s="1"/>
  <c r="R433" i="1"/>
  <c r="R448" i="1"/>
  <c r="R456" i="1"/>
  <c r="R464" i="1"/>
  <c r="N480" i="1"/>
  <c r="P472" i="1"/>
  <c r="R474" i="1"/>
  <c r="P459" i="1"/>
  <c r="Q459" i="1" s="1"/>
  <c r="T459" i="1" s="1"/>
  <c r="P467" i="1"/>
  <c r="Q467" i="1" s="1"/>
  <c r="T467" i="1" s="1"/>
  <c r="R429" i="1"/>
  <c r="M470" i="1"/>
  <c r="Q444" i="1"/>
  <c r="T444" i="1" s="1"/>
  <c r="Q446" i="1"/>
  <c r="T446" i="1" s="1"/>
  <c r="Q449" i="1"/>
  <c r="T449" i="1" s="1"/>
  <c r="Q454" i="1"/>
  <c r="T454" i="1" s="1"/>
  <c r="Q457" i="1"/>
  <c r="T457" i="1" s="1"/>
  <c r="Q462" i="1"/>
  <c r="T462" i="1" s="1"/>
  <c r="Q465" i="1"/>
  <c r="T465" i="1" s="1"/>
  <c r="U480" i="1"/>
  <c r="R431" i="1"/>
  <c r="P434" i="1"/>
  <c r="R438" i="1"/>
  <c r="P440" i="1"/>
  <c r="Q440" i="1" s="1"/>
  <c r="P442" i="1"/>
  <c r="Q442" i="1" s="1"/>
  <c r="T442" i="1" s="1"/>
  <c r="Q447" i="1"/>
  <c r="R449" i="1"/>
  <c r="R450" i="1"/>
  <c r="Q452" i="1"/>
  <c r="T452" i="1" s="1"/>
  <c r="Q455" i="1"/>
  <c r="R457" i="1"/>
  <c r="R458" i="1"/>
  <c r="Q460" i="1"/>
  <c r="T460" i="1" s="1"/>
  <c r="Q463" i="1"/>
  <c r="R466" i="1"/>
  <c r="Q468" i="1"/>
  <c r="T468" i="1" s="1"/>
  <c r="Q473" i="1"/>
  <c r="T473" i="1" s="1"/>
  <c r="Q477" i="1"/>
  <c r="T477" i="1" s="1"/>
  <c r="R478" i="1"/>
  <c r="P474" i="1"/>
  <c r="Q474" i="1" s="1"/>
  <c r="T474" i="1" s="1"/>
  <c r="P478" i="1"/>
  <c r="Q478" i="1" s="1"/>
  <c r="T478" i="1" s="1"/>
  <c r="R420" i="1" l="1"/>
  <c r="S420" i="1"/>
  <c r="T420" i="1" s="1"/>
  <c r="R426" i="1"/>
  <c r="S426" i="1"/>
  <c r="T426" i="1" s="1"/>
  <c r="R477" i="1"/>
  <c r="R467" i="1"/>
  <c r="R441" i="1"/>
  <c r="R365" i="1"/>
  <c r="S423" i="1"/>
  <c r="T423" i="1" s="1"/>
  <c r="Q389" i="1"/>
  <c r="T469" i="1"/>
  <c r="R469" i="1"/>
  <c r="T445" i="1"/>
  <c r="R445" i="1"/>
  <c r="R423" i="1"/>
  <c r="R452" i="1"/>
  <c r="R341" i="1"/>
  <c r="R318" i="1"/>
  <c r="R306" i="1"/>
  <c r="R48" i="1"/>
  <c r="R475" i="1"/>
  <c r="T59" i="1"/>
  <c r="R59" i="1"/>
  <c r="T78" i="1"/>
  <c r="R78" i="1"/>
  <c r="R117" i="1"/>
  <c r="R51" i="1"/>
  <c r="R71" i="1"/>
  <c r="R246" i="1"/>
  <c r="R244" i="1"/>
  <c r="R52" i="1"/>
  <c r="R99" i="1"/>
  <c r="R37" i="1"/>
  <c r="R90" i="1"/>
  <c r="R79" i="1"/>
  <c r="R44" i="1"/>
  <c r="R258" i="1"/>
  <c r="R240" i="1"/>
  <c r="R35" i="1"/>
  <c r="R23" i="1"/>
  <c r="R40" i="1"/>
  <c r="R92" i="1"/>
  <c r="T62" i="1"/>
  <c r="R62" i="1"/>
  <c r="T241" i="1"/>
  <c r="R241" i="1"/>
  <c r="T114" i="1"/>
  <c r="R114" i="1"/>
  <c r="R38" i="1"/>
  <c r="R80" i="1"/>
  <c r="R257" i="1"/>
  <c r="R249" i="1"/>
  <c r="R233" i="1"/>
  <c r="R53" i="1"/>
  <c r="R68" i="1"/>
  <c r="R54" i="1"/>
  <c r="R21" i="1"/>
  <c r="R76" i="1"/>
  <c r="R32" i="1"/>
  <c r="R26" i="1"/>
  <c r="R98" i="1"/>
  <c r="R82" i="1"/>
  <c r="R112" i="1"/>
  <c r="R60" i="1"/>
  <c r="R66" i="1"/>
  <c r="N5" i="17"/>
  <c r="M78" i="17"/>
  <c r="P470" i="1"/>
  <c r="T30" i="1"/>
  <c r="R442" i="1"/>
  <c r="R473" i="1"/>
  <c r="R355" i="1"/>
  <c r="R334" i="1"/>
  <c r="R290" i="1"/>
  <c r="M482" i="1"/>
  <c r="R65" i="1"/>
  <c r="N12" i="19"/>
  <c r="N3" i="18"/>
  <c r="N101" i="18" s="1"/>
  <c r="M101" i="18"/>
  <c r="G8" i="13"/>
  <c r="P11" i="19"/>
  <c r="J14" i="13" s="1"/>
  <c r="O12" i="19"/>
  <c r="G11" i="13"/>
  <c r="G11" i="20"/>
  <c r="G67" i="16"/>
  <c r="I11" i="16"/>
  <c r="G75" i="16"/>
  <c r="I105" i="16"/>
  <c r="F185" i="16"/>
  <c r="H195" i="16"/>
  <c r="E200" i="16" s="1"/>
  <c r="F150" i="16"/>
  <c r="F75" i="16"/>
  <c r="F76" i="16" s="1"/>
  <c r="I80" i="16"/>
  <c r="G150" i="16"/>
  <c r="J63" i="15"/>
  <c r="J24" i="15"/>
  <c r="J6" i="15"/>
  <c r="L83" i="15"/>
  <c r="T463" i="1"/>
  <c r="R463" i="1"/>
  <c r="T455" i="1"/>
  <c r="R455" i="1"/>
  <c r="T447" i="1"/>
  <c r="R447" i="1"/>
  <c r="R460" i="1"/>
  <c r="R459" i="1"/>
  <c r="R439" i="1"/>
  <c r="S430" i="1"/>
  <c r="T430" i="1" s="1"/>
  <c r="R444" i="1"/>
  <c r="R437" i="1"/>
  <c r="R307" i="1"/>
  <c r="P307" i="1"/>
  <c r="S425" i="1"/>
  <c r="T425" i="1" s="1"/>
  <c r="P357" i="1"/>
  <c r="P389" i="1"/>
  <c r="R347" i="1"/>
  <c r="R384" i="1"/>
  <c r="T346" i="1"/>
  <c r="R346" i="1"/>
  <c r="T337" i="1"/>
  <c r="R337" i="1"/>
  <c r="S375" i="1"/>
  <c r="T375" i="1" s="1"/>
  <c r="R344" i="1"/>
  <c r="P325" i="1"/>
  <c r="Q325" i="1" s="1"/>
  <c r="T325" i="1" s="1"/>
  <c r="N351" i="1"/>
  <c r="R339" i="1"/>
  <c r="R333" i="1"/>
  <c r="R329" i="1"/>
  <c r="R302" i="1"/>
  <c r="T251" i="1"/>
  <c r="R251" i="1"/>
  <c r="T235" i="1"/>
  <c r="R235" i="1"/>
  <c r="R109" i="1"/>
  <c r="R118" i="1"/>
  <c r="R101" i="1"/>
  <c r="T101" i="1"/>
  <c r="R85" i="1"/>
  <c r="T85" i="1"/>
  <c r="R70" i="1"/>
  <c r="T70" i="1"/>
  <c r="R64" i="1"/>
  <c r="T64" i="1"/>
  <c r="T57" i="1"/>
  <c r="R57" i="1"/>
  <c r="T29" i="1"/>
  <c r="R29" i="1"/>
  <c r="R104" i="1"/>
  <c r="R88" i="1"/>
  <c r="Q12" i="1"/>
  <c r="R468" i="1"/>
  <c r="Q361" i="1"/>
  <c r="S419" i="1"/>
  <c r="T419" i="1" s="1"/>
  <c r="R387" i="1"/>
  <c r="P362" i="1"/>
  <c r="Q362" i="1" s="1"/>
  <c r="T362" i="1" s="1"/>
  <c r="T330" i="1"/>
  <c r="R330" i="1"/>
  <c r="R323" i="1"/>
  <c r="T298" i="1"/>
  <c r="R343" i="1"/>
  <c r="R299" i="1"/>
  <c r="R336" i="1"/>
  <c r="T247" i="1"/>
  <c r="R247" i="1"/>
  <c r="R121" i="1"/>
  <c r="R97" i="1"/>
  <c r="T97" i="1"/>
  <c r="R81" i="1"/>
  <c r="T81" i="1"/>
  <c r="T50" i="1"/>
  <c r="R50" i="1"/>
  <c r="R12" i="1"/>
  <c r="R34" i="1"/>
  <c r="T440" i="1"/>
  <c r="R440" i="1"/>
  <c r="S417" i="1"/>
  <c r="T417" i="1" s="1"/>
  <c r="R462" i="1"/>
  <c r="S424" i="1"/>
  <c r="T424" i="1" s="1"/>
  <c r="T427" i="1"/>
  <c r="S427" i="1"/>
  <c r="P221" i="1"/>
  <c r="Q221" i="1" s="1"/>
  <c r="R221" i="1" s="1"/>
  <c r="T243" i="1"/>
  <c r="R243" i="1"/>
  <c r="N259" i="1"/>
  <c r="T93" i="1"/>
  <c r="R93" i="1"/>
  <c r="R77" i="1"/>
  <c r="T77" i="1"/>
  <c r="T24" i="1"/>
  <c r="R24" i="1"/>
  <c r="R465" i="1"/>
  <c r="P480" i="1"/>
  <c r="Q472" i="1"/>
  <c r="S432" i="1"/>
  <c r="T432" i="1" s="1"/>
  <c r="S415" i="1"/>
  <c r="Q470" i="1"/>
  <c r="T415" i="1"/>
  <c r="T354" i="1"/>
  <c r="R369" i="1"/>
  <c r="R389" i="1" s="1"/>
  <c r="N389" i="1"/>
  <c r="R446" i="1"/>
  <c r="S418" i="1"/>
  <c r="T418" i="1" s="1"/>
  <c r="R364" i="1"/>
  <c r="P363" i="1"/>
  <c r="Q363" i="1" s="1"/>
  <c r="T363" i="1" s="1"/>
  <c r="R454" i="1"/>
  <c r="T380" i="1"/>
  <c r="S380" i="1"/>
  <c r="U389" i="1" s="1"/>
  <c r="R345" i="1"/>
  <c r="R327" i="1"/>
  <c r="R312" i="1"/>
  <c r="P312" i="1"/>
  <c r="T255" i="1"/>
  <c r="R255" i="1"/>
  <c r="T239" i="1"/>
  <c r="R239" i="1"/>
  <c r="P36" i="1"/>
  <c r="Q36" i="1" s="1"/>
  <c r="T36" i="1" s="1"/>
  <c r="X8" i="1"/>
  <c r="T8" i="1"/>
  <c r="R113" i="1"/>
  <c r="R105" i="1"/>
  <c r="T105" i="1"/>
  <c r="R89" i="1"/>
  <c r="T89" i="1"/>
  <c r="T73" i="1"/>
  <c r="R73" i="1"/>
  <c r="S27" i="1"/>
  <c r="H27" i="3"/>
  <c r="H26" i="3"/>
  <c r="H25" i="3"/>
  <c r="H24" i="3"/>
  <c r="H23" i="3"/>
  <c r="H22" i="3"/>
  <c r="H21" i="3"/>
  <c r="H20" i="3"/>
  <c r="H19" i="3"/>
  <c r="H18" i="3"/>
  <c r="H17" i="3"/>
  <c r="H16" i="3"/>
  <c r="H15" i="3"/>
  <c r="H14" i="3"/>
  <c r="H13" i="3"/>
  <c r="H12" i="3"/>
  <c r="H11" i="3"/>
  <c r="H10" i="3"/>
  <c r="H9" i="3"/>
  <c r="H8" i="3"/>
  <c r="H7" i="3"/>
  <c r="L27" i="3"/>
  <c r="L26" i="3"/>
  <c r="L25" i="3"/>
  <c r="L24" i="3"/>
  <c r="L23" i="3"/>
  <c r="L22" i="3"/>
  <c r="L21" i="3"/>
  <c r="L20" i="3"/>
  <c r="L19" i="3"/>
  <c r="L18" i="3"/>
  <c r="L17" i="3"/>
  <c r="L16" i="3"/>
  <c r="L15" i="3"/>
  <c r="L14" i="3"/>
  <c r="L13" i="3"/>
  <c r="L12" i="3"/>
  <c r="L11" i="3"/>
  <c r="L10" i="3"/>
  <c r="L9" i="3"/>
  <c r="L8" i="3"/>
  <c r="L7" i="3"/>
  <c r="L23" i="10"/>
  <c r="L22" i="10"/>
  <c r="L21" i="10"/>
  <c r="L20" i="10"/>
  <c r="L19" i="10"/>
  <c r="L18" i="10"/>
  <c r="L17" i="10"/>
  <c r="L16" i="10"/>
  <c r="L15" i="10"/>
  <c r="L14" i="10"/>
  <c r="L13" i="10"/>
  <c r="L12" i="10"/>
  <c r="L11" i="10"/>
  <c r="L10" i="10"/>
  <c r="L9" i="10"/>
  <c r="L8" i="10"/>
  <c r="L7" i="10"/>
  <c r="L6" i="10"/>
  <c r="L5" i="10"/>
  <c r="L4" i="10"/>
  <c r="L3" i="10"/>
  <c r="H23" i="10"/>
  <c r="H22" i="10"/>
  <c r="H21" i="10"/>
  <c r="H20" i="10"/>
  <c r="H19" i="10"/>
  <c r="H18" i="10"/>
  <c r="H17" i="10"/>
  <c r="H16" i="10"/>
  <c r="H15" i="10"/>
  <c r="H14" i="10"/>
  <c r="H13" i="10"/>
  <c r="H12" i="10"/>
  <c r="H11" i="10"/>
  <c r="H10" i="10"/>
  <c r="H9" i="10"/>
  <c r="H8" i="10"/>
  <c r="H7" i="10"/>
  <c r="H6" i="10"/>
  <c r="H5" i="10"/>
  <c r="H4" i="10"/>
  <c r="H3" i="10"/>
  <c r="L13" i="5"/>
  <c r="L12" i="5"/>
  <c r="L11" i="5"/>
  <c r="L10" i="5"/>
  <c r="L9" i="5"/>
  <c r="L8" i="5"/>
  <c r="L7" i="5"/>
  <c r="L6" i="5"/>
  <c r="H13" i="5"/>
  <c r="H12" i="5"/>
  <c r="H11" i="5"/>
  <c r="H10" i="5"/>
  <c r="H9" i="5"/>
  <c r="H8" i="5"/>
  <c r="H7" i="5"/>
  <c r="H6" i="5"/>
  <c r="L6" i="3"/>
  <c r="H6" i="3"/>
  <c r="J83" i="15" l="1"/>
  <c r="G9" i="20"/>
  <c r="G17" i="20" s="1"/>
  <c r="G9" i="13"/>
  <c r="G15" i="13" s="1"/>
  <c r="H9" i="20"/>
  <c r="H17" i="20" s="1"/>
  <c r="H9" i="13"/>
  <c r="H15" i="13" s="1"/>
  <c r="O5" i="17"/>
  <c r="J11" i="13" s="1"/>
  <c r="N78" i="17"/>
  <c r="R470" i="1"/>
  <c r="N482" i="1"/>
  <c r="F154" i="16"/>
  <c r="F160" i="16" s="1"/>
  <c r="O3" i="18"/>
  <c r="J13" i="13" s="1"/>
  <c r="E201" i="16"/>
  <c r="J185" i="16"/>
  <c r="G185" i="16"/>
  <c r="G192" i="16" s="1"/>
  <c r="G76" i="16"/>
  <c r="G154" i="16" s="1"/>
  <c r="R362" i="1"/>
  <c r="R325" i="1"/>
  <c r="R351" i="1" s="1"/>
  <c r="P351" i="1"/>
  <c r="Q480" i="1"/>
  <c r="T472" i="1"/>
  <c r="U472" i="1" s="1"/>
  <c r="R472" i="1"/>
  <c r="R480" i="1" s="1"/>
  <c r="P366" i="1"/>
  <c r="Q357" i="1"/>
  <c r="P358" i="1"/>
  <c r="T120" i="1"/>
  <c r="S28" i="1"/>
  <c r="T28" i="1" s="1"/>
  <c r="T27" i="1"/>
  <c r="R36" i="1"/>
  <c r="R259" i="1" s="1"/>
  <c r="R363" i="1"/>
  <c r="U470" i="1"/>
  <c r="T361" i="1"/>
  <c r="Q366" i="1"/>
  <c r="R361" i="1"/>
  <c r="R366" i="1" s="1"/>
  <c r="Q259" i="1"/>
  <c r="Q351" i="1"/>
  <c r="M25" i="3"/>
  <c r="N25" i="3" s="1"/>
  <c r="O25" i="3" s="1"/>
  <c r="M17" i="3"/>
  <c r="N17" i="3" s="1"/>
  <c r="O17" i="3" s="1"/>
  <c r="M13" i="3"/>
  <c r="N13" i="3" s="1"/>
  <c r="O13" i="3" s="1"/>
  <c r="M9" i="3"/>
  <c r="N9" i="3" s="1"/>
  <c r="O9" i="3" s="1"/>
  <c r="M8" i="10"/>
  <c r="N8" i="10" s="1"/>
  <c r="O8" i="10" s="1"/>
  <c r="M16" i="10"/>
  <c r="N16" i="10" s="1"/>
  <c r="O16" i="10" s="1"/>
  <c r="I8" i="13"/>
  <c r="M3" i="10"/>
  <c r="N3" i="10" s="1"/>
  <c r="O3" i="10" s="1"/>
  <c r="M5" i="10"/>
  <c r="N5" i="10" s="1"/>
  <c r="O5" i="10" s="1"/>
  <c r="M7" i="10"/>
  <c r="N7" i="10" s="1"/>
  <c r="O7" i="10" s="1"/>
  <c r="M9" i="10"/>
  <c r="N9" i="10" s="1"/>
  <c r="O9" i="10" s="1"/>
  <c r="M11" i="10"/>
  <c r="N11" i="10" s="1"/>
  <c r="O11" i="10" s="1"/>
  <c r="M13" i="10"/>
  <c r="N13" i="10" s="1"/>
  <c r="O13" i="10" s="1"/>
  <c r="M15" i="10"/>
  <c r="N15" i="10" s="1"/>
  <c r="O15" i="10" s="1"/>
  <c r="M17" i="10"/>
  <c r="N17" i="10" s="1"/>
  <c r="O17" i="10" s="1"/>
  <c r="M19" i="10"/>
  <c r="N19" i="10" s="1"/>
  <c r="O19" i="10" s="1"/>
  <c r="M21" i="10"/>
  <c r="N21" i="10" s="1"/>
  <c r="O21" i="10" s="1"/>
  <c r="M23" i="10"/>
  <c r="N23" i="10" s="1"/>
  <c r="O23" i="10" s="1"/>
  <c r="I12" i="13"/>
  <c r="I10" i="13"/>
  <c r="M26" i="3"/>
  <c r="N26" i="3" s="1"/>
  <c r="O26" i="3" s="1"/>
  <c r="M22" i="3"/>
  <c r="N22" i="3" s="1"/>
  <c r="O22" i="3" s="1"/>
  <c r="M18" i="3"/>
  <c r="N18" i="3" s="1"/>
  <c r="O18" i="3" s="1"/>
  <c r="M14" i="3"/>
  <c r="N14" i="3" s="1"/>
  <c r="O14" i="3" s="1"/>
  <c r="M10" i="3"/>
  <c r="N10" i="3" s="1"/>
  <c r="O10" i="3" s="1"/>
  <c r="I9" i="13"/>
  <c r="M4" i="10"/>
  <c r="N4" i="10" s="1"/>
  <c r="O4" i="10" s="1"/>
  <c r="M12" i="10"/>
  <c r="N12" i="10" s="1"/>
  <c r="O12" i="10" s="1"/>
  <c r="M20" i="10"/>
  <c r="N20" i="10" s="1"/>
  <c r="O20" i="10" s="1"/>
  <c r="M8" i="5"/>
  <c r="N8" i="5" s="1"/>
  <c r="O8" i="5" s="1"/>
  <c r="M12" i="5"/>
  <c r="N12" i="5" s="1"/>
  <c r="O12" i="5" s="1"/>
  <c r="M9" i="5"/>
  <c r="N9" i="5" s="1"/>
  <c r="O9" i="5" s="1"/>
  <c r="M13" i="5"/>
  <c r="N13" i="5" s="1"/>
  <c r="O13" i="5" s="1"/>
  <c r="M10" i="5"/>
  <c r="N10" i="5" s="1"/>
  <c r="O10" i="5" s="1"/>
  <c r="M6" i="5"/>
  <c r="N6" i="5" s="1"/>
  <c r="O6" i="5" s="1"/>
  <c r="M6" i="3"/>
  <c r="N6" i="3" s="1"/>
  <c r="M21" i="3"/>
  <c r="N21" i="3" s="1"/>
  <c r="O21" i="3" s="1"/>
  <c r="M20" i="3"/>
  <c r="N20" i="3" s="1"/>
  <c r="O20" i="3" s="1"/>
  <c r="M24" i="3"/>
  <c r="N24" i="3" s="1"/>
  <c r="O24" i="3" s="1"/>
  <c r="M8" i="3"/>
  <c r="N8" i="3" s="1"/>
  <c r="O8" i="3" s="1"/>
  <c r="M12" i="3"/>
  <c r="N12" i="3" s="1"/>
  <c r="O12" i="3" s="1"/>
  <c r="M16" i="3"/>
  <c r="N16" i="3" s="1"/>
  <c r="O16" i="3" s="1"/>
  <c r="M7" i="3"/>
  <c r="N7" i="3" s="1"/>
  <c r="O7" i="3" s="1"/>
  <c r="M11" i="3"/>
  <c r="N11" i="3" s="1"/>
  <c r="O11" i="3" s="1"/>
  <c r="M15" i="3"/>
  <c r="N15" i="3" s="1"/>
  <c r="O15" i="3" s="1"/>
  <c r="M19" i="3"/>
  <c r="N19" i="3" s="1"/>
  <c r="O19" i="3" s="1"/>
  <c r="M23" i="3"/>
  <c r="N23" i="3" s="1"/>
  <c r="O23" i="3" s="1"/>
  <c r="M27" i="3"/>
  <c r="N27" i="3" s="1"/>
  <c r="O27" i="3" s="1"/>
  <c r="M6" i="10"/>
  <c r="N6" i="10" s="1"/>
  <c r="O6" i="10" s="1"/>
  <c r="M10" i="10"/>
  <c r="N10" i="10" s="1"/>
  <c r="O10" i="10" s="1"/>
  <c r="M14" i="10"/>
  <c r="N14" i="10" s="1"/>
  <c r="O14" i="10" s="1"/>
  <c r="M18" i="10"/>
  <c r="N18" i="10" s="1"/>
  <c r="O18" i="10" s="1"/>
  <c r="M22" i="10"/>
  <c r="N22" i="10" s="1"/>
  <c r="O22" i="10" s="1"/>
  <c r="M7" i="5"/>
  <c r="N7" i="5" s="1"/>
  <c r="O7" i="5" s="1"/>
  <c r="M11" i="5"/>
  <c r="N11" i="5" s="1"/>
  <c r="O11" i="5" s="1"/>
  <c r="H5" i="2"/>
  <c r="F199" i="16" l="1"/>
  <c r="U259" i="1"/>
  <c r="U482" i="1" s="1"/>
  <c r="S482" i="1"/>
  <c r="S484" i="1"/>
  <c r="S487" i="1" s="1"/>
  <c r="T487" i="1" s="1"/>
  <c r="E209" i="16"/>
  <c r="I192" i="16"/>
  <c r="I195" i="16" s="1"/>
  <c r="F200" i="16" s="1"/>
  <c r="G200" i="16" s="1"/>
  <c r="I200" i="16" s="1"/>
  <c r="J200" i="16" s="1"/>
  <c r="G195" i="16"/>
  <c r="F201" i="16"/>
  <c r="E208" i="16" s="1"/>
  <c r="G199" i="16"/>
  <c r="T357" i="1"/>
  <c r="T482" i="1" s="1"/>
  <c r="R497" i="1" s="1"/>
  <c r="Q358" i="1"/>
  <c r="Q482" i="1" s="1"/>
  <c r="R493" i="1" s="1"/>
  <c r="R357" i="1"/>
  <c r="R358" i="1" s="1"/>
  <c r="R482" i="1" s="1"/>
  <c r="P482" i="1"/>
  <c r="I15" i="13"/>
  <c r="M14" i="5"/>
  <c r="M24" i="10"/>
  <c r="N24" i="10"/>
  <c r="J12" i="13"/>
  <c r="I6" i="2"/>
  <c r="N6" i="2" s="1"/>
  <c r="O6" i="2" s="1"/>
  <c r="P6" i="2" s="1"/>
  <c r="I7" i="2"/>
  <c r="N7" i="2" s="1"/>
  <c r="O7" i="2" s="1"/>
  <c r="P7" i="2" s="1"/>
  <c r="I8" i="2"/>
  <c r="N8" i="2" s="1"/>
  <c r="O8" i="2" s="1"/>
  <c r="P8" i="2" s="1"/>
  <c r="I9" i="2"/>
  <c r="N9" i="2" s="1"/>
  <c r="O9" i="2" s="1"/>
  <c r="P9" i="2" s="1"/>
  <c r="I10" i="2"/>
  <c r="N10" i="2" s="1"/>
  <c r="O10" i="2" s="1"/>
  <c r="P10" i="2" s="1"/>
  <c r="I11" i="2"/>
  <c r="N11" i="2" s="1"/>
  <c r="O11" i="2" s="1"/>
  <c r="P11" i="2" s="1"/>
  <c r="I12" i="2"/>
  <c r="N12" i="2" s="1"/>
  <c r="O12" i="2" s="1"/>
  <c r="P12" i="2" s="1"/>
  <c r="I13" i="2"/>
  <c r="N13" i="2" s="1"/>
  <c r="O13" i="2" s="1"/>
  <c r="P13" i="2" s="1"/>
  <c r="I14" i="2"/>
  <c r="N14" i="2" s="1"/>
  <c r="O14" i="2" s="1"/>
  <c r="P14" i="2" s="1"/>
  <c r="I15" i="2"/>
  <c r="N15" i="2" s="1"/>
  <c r="O15" i="2" s="1"/>
  <c r="P15" i="2" s="1"/>
  <c r="I16" i="2"/>
  <c r="N16" i="2" s="1"/>
  <c r="O16" i="2" s="1"/>
  <c r="P16" i="2" s="1"/>
  <c r="I17" i="2"/>
  <c r="N17" i="2" s="1"/>
  <c r="O17" i="2" s="1"/>
  <c r="P17" i="2" s="1"/>
  <c r="I18" i="2"/>
  <c r="N18" i="2" s="1"/>
  <c r="O18" i="2" s="1"/>
  <c r="P18" i="2" s="1"/>
  <c r="I19" i="2"/>
  <c r="N19" i="2" s="1"/>
  <c r="O19" i="2" s="1"/>
  <c r="P19" i="2" s="1"/>
  <c r="I20" i="2"/>
  <c r="N20" i="2" s="1"/>
  <c r="O20" i="2" s="1"/>
  <c r="P20" i="2" s="1"/>
  <c r="I21" i="2"/>
  <c r="N21" i="2" s="1"/>
  <c r="O21" i="2" s="1"/>
  <c r="P21" i="2" s="1"/>
  <c r="I22" i="2"/>
  <c r="N22" i="2" s="1"/>
  <c r="O22" i="2" s="1"/>
  <c r="P22" i="2" s="1"/>
  <c r="I23" i="2"/>
  <c r="N23" i="2" s="1"/>
  <c r="O23" i="2" s="1"/>
  <c r="P23" i="2" s="1"/>
  <c r="I24" i="2"/>
  <c r="N24" i="2" s="1"/>
  <c r="O24" i="2" s="1"/>
  <c r="P24" i="2" s="1"/>
  <c r="I25" i="2"/>
  <c r="N25" i="2" s="1"/>
  <c r="O25" i="2" s="1"/>
  <c r="P25" i="2" s="1"/>
  <c r="I26" i="2"/>
  <c r="N26" i="2" s="1"/>
  <c r="O26" i="2" s="1"/>
  <c r="P26" i="2" s="1"/>
  <c r="I27" i="2"/>
  <c r="N27" i="2" s="1"/>
  <c r="O27" i="2" s="1"/>
  <c r="P27" i="2" s="1"/>
  <c r="I28" i="2"/>
  <c r="N28" i="2" s="1"/>
  <c r="O28" i="2" s="1"/>
  <c r="P28" i="2" s="1"/>
  <c r="I29" i="2"/>
  <c r="N29" i="2" s="1"/>
  <c r="O29" i="2" s="1"/>
  <c r="P29" i="2" s="1"/>
  <c r="I30" i="2"/>
  <c r="N30" i="2" s="1"/>
  <c r="O30" i="2" s="1"/>
  <c r="P30" i="2" s="1"/>
  <c r="I31" i="2"/>
  <c r="N31" i="2" s="1"/>
  <c r="O31" i="2" s="1"/>
  <c r="P31" i="2" s="1"/>
  <c r="I32" i="2"/>
  <c r="N32" i="2" s="1"/>
  <c r="O32" i="2" s="1"/>
  <c r="P32" i="2" s="1"/>
  <c r="I33" i="2"/>
  <c r="N33" i="2" s="1"/>
  <c r="O33" i="2" s="1"/>
  <c r="P33" i="2" s="1"/>
  <c r="I34" i="2"/>
  <c r="N34" i="2" s="1"/>
  <c r="O34" i="2" s="1"/>
  <c r="P34" i="2" s="1"/>
  <c r="I35" i="2"/>
  <c r="N35" i="2" s="1"/>
  <c r="O35" i="2" s="1"/>
  <c r="P35" i="2" s="1"/>
  <c r="I36" i="2"/>
  <c r="N36" i="2" s="1"/>
  <c r="O36" i="2" s="1"/>
  <c r="P36" i="2" s="1"/>
  <c r="I37" i="2"/>
  <c r="N37" i="2" s="1"/>
  <c r="O37" i="2" s="1"/>
  <c r="P37" i="2" s="1"/>
  <c r="I38" i="2"/>
  <c r="N38" i="2" s="1"/>
  <c r="O38" i="2" s="1"/>
  <c r="P38" i="2" s="1"/>
  <c r="I39" i="2"/>
  <c r="N39" i="2" s="1"/>
  <c r="O39" i="2" s="1"/>
  <c r="P39" i="2" s="1"/>
  <c r="I40" i="2"/>
  <c r="N40" i="2" s="1"/>
  <c r="O40" i="2" s="1"/>
  <c r="P40" i="2" s="1"/>
  <c r="I41" i="2"/>
  <c r="N41" i="2" s="1"/>
  <c r="O41" i="2" s="1"/>
  <c r="P41" i="2" s="1"/>
  <c r="I42" i="2"/>
  <c r="N42" i="2" s="1"/>
  <c r="O42" i="2" s="1"/>
  <c r="P42" i="2" s="1"/>
  <c r="I43" i="2"/>
  <c r="N43" i="2" s="1"/>
  <c r="O43" i="2" s="1"/>
  <c r="P43" i="2" s="1"/>
  <c r="I44" i="2"/>
  <c r="N44" i="2" s="1"/>
  <c r="O44" i="2" s="1"/>
  <c r="P44" i="2" s="1"/>
  <c r="I45" i="2"/>
  <c r="N45" i="2" s="1"/>
  <c r="O45" i="2" s="1"/>
  <c r="P45" i="2" s="1"/>
  <c r="I46" i="2"/>
  <c r="N46" i="2" s="1"/>
  <c r="O46" i="2" s="1"/>
  <c r="P46" i="2" s="1"/>
  <c r="I47" i="2"/>
  <c r="N47" i="2" s="1"/>
  <c r="O47" i="2" s="1"/>
  <c r="P47" i="2" s="1"/>
  <c r="I48" i="2"/>
  <c r="N48" i="2" s="1"/>
  <c r="O48" i="2" s="1"/>
  <c r="P48" i="2" s="1"/>
  <c r="I49" i="2"/>
  <c r="N49" i="2" s="1"/>
  <c r="O49" i="2" s="1"/>
  <c r="P49" i="2" s="1"/>
  <c r="I50" i="2"/>
  <c r="N50" i="2" s="1"/>
  <c r="O50" i="2" s="1"/>
  <c r="P50" i="2" s="1"/>
  <c r="I51" i="2"/>
  <c r="N51" i="2" s="1"/>
  <c r="O51" i="2" s="1"/>
  <c r="P51" i="2" s="1"/>
  <c r="I52" i="2"/>
  <c r="N52" i="2" s="1"/>
  <c r="O52" i="2" s="1"/>
  <c r="P52" i="2" s="1"/>
  <c r="I53" i="2"/>
  <c r="N53" i="2" s="1"/>
  <c r="O53" i="2" s="1"/>
  <c r="P53" i="2" s="1"/>
  <c r="I54" i="2"/>
  <c r="N54" i="2" s="1"/>
  <c r="O54" i="2" s="1"/>
  <c r="P54" i="2" s="1"/>
  <c r="I55" i="2"/>
  <c r="N55" i="2" s="1"/>
  <c r="O55" i="2" s="1"/>
  <c r="P55" i="2" s="1"/>
  <c r="I56" i="2"/>
  <c r="N56" i="2" s="1"/>
  <c r="O56" i="2" s="1"/>
  <c r="P56" i="2" s="1"/>
  <c r="I57" i="2"/>
  <c r="N57" i="2" s="1"/>
  <c r="O57" i="2" s="1"/>
  <c r="P57" i="2" s="1"/>
  <c r="I58" i="2"/>
  <c r="N58" i="2" s="1"/>
  <c r="O58" i="2" s="1"/>
  <c r="P58" i="2" s="1"/>
  <c r="I59" i="2"/>
  <c r="N59" i="2" s="1"/>
  <c r="O59" i="2" s="1"/>
  <c r="P59" i="2" s="1"/>
  <c r="I60" i="2"/>
  <c r="N60" i="2" s="1"/>
  <c r="O60" i="2" s="1"/>
  <c r="P60" i="2" s="1"/>
  <c r="I61" i="2"/>
  <c r="N61" i="2" s="1"/>
  <c r="O61" i="2" s="1"/>
  <c r="P61" i="2" s="1"/>
  <c r="I62" i="2"/>
  <c r="N62" i="2" s="1"/>
  <c r="O62" i="2" s="1"/>
  <c r="P62" i="2" s="1"/>
  <c r="I63" i="2"/>
  <c r="N63" i="2" s="1"/>
  <c r="O63" i="2" s="1"/>
  <c r="P63" i="2" s="1"/>
  <c r="I64" i="2"/>
  <c r="N64" i="2" s="1"/>
  <c r="O64" i="2" s="1"/>
  <c r="P64" i="2" s="1"/>
  <c r="I65" i="2"/>
  <c r="N65" i="2" s="1"/>
  <c r="O65" i="2" s="1"/>
  <c r="P65" i="2" s="1"/>
  <c r="I66" i="2"/>
  <c r="N66" i="2" s="1"/>
  <c r="O66" i="2" s="1"/>
  <c r="P66" i="2" s="1"/>
  <c r="I67" i="2"/>
  <c r="N67" i="2" s="1"/>
  <c r="O67" i="2" s="1"/>
  <c r="P67" i="2" s="1"/>
  <c r="I68" i="2"/>
  <c r="N68" i="2" s="1"/>
  <c r="O68" i="2" s="1"/>
  <c r="P68" i="2" s="1"/>
  <c r="I69" i="2"/>
  <c r="N69" i="2" s="1"/>
  <c r="O69" i="2" s="1"/>
  <c r="P69" i="2" s="1"/>
  <c r="I70" i="2"/>
  <c r="N70" i="2" s="1"/>
  <c r="O70" i="2" s="1"/>
  <c r="P70" i="2" s="1"/>
  <c r="I71" i="2"/>
  <c r="N71" i="2" s="1"/>
  <c r="O71" i="2" s="1"/>
  <c r="P71" i="2" s="1"/>
  <c r="I72" i="2"/>
  <c r="N72" i="2" s="1"/>
  <c r="O72" i="2" s="1"/>
  <c r="P72" i="2" s="1"/>
  <c r="I73" i="2"/>
  <c r="N73" i="2" s="1"/>
  <c r="O73" i="2" s="1"/>
  <c r="P73" i="2" s="1"/>
  <c r="I74" i="2"/>
  <c r="N74" i="2" s="1"/>
  <c r="O74" i="2" s="1"/>
  <c r="P74" i="2" s="1"/>
  <c r="I75" i="2"/>
  <c r="N75" i="2" s="1"/>
  <c r="O75" i="2" s="1"/>
  <c r="P75" i="2" s="1"/>
  <c r="I76" i="2"/>
  <c r="N76" i="2" s="1"/>
  <c r="O76" i="2" s="1"/>
  <c r="P76" i="2" s="1"/>
  <c r="I77" i="2"/>
  <c r="N77" i="2" s="1"/>
  <c r="O77" i="2" s="1"/>
  <c r="P77" i="2" s="1"/>
  <c r="I78" i="2"/>
  <c r="N78" i="2" s="1"/>
  <c r="O78" i="2" s="1"/>
  <c r="P78" i="2" s="1"/>
  <c r="I79" i="2"/>
  <c r="N79" i="2" s="1"/>
  <c r="O79" i="2" s="1"/>
  <c r="P79" i="2" s="1"/>
  <c r="I80" i="2"/>
  <c r="N80" i="2" s="1"/>
  <c r="O80" i="2" s="1"/>
  <c r="P80" i="2" s="1"/>
  <c r="I81" i="2"/>
  <c r="N81" i="2" s="1"/>
  <c r="O81" i="2" s="1"/>
  <c r="P81" i="2" s="1"/>
  <c r="I82" i="2"/>
  <c r="N82" i="2" s="1"/>
  <c r="O82" i="2" s="1"/>
  <c r="P82" i="2" s="1"/>
  <c r="I83" i="2"/>
  <c r="N83" i="2" s="1"/>
  <c r="O83" i="2" s="1"/>
  <c r="P83" i="2" s="1"/>
  <c r="I84" i="2"/>
  <c r="N84" i="2" s="1"/>
  <c r="O84" i="2" s="1"/>
  <c r="P84" i="2" s="1"/>
  <c r="I85" i="2"/>
  <c r="N85" i="2" s="1"/>
  <c r="O85" i="2" s="1"/>
  <c r="P85" i="2" s="1"/>
  <c r="I86" i="2"/>
  <c r="N86" i="2" s="1"/>
  <c r="O86" i="2" s="1"/>
  <c r="P86" i="2" s="1"/>
  <c r="I87" i="2"/>
  <c r="N87" i="2" s="1"/>
  <c r="O87" i="2" s="1"/>
  <c r="P87" i="2" s="1"/>
  <c r="I88" i="2"/>
  <c r="N88" i="2" s="1"/>
  <c r="O88" i="2" s="1"/>
  <c r="P88" i="2" s="1"/>
  <c r="I89" i="2"/>
  <c r="N89" i="2" s="1"/>
  <c r="O89" i="2" s="1"/>
  <c r="P89" i="2" s="1"/>
  <c r="I90" i="2"/>
  <c r="N90" i="2" s="1"/>
  <c r="O90" i="2" s="1"/>
  <c r="P90" i="2" s="1"/>
  <c r="I91" i="2"/>
  <c r="N91" i="2" s="1"/>
  <c r="O91" i="2" s="1"/>
  <c r="P91" i="2" s="1"/>
  <c r="I92" i="2"/>
  <c r="N92" i="2" s="1"/>
  <c r="O92" i="2" s="1"/>
  <c r="P92" i="2" s="1"/>
  <c r="I93" i="2"/>
  <c r="N93" i="2" s="1"/>
  <c r="O93" i="2" s="1"/>
  <c r="P93" i="2" s="1"/>
  <c r="I94" i="2"/>
  <c r="N94" i="2" s="1"/>
  <c r="O94" i="2" s="1"/>
  <c r="P94" i="2" s="1"/>
  <c r="I95" i="2"/>
  <c r="N95" i="2" s="1"/>
  <c r="O95" i="2" s="1"/>
  <c r="P95" i="2" s="1"/>
  <c r="I96" i="2"/>
  <c r="N96" i="2" s="1"/>
  <c r="O96" i="2" s="1"/>
  <c r="P96" i="2" s="1"/>
  <c r="I97" i="2"/>
  <c r="N97" i="2" s="1"/>
  <c r="O97" i="2" s="1"/>
  <c r="P97" i="2" s="1"/>
  <c r="I98" i="2"/>
  <c r="N98" i="2" s="1"/>
  <c r="O98" i="2" s="1"/>
  <c r="P98" i="2" s="1"/>
  <c r="I99" i="2"/>
  <c r="N99" i="2" s="1"/>
  <c r="O99" i="2" s="1"/>
  <c r="P99" i="2" s="1"/>
  <c r="I100" i="2"/>
  <c r="N100" i="2" s="1"/>
  <c r="O100" i="2" s="1"/>
  <c r="P100" i="2" s="1"/>
  <c r="I101" i="2"/>
  <c r="N101" i="2" s="1"/>
  <c r="O101" i="2" s="1"/>
  <c r="P101" i="2" s="1"/>
  <c r="I102" i="2"/>
  <c r="N102" i="2" s="1"/>
  <c r="O102" i="2" s="1"/>
  <c r="P102" i="2" s="1"/>
  <c r="I103" i="2"/>
  <c r="N103" i="2" s="1"/>
  <c r="O103" i="2" s="1"/>
  <c r="P103" i="2" s="1"/>
  <c r="I104" i="2"/>
  <c r="N104" i="2" s="1"/>
  <c r="O104" i="2" s="1"/>
  <c r="P104" i="2" s="1"/>
  <c r="I105" i="2"/>
  <c r="N105" i="2" s="1"/>
  <c r="O105" i="2" s="1"/>
  <c r="P105" i="2" s="1"/>
  <c r="I106" i="2"/>
  <c r="N106" i="2" s="1"/>
  <c r="O106" i="2" s="1"/>
  <c r="P106" i="2" s="1"/>
  <c r="I107" i="2"/>
  <c r="N107" i="2" s="1"/>
  <c r="O107" i="2" s="1"/>
  <c r="P107" i="2" s="1"/>
  <c r="I108" i="2"/>
  <c r="N108" i="2" s="1"/>
  <c r="O108" i="2" s="1"/>
  <c r="P108" i="2" s="1"/>
  <c r="I109" i="2"/>
  <c r="N109" i="2" s="1"/>
  <c r="O109" i="2" s="1"/>
  <c r="P109" i="2" s="1"/>
  <c r="I110" i="2"/>
  <c r="N110" i="2" s="1"/>
  <c r="O110" i="2" s="1"/>
  <c r="P110" i="2" s="1"/>
  <c r="I111" i="2"/>
  <c r="N111" i="2" s="1"/>
  <c r="O111" i="2" s="1"/>
  <c r="P111" i="2" s="1"/>
  <c r="I112" i="2"/>
  <c r="N112" i="2" s="1"/>
  <c r="O112" i="2" s="1"/>
  <c r="P112" i="2" s="1"/>
  <c r="I113" i="2"/>
  <c r="N113" i="2" s="1"/>
  <c r="O113" i="2" s="1"/>
  <c r="P113" i="2" s="1"/>
  <c r="I114" i="2"/>
  <c r="N114" i="2" s="1"/>
  <c r="O114" i="2" s="1"/>
  <c r="P114" i="2" s="1"/>
  <c r="I115" i="2"/>
  <c r="N115" i="2" s="1"/>
  <c r="O115" i="2" s="1"/>
  <c r="P115" i="2" s="1"/>
  <c r="I116" i="2"/>
  <c r="N116" i="2" s="1"/>
  <c r="O116" i="2" s="1"/>
  <c r="P116" i="2" s="1"/>
  <c r="I117" i="2"/>
  <c r="N117" i="2" s="1"/>
  <c r="O117" i="2" s="1"/>
  <c r="P117" i="2" s="1"/>
  <c r="I118" i="2"/>
  <c r="N118" i="2" s="1"/>
  <c r="O118" i="2" s="1"/>
  <c r="P118" i="2" s="1"/>
  <c r="I119" i="2"/>
  <c r="N119" i="2" s="1"/>
  <c r="O119" i="2" s="1"/>
  <c r="P119" i="2" s="1"/>
  <c r="I120" i="2"/>
  <c r="N120" i="2" s="1"/>
  <c r="O120" i="2" s="1"/>
  <c r="P120" i="2" s="1"/>
  <c r="I121" i="2"/>
  <c r="N121" i="2" s="1"/>
  <c r="O121" i="2" s="1"/>
  <c r="P121" i="2" s="1"/>
  <c r="I122" i="2"/>
  <c r="N122" i="2" s="1"/>
  <c r="O122" i="2" s="1"/>
  <c r="P122" i="2" s="1"/>
  <c r="I123" i="2"/>
  <c r="N123" i="2" s="1"/>
  <c r="O123" i="2" s="1"/>
  <c r="P123" i="2" s="1"/>
  <c r="I124" i="2"/>
  <c r="N124" i="2" s="1"/>
  <c r="O124" i="2" s="1"/>
  <c r="P124" i="2" s="1"/>
  <c r="I125" i="2"/>
  <c r="N125" i="2" s="1"/>
  <c r="O125" i="2" s="1"/>
  <c r="P125" i="2" s="1"/>
  <c r="I126" i="2"/>
  <c r="N126" i="2" s="1"/>
  <c r="O126" i="2" s="1"/>
  <c r="P126" i="2" s="1"/>
  <c r="I127" i="2"/>
  <c r="N127" i="2" s="1"/>
  <c r="O127" i="2" s="1"/>
  <c r="P127" i="2" s="1"/>
  <c r="I128" i="2"/>
  <c r="N128" i="2" s="1"/>
  <c r="O128" i="2" s="1"/>
  <c r="P128" i="2" s="1"/>
  <c r="I129" i="2"/>
  <c r="N129" i="2" s="1"/>
  <c r="O129" i="2" s="1"/>
  <c r="P129" i="2" s="1"/>
  <c r="I130" i="2"/>
  <c r="N130" i="2" s="1"/>
  <c r="O130" i="2" s="1"/>
  <c r="P130" i="2" s="1"/>
  <c r="I131" i="2"/>
  <c r="N131" i="2" s="1"/>
  <c r="O131" i="2" s="1"/>
  <c r="P131" i="2" s="1"/>
  <c r="I132" i="2"/>
  <c r="N132" i="2" s="1"/>
  <c r="O132" i="2" s="1"/>
  <c r="P132" i="2" s="1"/>
  <c r="I133" i="2"/>
  <c r="N133" i="2" s="1"/>
  <c r="O133" i="2" s="1"/>
  <c r="P133" i="2" s="1"/>
  <c r="I134" i="2"/>
  <c r="N134" i="2" s="1"/>
  <c r="O134" i="2" s="1"/>
  <c r="P134" i="2" s="1"/>
  <c r="I135" i="2"/>
  <c r="N135" i="2" s="1"/>
  <c r="O135" i="2" s="1"/>
  <c r="P135" i="2" s="1"/>
  <c r="I136" i="2"/>
  <c r="N136" i="2" s="1"/>
  <c r="O136" i="2" s="1"/>
  <c r="P136" i="2" s="1"/>
  <c r="I137" i="2"/>
  <c r="N137" i="2" s="1"/>
  <c r="O137" i="2" s="1"/>
  <c r="P137" i="2" s="1"/>
  <c r="I138" i="2"/>
  <c r="N138" i="2" s="1"/>
  <c r="O138" i="2" s="1"/>
  <c r="P138" i="2" s="1"/>
  <c r="I139" i="2"/>
  <c r="N139" i="2" s="1"/>
  <c r="O139" i="2" s="1"/>
  <c r="P139" i="2" s="1"/>
  <c r="I140" i="2"/>
  <c r="N140" i="2" s="1"/>
  <c r="O140" i="2" s="1"/>
  <c r="P140" i="2" s="1"/>
  <c r="I141" i="2"/>
  <c r="N141" i="2" s="1"/>
  <c r="O141" i="2" s="1"/>
  <c r="P141" i="2" s="1"/>
  <c r="I142" i="2"/>
  <c r="N142" i="2" s="1"/>
  <c r="O142" i="2" s="1"/>
  <c r="P142" i="2" s="1"/>
  <c r="I143" i="2"/>
  <c r="N143" i="2" s="1"/>
  <c r="O143" i="2" s="1"/>
  <c r="P143" i="2" s="1"/>
  <c r="I144" i="2"/>
  <c r="N144" i="2" s="1"/>
  <c r="O144" i="2" s="1"/>
  <c r="P144" i="2" s="1"/>
  <c r="I145" i="2"/>
  <c r="N145" i="2" s="1"/>
  <c r="O145" i="2" s="1"/>
  <c r="P145" i="2" s="1"/>
  <c r="I146" i="2"/>
  <c r="N146" i="2" s="1"/>
  <c r="O146" i="2" s="1"/>
  <c r="P146" i="2" s="1"/>
  <c r="I147" i="2"/>
  <c r="N147" i="2" s="1"/>
  <c r="O147" i="2" s="1"/>
  <c r="P147" i="2" s="1"/>
  <c r="I148" i="2"/>
  <c r="N148" i="2" s="1"/>
  <c r="O148" i="2" s="1"/>
  <c r="P148" i="2" s="1"/>
  <c r="I149" i="2"/>
  <c r="N149" i="2" s="1"/>
  <c r="O149" i="2" s="1"/>
  <c r="P149" i="2" s="1"/>
  <c r="I150" i="2"/>
  <c r="N150" i="2" s="1"/>
  <c r="O150" i="2" s="1"/>
  <c r="P150" i="2" s="1"/>
  <c r="I151" i="2"/>
  <c r="N151" i="2" s="1"/>
  <c r="O151" i="2" s="1"/>
  <c r="P151" i="2" s="1"/>
  <c r="I152" i="2"/>
  <c r="N152" i="2" s="1"/>
  <c r="O152" i="2" s="1"/>
  <c r="P152" i="2" s="1"/>
  <c r="I153" i="2"/>
  <c r="N153" i="2" s="1"/>
  <c r="O153" i="2" s="1"/>
  <c r="P153" i="2" s="1"/>
  <c r="I154" i="2"/>
  <c r="N154" i="2" s="1"/>
  <c r="O154" i="2" s="1"/>
  <c r="P154" i="2" s="1"/>
  <c r="I155" i="2"/>
  <c r="N155" i="2" s="1"/>
  <c r="O155" i="2" s="1"/>
  <c r="P155" i="2" s="1"/>
  <c r="I156" i="2"/>
  <c r="N156" i="2" s="1"/>
  <c r="O156" i="2" s="1"/>
  <c r="P156" i="2" s="1"/>
  <c r="I157" i="2"/>
  <c r="N157" i="2" s="1"/>
  <c r="O157" i="2" s="1"/>
  <c r="P157" i="2" s="1"/>
  <c r="I158" i="2"/>
  <c r="N158" i="2" s="1"/>
  <c r="O158" i="2" s="1"/>
  <c r="P158" i="2" s="1"/>
  <c r="I159" i="2"/>
  <c r="N159" i="2" s="1"/>
  <c r="O159" i="2" s="1"/>
  <c r="P159" i="2" s="1"/>
  <c r="I160" i="2"/>
  <c r="N160" i="2" s="1"/>
  <c r="O160" i="2" s="1"/>
  <c r="P160" i="2" s="1"/>
  <c r="I161" i="2"/>
  <c r="N161" i="2" s="1"/>
  <c r="O161" i="2" s="1"/>
  <c r="P161" i="2" s="1"/>
  <c r="I162" i="2"/>
  <c r="N162" i="2" s="1"/>
  <c r="O162" i="2" s="1"/>
  <c r="P162" i="2" s="1"/>
  <c r="I163" i="2"/>
  <c r="N163" i="2" s="1"/>
  <c r="O163" i="2" s="1"/>
  <c r="P163" i="2" s="1"/>
  <c r="I164" i="2"/>
  <c r="N164" i="2" s="1"/>
  <c r="O164" i="2" s="1"/>
  <c r="P164" i="2" s="1"/>
  <c r="I165" i="2"/>
  <c r="N165" i="2" s="1"/>
  <c r="O165" i="2" s="1"/>
  <c r="P165" i="2" s="1"/>
  <c r="I166" i="2"/>
  <c r="N166" i="2" s="1"/>
  <c r="O166" i="2" s="1"/>
  <c r="P166" i="2" s="1"/>
  <c r="I167" i="2"/>
  <c r="N167" i="2" s="1"/>
  <c r="O167" i="2" s="1"/>
  <c r="P167" i="2" s="1"/>
  <c r="I168" i="2"/>
  <c r="N168" i="2" s="1"/>
  <c r="O168" i="2" s="1"/>
  <c r="P168" i="2" s="1"/>
  <c r="I169" i="2"/>
  <c r="N169" i="2" s="1"/>
  <c r="O169" i="2" s="1"/>
  <c r="P169" i="2" s="1"/>
  <c r="I170" i="2"/>
  <c r="N170" i="2" s="1"/>
  <c r="O170" i="2" s="1"/>
  <c r="P170" i="2" s="1"/>
  <c r="I171" i="2"/>
  <c r="N171" i="2" s="1"/>
  <c r="O171" i="2" s="1"/>
  <c r="P171" i="2" s="1"/>
  <c r="I172" i="2"/>
  <c r="N172" i="2" s="1"/>
  <c r="O172" i="2" s="1"/>
  <c r="P172" i="2" s="1"/>
  <c r="I173" i="2"/>
  <c r="N173" i="2" s="1"/>
  <c r="O173" i="2" s="1"/>
  <c r="P173" i="2" s="1"/>
  <c r="I174" i="2"/>
  <c r="N174" i="2" s="1"/>
  <c r="O174" i="2" s="1"/>
  <c r="P174" i="2" s="1"/>
  <c r="I175" i="2"/>
  <c r="N175" i="2" s="1"/>
  <c r="O175" i="2" s="1"/>
  <c r="P175" i="2" s="1"/>
  <c r="I176" i="2"/>
  <c r="N176" i="2" s="1"/>
  <c r="O176" i="2" s="1"/>
  <c r="P176" i="2" s="1"/>
  <c r="I177" i="2"/>
  <c r="N177" i="2" s="1"/>
  <c r="O177" i="2" s="1"/>
  <c r="P177" i="2" s="1"/>
  <c r="I178" i="2"/>
  <c r="N178" i="2" s="1"/>
  <c r="O178" i="2" s="1"/>
  <c r="P178" i="2" s="1"/>
  <c r="I179" i="2"/>
  <c r="N179" i="2" s="1"/>
  <c r="O179" i="2" s="1"/>
  <c r="P179" i="2" s="1"/>
  <c r="I180" i="2"/>
  <c r="N180" i="2" s="1"/>
  <c r="O180" i="2" s="1"/>
  <c r="P180" i="2" s="1"/>
  <c r="I181" i="2"/>
  <c r="N181" i="2" s="1"/>
  <c r="O181" i="2" s="1"/>
  <c r="P181" i="2" s="1"/>
  <c r="I182" i="2"/>
  <c r="N182" i="2" s="1"/>
  <c r="O182" i="2" s="1"/>
  <c r="P182" i="2" s="1"/>
  <c r="I183" i="2"/>
  <c r="N183" i="2" s="1"/>
  <c r="O183" i="2" s="1"/>
  <c r="P183" i="2" s="1"/>
  <c r="I184" i="2"/>
  <c r="N184" i="2" s="1"/>
  <c r="O184" i="2" s="1"/>
  <c r="P184" i="2" s="1"/>
  <c r="I185" i="2"/>
  <c r="N185" i="2" s="1"/>
  <c r="O185" i="2" s="1"/>
  <c r="P185" i="2" s="1"/>
  <c r="I186" i="2"/>
  <c r="N186" i="2" s="1"/>
  <c r="O186" i="2" s="1"/>
  <c r="P186" i="2" s="1"/>
  <c r="I187" i="2"/>
  <c r="N187" i="2" s="1"/>
  <c r="O187" i="2" s="1"/>
  <c r="P187" i="2" s="1"/>
  <c r="I188" i="2"/>
  <c r="N188" i="2" s="1"/>
  <c r="O188" i="2" s="1"/>
  <c r="P188" i="2" s="1"/>
  <c r="I189" i="2"/>
  <c r="N189" i="2" s="1"/>
  <c r="O189" i="2" s="1"/>
  <c r="P189" i="2" s="1"/>
  <c r="I190" i="2"/>
  <c r="N190" i="2" s="1"/>
  <c r="O190" i="2" s="1"/>
  <c r="P190" i="2" s="1"/>
  <c r="I191" i="2"/>
  <c r="N191" i="2" s="1"/>
  <c r="O191" i="2" s="1"/>
  <c r="P191" i="2" s="1"/>
  <c r="I192" i="2"/>
  <c r="N192" i="2" s="1"/>
  <c r="O192" i="2" s="1"/>
  <c r="P192" i="2" s="1"/>
  <c r="I193" i="2"/>
  <c r="N193" i="2" s="1"/>
  <c r="O193" i="2" s="1"/>
  <c r="P193" i="2" s="1"/>
  <c r="I194" i="2"/>
  <c r="N194" i="2" s="1"/>
  <c r="O194" i="2" s="1"/>
  <c r="P194" i="2" s="1"/>
  <c r="I195" i="2"/>
  <c r="N195" i="2" s="1"/>
  <c r="O195" i="2" s="1"/>
  <c r="P195" i="2" s="1"/>
  <c r="I196" i="2"/>
  <c r="N196" i="2" s="1"/>
  <c r="O196" i="2" s="1"/>
  <c r="P196" i="2" s="1"/>
  <c r="I197" i="2"/>
  <c r="N197" i="2" s="1"/>
  <c r="O197" i="2" s="1"/>
  <c r="P197" i="2" s="1"/>
  <c r="I198" i="2"/>
  <c r="N198" i="2" s="1"/>
  <c r="O198" i="2" s="1"/>
  <c r="P198" i="2" s="1"/>
  <c r="I199" i="2"/>
  <c r="N199" i="2" s="1"/>
  <c r="O199" i="2" s="1"/>
  <c r="P199" i="2" s="1"/>
  <c r="I200" i="2"/>
  <c r="N200" i="2" s="1"/>
  <c r="O200" i="2" s="1"/>
  <c r="P200" i="2" s="1"/>
  <c r="I201" i="2"/>
  <c r="N201" i="2" s="1"/>
  <c r="O201" i="2" s="1"/>
  <c r="P201" i="2" s="1"/>
  <c r="I202" i="2"/>
  <c r="N202" i="2" s="1"/>
  <c r="O202" i="2" s="1"/>
  <c r="P202" i="2" s="1"/>
  <c r="I203" i="2"/>
  <c r="N203" i="2" s="1"/>
  <c r="O203" i="2" s="1"/>
  <c r="P203" i="2" s="1"/>
  <c r="I204" i="2"/>
  <c r="N204" i="2" s="1"/>
  <c r="O204" i="2" s="1"/>
  <c r="P204" i="2" s="1"/>
  <c r="I205" i="2"/>
  <c r="N205" i="2" s="1"/>
  <c r="O205" i="2" s="1"/>
  <c r="P205" i="2" s="1"/>
  <c r="I206" i="2"/>
  <c r="N206" i="2" s="1"/>
  <c r="O206" i="2" s="1"/>
  <c r="P206" i="2" s="1"/>
  <c r="I207" i="2"/>
  <c r="N207" i="2" s="1"/>
  <c r="O207" i="2" s="1"/>
  <c r="P207" i="2" s="1"/>
  <c r="I208" i="2"/>
  <c r="N208" i="2" s="1"/>
  <c r="O208" i="2" s="1"/>
  <c r="P208" i="2" s="1"/>
  <c r="I209" i="2"/>
  <c r="N209" i="2" s="1"/>
  <c r="O209" i="2" s="1"/>
  <c r="P209" i="2" s="1"/>
  <c r="I210" i="2"/>
  <c r="N210" i="2" s="1"/>
  <c r="O210" i="2" s="1"/>
  <c r="P210" i="2" s="1"/>
  <c r="I211" i="2"/>
  <c r="N211" i="2" s="1"/>
  <c r="O211" i="2" s="1"/>
  <c r="P211" i="2" s="1"/>
  <c r="I212" i="2"/>
  <c r="N212" i="2" s="1"/>
  <c r="O212" i="2" s="1"/>
  <c r="P212" i="2" s="1"/>
  <c r="I213" i="2"/>
  <c r="N213" i="2" s="1"/>
  <c r="O213" i="2" s="1"/>
  <c r="P213" i="2" s="1"/>
  <c r="I214" i="2"/>
  <c r="N214" i="2" s="1"/>
  <c r="O214" i="2" s="1"/>
  <c r="P214" i="2" s="1"/>
  <c r="I215" i="2"/>
  <c r="N215" i="2" s="1"/>
  <c r="O215" i="2" s="1"/>
  <c r="P215" i="2" s="1"/>
  <c r="I216" i="2"/>
  <c r="N216" i="2" s="1"/>
  <c r="O216" i="2" s="1"/>
  <c r="P216" i="2" s="1"/>
  <c r="I217" i="2"/>
  <c r="N217" i="2" s="1"/>
  <c r="O217" i="2" s="1"/>
  <c r="P217" i="2" s="1"/>
  <c r="I218" i="2"/>
  <c r="N218" i="2" s="1"/>
  <c r="O218" i="2" s="1"/>
  <c r="P218" i="2" s="1"/>
  <c r="I219" i="2"/>
  <c r="N219" i="2" s="1"/>
  <c r="O219" i="2" s="1"/>
  <c r="P219" i="2" s="1"/>
  <c r="I220" i="2"/>
  <c r="N220" i="2" s="1"/>
  <c r="O220" i="2" s="1"/>
  <c r="P220" i="2" s="1"/>
  <c r="I221" i="2"/>
  <c r="N221" i="2" s="1"/>
  <c r="O221" i="2" s="1"/>
  <c r="P221" i="2" s="1"/>
  <c r="I222" i="2"/>
  <c r="N222" i="2" s="1"/>
  <c r="O222" i="2" s="1"/>
  <c r="P222" i="2" s="1"/>
  <c r="I223" i="2"/>
  <c r="N223" i="2" s="1"/>
  <c r="O223" i="2" s="1"/>
  <c r="P223" i="2" s="1"/>
  <c r="I224" i="2"/>
  <c r="N224" i="2" s="1"/>
  <c r="O224" i="2" s="1"/>
  <c r="P224" i="2" s="1"/>
  <c r="I225" i="2"/>
  <c r="N225" i="2" s="1"/>
  <c r="O225" i="2" s="1"/>
  <c r="P225" i="2" s="1"/>
  <c r="I226" i="2"/>
  <c r="N226" i="2" s="1"/>
  <c r="O226" i="2" s="1"/>
  <c r="P226" i="2" s="1"/>
  <c r="I227" i="2"/>
  <c r="N227" i="2" s="1"/>
  <c r="O227" i="2" s="1"/>
  <c r="P227" i="2" s="1"/>
  <c r="I228" i="2"/>
  <c r="N228" i="2" s="1"/>
  <c r="O228" i="2" s="1"/>
  <c r="P228" i="2" s="1"/>
  <c r="I229" i="2"/>
  <c r="N229" i="2" s="1"/>
  <c r="O229" i="2" s="1"/>
  <c r="P229" i="2" s="1"/>
  <c r="I230" i="2"/>
  <c r="N230" i="2" s="1"/>
  <c r="O230" i="2" s="1"/>
  <c r="P230" i="2" s="1"/>
  <c r="I231" i="2"/>
  <c r="N231" i="2" s="1"/>
  <c r="O231" i="2" s="1"/>
  <c r="P231" i="2" s="1"/>
  <c r="I232" i="2"/>
  <c r="N232" i="2" s="1"/>
  <c r="O232" i="2" s="1"/>
  <c r="P232" i="2" s="1"/>
  <c r="I233" i="2"/>
  <c r="N233" i="2" s="1"/>
  <c r="O233" i="2" s="1"/>
  <c r="P233" i="2" s="1"/>
  <c r="I234" i="2"/>
  <c r="N234" i="2" s="1"/>
  <c r="O234" i="2" s="1"/>
  <c r="P234" i="2" s="1"/>
  <c r="I235" i="2"/>
  <c r="N235" i="2" s="1"/>
  <c r="O235" i="2" s="1"/>
  <c r="P235" i="2" s="1"/>
  <c r="I236" i="2"/>
  <c r="N236" i="2" s="1"/>
  <c r="O236" i="2" s="1"/>
  <c r="P236" i="2" s="1"/>
  <c r="I237" i="2"/>
  <c r="N237" i="2" s="1"/>
  <c r="O237" i="2" s="1"/>
  <c r="P237" i="2" s="1"/>
  <c r="I238" i="2"/>
  <c r="N238" i="2" s="1"/>
  <c r="O238" i="2" s="1"/>
  <c r="P238" i="2" s="1"/>
  <c r="I239" i="2"/>
  <c r="N239" i="2" s="1"/>
  <c r="O239" i="2" s="1"/>
  <c r="P239" i="2" s="1"/>
  <c r="I240" i="2"/>
  <c r="N240" i="2" s="1"/>
  <c r="O240" i="2" s="1"/>
  <c r="P240" i="2" s="1"/>
  <c r="I241" i="2"/>
  <c r="N241" i="2" s="1"/>
  <c r="O241" i="2" s="1"/>
  <c r="P241" i="2" s="1"/>
  <c r="I5" i="2"/>
  <c r="N5" i="2" s="1"/>
  <c r="O5" i="2" s="1"/>
  <c r="P5" i="2" s="1"/>
  <c r="G201" i="16" l="1"/>
  <c r="E210" i="16"/>
  <c r="H208" i="16"/>
  <c r="I208" i="16" s="1"/>
  <c r="H209" i="16"/>
  <c r="I209" i="16" s="1"/>
  <c r="S494" i="1"/>
  <c r="S496" i="1"/>
  <c r="T496" i="1" s="1"/>
  <c r="J10" i="13"/>
  <c r="N14" i="5"/>
  <c r="J9" i="13"/>
  <c r="I210" i="16" l="1"/>
  <c r="I214" i="16" s="1"/>
  <c r="E214" i="16"/>
  <c r="J210" i="16"/>
  <c r="H201" i="16"/>
  <c r="H210" i="16"/>
  <c r="J8" i="13"/>
  <c r="E216" i="16" l="1"/>
  <c r="J214" i="16"/>
  <c r="J15" i="13"/>
  <c r="L20" i="13" s="1"/>
</calcChain>
</file>

<file path=xl/sharedStrings.xml><?xml version="1.0" encoding="utf-8"?>
<sst xmlns="http://schemas.openxmlformats.org/spreadsheetml/2006/main" count="1937" uniqueCount="661">
  <si>
    <t>Grand Total</t>
  </si>
  <si>
    <t>S. No.</t>
  </si>
  <si>
    <t>Description of Fixed Assets</t>
  </si>
  <si>
    <t>Date of Valuation</t>
  </si>
  <si>
    <t>Rate of Depreciation</t>
  </si>
  <si>
    <t>Gross Block</t>
  </si>
  <si>
    <t>Inflation</t>
  </si>
  <si>
    <t xml:space="preserve">Reproduction Cost of the Machines 
</t>
  </si>
  <si>
    <t>Total Depreciation</t>
  </si>
  <si>
    <t>Depreciated Replacement Value</t>
  </si>
  <si>
    <t>Fair Value</t>
  </si>
  <si>
    <t>Net Block</t>
  </si>
  <si>
    <t>Year of Purchase / Installation</t>
  </si>
  <si>
    <t>TOTAL</t>
  </si>
  <si>
    <t>Heads</t>
  </si>
  <si>
    <t>Plant &amp; Machinery</t>
  </si>
  <si>
    <t>Annexures</t>
  </si>
  <si>
    <t>Lab Equipment</t>
  </si>
  <si>
    <t>A</t>
  </si>
  <si>
    <t>B</t>
  </si>
  <si>
    <t>E</t>
  </si>
  <si>
    <t>D</t>
  </si>
  <si>
    <t>C</t>
  </si>
  <si>
    <t>F</t>
  </si>
  <si>
    <t>G</t>
  </si>
  <si>
    <t>Fair market value</t>
  </si>
  <si>
    <t>Reproductiont Cost</t>
  </si>
  <si>
    <r>
      <t xml:space="preserve">Consumed Life
</t>
    </r>
    <r>
      <rPr>
        <i/>
        <sz val="10"/>
        <rFont val="Calibri"/>
        <family val="2"/>
        <scheme val="minor"/>
      </rPr>
      <t>(in years)</t>
    </r>
  </si>
  <si>
    <r>
      <t xml:space="preserve">Economic Life
</t>
    </r>
    <r>
      <rPr>
        <i/>
        <sz val="10"/>
        <rFont val="Calibri"/>
        <family val="2"/>
        <scheme val="minor"/>
      </rPr>
      <t>(in years)</t>
    </r>
  </si>
  <si>
    <t>REMARKS:-</t>
  </si>
  <si>
    <t>1. Asset items pertaining tto M/s Emcure Pharmaceuticals ltd., Rajiv Gandhi I.T.B.T. park , Pune, Maharashtra is only considered in this report.</t>
  </si>
  <si>
    <t>2.Asset items of different classes are grouped together and summarized seperately. Detailed valuation sheet with calculation can be referred in attached annexures.</t>
  </si>
  <si>
    <t>3.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</si>
  <si>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4. For evaluating useful life for calculation of depreciation, Chart of Companies Act-2013 isreferred.</t>
  </si>
  <si>
    <t>5.For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</si>
  <si>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S.No.</t>
  </si>
  <si>
    <t>check</t>
  </si>
  <si>
    <t>ASSET NAME</t>
  </si>
  <si>
    <t>Period of Purchase/'Instalation/</t>
  </si>
  <si>
    <t>Original cost'Cost of Installation Other Charges</t>
  </si>
  <si>
    <t>Useful Life Years</t>
  </si>
  <si>
    <t>Used Life Years</t>
  </si>
  <si>
    <t>Remaining Useful  Life Years</t>
  </si>
  <si>
    <t>Salvage Value 5% of original Cost</t>
  </si>
  <si>
    <t>Written DownValue as on '31-03-2014</t>
  </si>
  <si>
    <t>Charge to PL</t>
  </si>
  <si>
    <t>Transfer to Retained Earnings</t>
  </si>
  <si>
    <t>No. Of Days</t>
  </si>
  <si>
    <t>Used in Year</t>
  </si>
  <si>
    <t>Accumulated Dep as on 31/03/20</t>
  </si>
  <si>
    <t>WDV as on 31/03/20</t>
  </si>
  <si>
    <t>Remaining life as on 01/04/2020</t>
  </si>
  <si>
    <t>Amount to be depreciated over remaining useful life</t>
  </si>
  <si>
    <t>Dep for the year
2020-21</t>
  </si>
  <si>
    <t>WDV as on 31/03/21</t>
  </si>
  <si>
    <t>Depreciation as per SAP</t>
  </si>
  <si>
    <t>Differences</t>
  </si>
  <si>
    <t>Audited Calculation</t>
  </si>
  <si>
    <t>SAP calculation</t>
  </si>
  <si>
    <t>MOTOR Vehicles</t>
  </si>
  <si>
    <t>Excavator</t>
  </si>
  <si>
    <t>Motorcycle</t>
  </si>
  <si>
    <t>Bolero SLX</t>
  </si>
  <si>
    <t>Scorpio</t>
  </si>
  <si>
    <t>Escorts hydra</t>
  </si>
  <si>
    <t>BIKE SPLENDOR - BLACK-HA10AGKHAC0953</t>
  </si>
  <si>
    <t>INNOVA GX (MT) (Q7 SILVER COLOUR)</t>
  </si>
  <si>
    <t>Hero Splender Bike</t>
  </si>
  <si>
    <t>Total Vehicles</t>
  </si>
  <si>
    <t>Diesel pump</t>
  </si>
  <si>
    <t>Air Compressor</t>
  </si>
  <si>
    <t>Bending Machine</t>
  </si>
  <si>
    <t>Concast Machine</t>
  </si>
  <si>
    <t>Cooling Towers</t>
  </si>
  <si>
    <t>DG Set</t>
  </si>
  <si>
    <t>EOT Cranes</t>
  </si>
  <si>
    <t>Fire Fighting</t>
  </si>
  <si>
    <t>Induction Furnaces</t>
  </si>
  <si>
    <t>Ladle Pre Heaters</t>
  </si>
  <si>
    <t>Ladles</t>
  </si>
  <si>
    <t>Man Coolers</t>
  </si>
  <si>
    <t>tools &amp; Tackles</t>
  </si>
  <si>
    <t>Pollution Control</t>
  </si>
  <si>
    <t>Water Supply System</t>
  </si>
  <si>
    <t>Water Treatment</t>
  </si>
  <si>
    <t>Weigh Bridge</t>
  </si>
  <si>
    <t>C.I Slag Box</t>
  </si>
  <si>
    <t>PI &amp; M</t>
  </si>
  <si>
    <t>Digital Panel</t>
  </si>
  <si>
    <t>Q4 Tasman</t>
  </si>
  <si>
    <t>P &amp; M Hot Charging</t>
  </si>
  <si>
    <t>FRP Cooling Tower</t>
  </si>
  <si>
    <t xml:space="preserve">    Continous Casting Machine</t>
  </si>
  <si>
    <t xml:space="preserve">     Fixed Capicitor Bank</t>
  </si>
  <si>
    <t xml:space="preserve">     EOT Cranes</t>
  </si>
  <si>
    <t xml:space="preserve">    Apron 4/7 Radious Caster</t>
  </si>
  <si>
    <t xml:space="preserve">    Vibrator Assembly</t>
  </si>
  <si>
    <t xml:space="preserve">    EDO ACO Microprocessor</t>
  </si>
  <si>
    <t>Control Panel</t>
  </si>
  <si>
    <t>Thermex Nozzle</t>
  </si>
  <si>
    <t>Kirloskar RPM Motor(5.0 KW)</t>
  </si>
  <si>
    <t>Furnace Preheater</t>
  </si>
  <si>
    <t>Other Fixed Assets</t>
  </si>
  <si>
    <t>Capacitor</t>
  </si>
  <si>
    <t>Pump &amp; Motors</t>
  </si>
  <si>
    <t>Assembled Tank Capacitor</t>
  </si>
  <si>
    <t>Hydra Boom</t>
  </si>
  <si>
    <t>Converter</t>
  </si>
  <si>
    <t>Hydra</t>
  </si>
  <si>
    <t>DC Motor (Kirloskar Make)</t>
  </si>
  <si>
    <t>Induction Motor</t>
  </si>
  <si>
    <t>Coil Assembly</t>
  </si>
  <si>
    <t>COOLING TOWER(8419)</t>
  </si>
  <si>
    <t>Hydraulic Pump</t>
  </si>
  <si>
    <t>Kirloskar Pump [84137010]</t>
  </si>
  <si>
    <t>ELECTRONIC WEIGHING MACHINE</t>
  </si>
  <si>
    <t>VRLA 110V100Ah Battery [8507]</t>
  </si>
  <si>
    <t>Pinion &amp; Shaft Of Gear Box [62040222]</t>
  </si>
  <si>
    <t>AC Drive-55KW MODEL NO: ACS 550-01-125A-4</t>
  </si>
  <si>
    <t>6 Pole Motor Marathon Make MZ5622 11KW [8501]</t>
  </si>
  <si>
    <t>Pole for VCB [8536]</t>
  </si>
  <si>
    <t>Coil Assembly [85149000]</t>
  </si>
  <si>
    <t>Hydrolic Cylinder</t>
  </si>
  <si>
    <t>Top Casting Block Set [85149000]</t>
  </si>
  <si>
    <t>PB HOLLOW BAR (7403) CAPITAL GOOD</t>
  </si>
  <si>
    <t>Pump Kirloskar 2.2KW/3.0 HP [84137010]</t>
  </si>
  <si>
    <t>Misc.Plant &amp; Machinery</t>
  </si>
  <si>
    <t>ANGEL</t>
  </si>
  <si>
    <t>KE 1125KB8 MOTOR FR KCW560C3</t>
  </si>
  <si>
    <t>Motor 7.5 KW 1440 RPM  Frame : BPM132M</t>
  </si>
  <si>
    <t>D.C. MOTOR 72 KW, RPM-1500, ARM VOLT 440</t>
  </si>
  <si>
    <t>D.C. MOTOR 30KW, RPM-1000, ARM VOLT 440</t>
  </si>
  <si>
    <t>CRANE DRIVE 45/60 KW/HP</t>
  </si>
  <si>
    <t>PUMP 5HP</t>
  </si>
  <si>
    <t>Motor 750 W,75 KW 2.2 KW / 3 HP, 3000 RPM,415 V</t>
  </si>
  <si>
    <t>MOTOR 28.5KW (33HP 1000RPM) (TEFC SR 415V 50HZ 3PH</t>
  </si>
  <si>
    <t>Capacitor 1000 KVR LT and Capacitor 1000KVR HT</t>
  </si>
  <si>
    <t>CRANE DRIVE 7.5/10 KW/HP</t>
  </si>
  <si>
    <t>CRANE DRIVE 4/5.4 KW/HP</t>
  </si>
  <si>
    <t>EOT Crane Furnace-3 (40MT)</t>
  </si>
  <si>
    <t>Self Priming Non Clog Pump SP2H</t>
  </si>
  <si>
    <t>CI Rotary Pump</t>
  </si>
  <si>
    <t>MOTOR STAR DELTA / DOL KW 15</t>
  </si>
  <si>
    <t>MOTOR STAR DELTA / DOL KW 11</t>
  </si>
  <si>
    <t>MOTOR 2.2KW - 2830 RPM</t>
  </si>
  <si>
    <t>MOTOR STAR DELTA / DOL KW 7.5</t>
  </si>
  <si>
    <t>MOTOR STAR DELTA / DOL KW 5.5</t>
  </si>
  <si>
    <t>EOT Crane Furnace-3 (15MT)</t>
  </si>
  <si>
    <t>MOTOR 7.5KW - 960 RPM</t>
  </si>
  <si>
    <t>MOTOR 11KW-96 RPM</t>
  </si>
  <si>
    <t>MOTOR 3.5KW - 935 RPM</t>
  </si>
  <si>
    <t>CENTRIFUGAL MONOBLOCK PUMP 7.5HP</t>
  </si>
  <si>
    <t>ROTARY GEAR PUMP</t>
  </si>
  <si>
    <t>Total Plant &amp; Machinery</t>
  </si>
  <si>
    <t>Furniture &amp; Fixtures</t>
  </si>
  <si>
    <t>Furnitures</t>
  </si>
  <si>
    <t>CHAIR</t>
  </si>
  <si>
    <t>EXECUTIVE CHAIR</t>
  </si>
  <si>
    <t>WOODEN BED (JAGDISHPUR)</t>
  </si>
  <si>
    <t>WOODEN BED</t>
  </si>
  <si>
    <t>Almirah - 1</t>
  </si>
  <si>
    <t>Almirah - 2</t>
  </si>
  <si>
    <t>Almirah - 3</t>
  </si>
  <si>
    <t>Almirah - 4</t>
  </si>
  <si>
    <t>COMPUTER TABLE 1</t>
  </si>
  <si>
    <t>COMPUTER TABLE 2</t>
  </si>
  <si>
    <t>Single Bed</t>
  </si>
  <si>
    <t>Almirah</t>
  </si>
  <si>
    <t>Dining Table with 4 chairs</t>
  </si>
  <si>
    <t>Mattress</t>
  </si>
  <si>
    <t>Jagdishpur</t>
  </si>
  <si>
    <t>Chairs &amp; Dinning Table</t>
  </si>
  <si>
    <t>Net Revolving Chair</t>
  </si>
  <si>
    <t>Steel Sofa &amp; Chairs</t>
  </si>
  <si>
    <t>Wooden Table</t>
  </si>
  <si>
    <t>Wooden Bed</t>
  </si>
  <si>
    <t>Total Furniture &amp; Furniture</t>
  </si>
  <si>
    <t>Office Equipement</t>
  </si>
  <si>
    <t>Exhaust Fan</t>
  </si>
  <si>
    <t>Aquaguard</t>
  </si>
  <si>
    <t>EPBX</t>
  </si>
  <si>
    <t>Water Purifier</t>
  </si>
  <si>
    <t>Paper Shredder</t>
  </si>
  <si>
    <t>Refregerator</t>
  </si>
  <si>
    <t>AC</t>
  </si>
  <si>
    <t>Attendance time keeping</t>
  </si>
  <si>
    <t>Fire Extingusher</t>
  </si>
  <si>
    <t>Mobile Phone</t>
  </si>
  <si>
    <t>Office Machinery</t>
  </si>
  <si>
    <t>Mobile Phone-4</t>
  </si>
  <si>
    <t>Mobile Phone-3</t>
  </si>
  <si>
    <t>Office Machinery( Camera)</t>
  </si>
  <si>
    <t>Office Machinery( Router)</t>
  </si>
  <si>
    <t>Attendance System</t>
  </si>
  <si>
    <t>Bluestar AC</t>
  </si>
  <si>
    <t>Ductable AC Machine</t>
  </si>
  <si>
    <t>Electronic Weighing Machine</t>
  </si>
  <si>
    <t>AIR CONDITIONER</t>
  </si>
  <si>
    <t>Paper Shredder Machine Model -A6-1.8T</t>
  </si>
  <si>
    <t>Attendance system</t>
  </si>
  <si>
    <t>Fans- Jagdishpur</t>
  </si>
  <si>
    <t>BIOMETRIC ACCESS MODULE NO X990</t>
  </si>
  <si>
    <t>CEILING FAN (MAHARAJA MAKE)</t>
  </si>
  <si>
    <t>AIR COOLER (VARNA NOVA DX)</t>
  </si>
  <si>
    <t>Samsung Galaxy M31</t>
  </si>
  <si>
    <t>MICROPROCESSOR BASED BOMB CALORIMETER</t>
  </si>
  <si>
    <t>HYDROMETER &amp; MEASURING CYL.</t>
  </si>
  <si>
    <t>MOBILE PHONES</t>
  </si>
  <si>
    <t>MOBILE PHONE (REDMI GO) - A K TIWARI</t>
  </si>
  <si>
    <t>MOBILE PHONE (SAMSUNG J8) IMEI NO.359053099635647</t>
  </si>
  <si>
    <t>MOBILE PHONE (SAMSUNG A7) IMEI NO.352982101204157</t>
  </si>
  <si>
    <t>Attendance  Biometric System-AML DGP</t>
  </si>
  <si>
    <t>Attendance  Biometric System-AML JAG</t>
  </si>
  <si>
    <t>Total Office Equipment</t>
  </si>
  <si>
    <t>Factory Building</t>
  </si>
  <si>
    <t>Building</t>
  </si>
  <si>
    <t xml:space="preserve">Rason for Differences is due to SAP calculated on the basis of 95%/life but in audited its computed on the basis of remaining value each year/ remaining life </t>
  </si>
  <si>
    <t>DO</t>
  </si>
  <si>
    <t>Total Factory Building</t>
  </si>
  <si>
    <t>Office Building</t>
  </si>
  <si>
    <t>Total Office Building</t>
  </si>
  <si>
    <t>Electrical Installation</t>
  </si>
  <si>
    <t>Electrical Installation &amp; Fittings</t>
  </si>
  <si>
    <t>Furnaces Transformer</t>
  </si>
  <si>
    <t>Indoor Substation</t>
  </si>
  <si>
    <t>Outdoor Substation</t>
  </si>
  <si>
    <t>Life End as per Act but book value still available as per SAP, Deceison Required to take</t>
  </si>
  <si>
    <t xml:space="preserve">AIR CIRCUIT BREAKER </t>
  </si>
  <si>
    <t>Life mentioned in Sap is 20 Years</t>
  </si>
  <si>
    <t>Total Electrical Installation</t>
  </si>
  <si>
    <t>Computer</t>
  </si>
  <si>
    <t>Computer Asse.</t>
  </si>
  <si>
    <t>Unitel</t>
  </si>
  <si>
    <t>Comp Asse</t>
  </si>
  <si>
    <t>Computer(Printer)</t>
  </si>
  <si>
    <t>Computer and Accessories</t>
  </si>
  <si>
    <t xml:space="preserve">Computer </t>
  </si>
  <si>
    <t>Computer &amp; Accessories</t>
  </si>
  <si>
    <t>CPU Intel 4160 Core I3</t>
  </si>
  <si>
    <t>Laptop</t>
  </si>
  <si>
    <t>Printer</t>
  </si>
  <si>
    <t>Computer Laptop-8</t>
  </si>
  <si>
    <t>HP PRINTER LASERJET-1020 PLUS</t>
  </si>
  <si>
    <t>SCANNER CANNON LIDE-300</t>
  </si>
  <si>
    <t>DESKTOP COMPAQ LED B191 -18.5</t>
  </si>
  <si>
    <t>UPS</t>
  </si>
  <si>
    <t>COMPUTER DESKTOP</t>
  </si>
  <si>
    <t>LAPTOP-HP(CK120) - 14'' i3/4GB RAM/1 TB HDD</t>
  </si>
  <si>
    <t>Desktop   i3/4GB RAM/1 TB HDD</t>
  </si>
  <si>
    <t>Printer HP 1008</t>
  </si>
  <si>
    <t>Scanner  LID 300</t>
  </si>
  <si>
    <t>UPS  Intex 600VA</t>
  </si>
  <si>
    <t>LENOVO LAPTOP 2YHIN</t>
  </si>
  <si>
    <t>Computer Desktop-18</t>
  </si>
  <si>
    <t>HP Laser Jet Pro M1136 MFP</t>
  </si>
  <si>
    <t>PRINTER CANON 6230 MCCA 151644</t>
  </si>
  <si>
    <t>COMPUTER DESKTOP I3/4GB RAM/1 TB HDD/Win10/19.5LED</t>
  </si>
  <si>
    <t>AOC 18.5" Screen Monitor</t>
  </si>
  <si>
    <t>LAPTOP  HP 240 G7. Part No: 7NN40PA</t>
  </si>
  <si>
    <t>PROJECTOR CANON RAYO R4</t>
  </si>
  <si>
    <t>Assembled Dextop</t>
  </si>
  <si>
    <t>Laptop - Deepak Agarwal</t>
  </si>
  <si>
    <t>Computer 20</t>
  </si>
  <si>
    <t>LAZER  PRINTER 1</t>
  </si>
  <si>
    <t>LAZER  PRINTER 2</t>
  </si>
  <si>
    <t>Total Computer</t>
  </si>
  <si>
    <t>+</t>
  </si>
  <si>
    <t>Trade Mark</t>
  </si>
  <si>
    <t>SAP SOFTWARE LICENCE FEES</t>
  </si>
  <si>
    <t>Licence for Windows Version 10 Professional</t>
  </si>
  <si>
    <t>Licence for Windows Version 8.1 Professional</t>
  </si>
  <si>
    <t>Antivirus Software (Seqrite EPS 7.4)</t>
  </si>
  <si>
    <t>SAP Software Development Fees</t>
  </si>
  <si>
    <t>SAP SOFTWARE LICENCE FEES (21)(PROF7,FUNC7, PROD7)</t>
  </si>
  <si>
    <t>Total Intangible Assets</t>
  </si>
  <si>
    <t>Depreciation as perSAP- Opening</t>
  </si>
  <si>
    <t>Depreciation as perSAP- Additions</t>
  </si>
  <si>
    <t>Total As per Sap</t>
  </si>
  <si>
    <t>As per SAP Sheet</t>
  </si>
  <si>
    <t>Dep as per proviisonal cal</t>
  </si>
  <si>
    <t>On opning</t>
  </si>
  <si>
    <t>On additions</t>
  </si>
  <si>
    <t>On Opening</t>
  </si>
  <si>
    <t>On Additions</t>
  </si>
  <si>
    <t>Assets</t>
  </si>
  <si>
    <t>Cost</t>
  </si>
  <si>
    <t>Date of Purchase</t>
  </si>
  <si>
    <t>Scrap Value</t>
  </si>
  <si>
    <t>Useful Life</t>
  </si>
  <si>
    <t>No. of days used</t>
  </si>
  <si>
    <t>Used in year</t>
  </si>
  <si>
    <t>Remaining life</t>
  </si>
  <si>
    <t>Dep for year 2020-21</t>
  </si>
  <si>
    <t>WDV as on 31.03.2021</t>
  </si>
  <si>
    <t>DEP AS PER SAP</t>
  </si>
  <si>
    <t>DIFF</t>
  </si>
  <si>
    <t>Addition during 2018-19</t>
  </si>
  <si>
    <t>TMT Bar Automatic Bundle Bending Machine</t>
  </si>
  <si>
    <t>GEAR WITH SHAFT</t>
  </si>
  <si>
    <t>Office Equipments</t>
  </si>
  <si>
    <t>A.C 1.5 TON</t>
  </si>
  <si>
    <t>CCTV camera with Accessories</t>
  </si>
  <si>
    <t>LCD Television-40''</t>
  </si>
  <si>
    <t>IPHONE 11 PRO 256GB</t>
  </si>
  <si>
    <t>IPHONE 11 PRO 128GB</t>
  </si>
  <si>
    <t>Pedestal  Main Cooler Fan 36"</t>
  </si>
  <si>
    <t>ATTENDANCE  BIOMETRIC SYSTEM, Make : eSSL - UFACE</t>
  </si>
  <si>
    <t>IP based Standalone Face Cum Finger Attendance sys</t>
  </si>
  <si>
    <t>SAMSUNG MOBILE M11 (3GB RAM 32GB ROM)</t>
  </si>
  <si>
    <t>Canon DR-240 High Speed ADF Scanner</t>
  </si>
  <si>
    <t>HP Laserjet jet 1020 Plus 1</t>
  </si>
  <si>
    <t>HP Laserjet jet 1020 Plus 2</t>
  </si>
  <si>
    <t>HP Laserjet jet 1020 Plus 3</t>
  </si>
  <si>
    <t>REDMI 9A (3/32GB)</t>
  </si>
  <si>
    <t>Split Air Conditioner 0.8 TON Cap., Daikin Make</t>
  </si>
  <si>
    <t>VIVO V-20 MIDNIGHT JAZE</t>
  </si>
  <si>
    <t>DISINFECTION TUNNEL</t>
  </si>
  <si>
    <t>TDU System PLC Up-Gradation</t>
  </si>
  <si>
    <t>Vehicle</t>
  </si>
  <si>
    <t>LENEVO COMMERCIAL LAPTOP RYZEN III - 1</t>
  </si>
  <si>
    <t>LENEVO COMMERCIAL LAPTOP RYZEN III - 2</t>
  </si>
  <si>
    <t>Laptop Lenovo Intel Celeron</t>
  </si>
  <si>
    <t>LAPTOP HP (15-DU2036TX BLACK- I5 10 Th. Gen)</t>
  </si>
  <si>
    <t>Video Conference (VC-800-Phone Wired)</t>
  </si>
  <si>
    <t>Video Conference (VC-200-WP)</t>
  </si>
  <si>
    <t>SCANNER (PRINTER), Model : Canon LIDE 300</t>
  </si>
  <si>
    <t>LENOVO LAPTOP 15.6"LED, MODEL: V145, AMDA6</t>
  </si>
  <si>
    <t>HP LAPTOP 14" LED,   MODEL: 245 G7  (1)</t>
  </si>
  <si>
    <t>HP LAPTOP 14" LED,   MODEL: 245 G7  (2)</t>
  </si>
  <si>
    <t>HP LAPTOP 14" LED,   MODEL: 245 G7  (3)</t>
  </si>
  <si>
    <t>HP LAPTOP 14" LED,   MODEL: 245 G7  (4)</t>
  </si>
  <si>
    <t>HP LAPTOP 14" LED,   MODEL: 245 G7  (5)</t>
  </si>
  <si>
    <t>HP LAPTOP 250 G7</t>
  </si>
  <si>
    <t>HP LAPTOP 14" LED,MODEL: 245 G7</t>
  </si>
  <si>
    <t>HP LAPTOP 14" LED,MODEL: 245 G7 (2)</t>
  </si>
  <si>
    <t>HP LAPTOP 14" LED,MODEL: 245 G7 (3)</t>
  </si>
  <si>
    <t>HP LAPTOP 14" LED,MODEL: 245 G7 (4)</t>
  </si>
  <si>
    <t>HP 15 15s-du2009tu 15-inch Laptop</t>
  </si>
  <si>
    <t>Printer cum Scanner (HP Leaser Jet M1005 MFP)</t>
  </si>
  <si>
    <t>Intangible Assets</t>
  </si>
  <si>
    <t>SAP SOFTWARE LICENCE FEES (21)</t>
  </si>
  <si>
    <t>Furniture &amp; Fixture</t>
  </si>
  <si>
    <t>CWIP(New Furnace)</t>
  </si>
  <si>
    <t xml:space="preserve">Amit Metaliks Ltd. </t>
  </si>
  <si>
    <t>Item wise details of CWIP ( converted into Assest on 30.Sep-20 and 31 March 21</t>
  </si>
  <si>
    <t>Equipment</t>
  </si>
  <si>
    <t>BASIC AMOUNT</t>
  </si>
  <si>
    <t>GST</t>
  </si>
  <si>
    <t>Total Purchase Value</t>
  </si>
  <si>
    <t xml:space="preserve"> </t>
  </si>
  <si>
    <t>Sl No</t>
  </si>
  <si>
    <t>Vendor  Code</t>
  </si>
  <si>
    <t>Vendor Name</t>
  </si>
  <si>
    <t>Item</t>
  </si>
  <si>
    <t>Oct 20-March 21</t>
  </si>
  <si>
    <t>Start to Sep-20</t>
  </si>
  <si>
    <t>Rate</t>
  </si>
  <si>
    <t>Head</t>
  </si>
  <si>
    <t>Electrotherm India Pvt Ltd</t>
  </si>
  <si>
    <t>Induction Furnace</t>
  </si>
  <si>
    <t>Equipment &amp; Plant &amp; Machinery</t>
  </si>
  <si>
    <t>YES</t>
  </si>
  <si>
    <t>Truvolt Engineering Co Pvt Ltd</t>
  </si>
  <si>
    <t>Transformer and Other Capital Items</t>
  </si>
  <si>
    <t>Concast India Ltd (Mumbai</t>
  </si>
  <si>
    <t>Caster Curved Mould</t>
  </si>
  <si>
    <t>Elite Steels Pvt Ltd</t>
  </si>
  <si>
    <t>EOT Crane</t>
  </si>
  <si>
    <t>Hiralal Industrial Technologies Pvt Ltd</t>
  </si>
  <si>
    <t>Siemens</t>
  </si>
  <si>
    <t>VCB Outdoor and Switchboard</t>
  </si>
  <si>
    <t>ELEKTROMAG DEVICES PVT. LTD</t>
  </si>
  <si>
    <t>Circular Lifting Magnet</t>
  </si>
  <si>
    <t>BALAJI PIPES</t>
  </si>
  <si>
    <t>MS Piper</t>
  </si>
  <si>
    <t>Allied Pumps</t>
  </si>
  <si>
    <t>Pump, Motor Etc</t>
  </si>
  <si>
    <t>Techno Enterprises</t>
  </si>
  <si>
    <t>MCC Panel</t>
  </si>
  <si>
    <t>Paharpur Cooling</t>
  </si>
  <si>
    <t>Cooling Tower</t>
  </si>
  <si>
    <t>OM STEELS</t>
  </si>
  <si>
    <t>Vavle, Flang, Short Etc</t>
  </si>
  <si>
    <t>Industrial Movers</t>
  </si>
  <si>
    <t>Screw Compressor and Air Receiver</t>
  </si>
  <si>
    <t>Adya Shakti</t>
  </si>
  <si>
    <t>Bottom Pouring Ladel Bowl</t>
  </si>
  <si>
    <t>HIND HARDWARE STORES</t>
  </si>
  <si>
    <t>Water Proofing Compound and Other Material</t>
  </si>
  <si>
    <t>SHREE SHANKAR ENTERPRISE</t>
  </si>
  <si>
    <t>CS Gate, MS Black, MS Flang, MS Short</t>
  </si>
  <si>
    <t>EASTERN BEARINGS PVT. LTD.</t>
  </si>
  <si>
    <t>Bearing</t>
  </si>
  <si>
    <t>S.H. Hardware &amp; Tools</t>
  </si>
  <si>
    <t>Valve, Gate Valve Etc</t>
  </si>
  <si>
    <t>KAMAL ENTERPRISES</t>
  </si>
  <si>
    <t>Water Stopper</t>
  </si>
  <si>
    <t>SAHAL TRADING CORPORATION</t>
  </si>
  <si>
    <t>Welding Rod, Welding Rec</t>
  </si>
  <si>
    <t>BHARAT PETROLEUM CORPORATION LTD.</t>
  </si>
  <si>
    <t>Hydraulic Oil</t>
  </si>
  <si>
    <t>R B SALES CORPORATION</t>
  </si>
  <si>
    <t>Miscellenous Items1</t>
  </si>
  <si>
    <t>BHARAT PETRO CENTRE</t>
  </si>
  <si>
    <t>Miscellenous Items2</t>
  </si>
  <si>
    <t>MURTUZA TRADING CORPORATION</t>
  </si>
  <si>
    <t>Miscellenous Items3</t>
  </si>
  <si>
    <t>U. P. STEEL CORPORATION</t>
  </si>
  <si>
    <t>Miscellenous Items4</t>
  </si>
  <si>
    <t>IMPERIAL TRADE CENTRE</t>
  </si>
  <si>
    <t>Miscellenous Items5</t>
  </si>
  <si>
    <t>SATABDI MONOLITHICS INDUSTRIES PVT.</t>
  </si>
  <si>
    <t>Miscellenous Items7</t>
  </si>
  <si>
    <t>Maa bhairabi sales corporation</t>
  </si>
  <si>
    <t>Miscellenous Items8</t>
  </si>
  <si>
    <t>R.S TRADING CO.</t>
  </si>
  <si>
    <t>Miscellenous Items9</t>
  </si>
  <si>
    <t>G C BHALA &amp; COMPANY</t>
  </si>
  <si>
    <t>Miscellenous Items10</t>
  </si>
  <si>
    <t>BENGAL MACHINERY CORPORATION</t>
  </si>
  <si>
    <t>Miscellenous Items11</t>
  </si>
  <si>
    <t>SHREE KHAITAN TRADERS</t>
  </si>
  <si>
    <t>Miscellenous Items12</t>
  </si>
  <si>
    <t>JAIN MACHINERY CORPORATION</t>
  </si>
  <si>
    <t>Miscellenous Items13</t>
  </si>
  <si>
    <t>CLARIANT POWER SYSTEM LTD.</t>
  </si>
  <si>
    <t>Outdoor Type HT Fixed Capacitor</t>
  </si>
  <si>
    <t>ASHWATH TECHNOLOGIES PVT. LTD.</t>
  </si>
  <si>
    <t>Slide Gate System, Hydraulic Power Pack</t>
  </si>
  <si>
    <t>BOMBAY VARIETY STORES</t>
  </si>
  <si>
    <t>Air Conditioner</t>
  </si>
  <si>
    <t>M.E.M INDUSTRIES</t>
  </si>
  <si>
    <t>Miscellenous Items14</t>
  </si>
  <si>
    <t>MAA PANURIA BURI ENTERPRISE</t>
  </si>
  <si>
    <t>Bricks 70%</t>
  </si>
  <si>
    <t>RELIABLE SUPPLIERS</t>
  </si>
  <si>
    <t>Miscellenous Items15</t>
  </si>
  <si>
    <t>S.M.ELECTRIC TRADING CO.PVT.LTD.</t>
  </si>
  <si>
    <t>Copper Cable</t>
  </si>
  <si>
    <t>SAAKSHI CONTROLS</t>
  </si>
  <si>
    <t>Miscellenous Items16</t>
  </si>
  <si>
    <t>SINGHI BROTHERS</t>
  </si>
  <si>
    <t>GI Sheet</t>
  </si>
  <si>
    <t>GST DISALLOWED</t>
  </si>
  <si>
    <t>SOURAV (SALES) &amp; CO.</t>
  </si>
  <si>
    <t>Miscellenous Items17</t>
  </si>
  <si>
    <t>RUDRAKSHA BUSINESS SOLUTION</t>
  </si>
  <si>
    <t>Outdoor  Oil Cool, CT Stud Etc</t>
  </si>
  <si>
    <t>THE TECHMECH (INDIA)</t>
  </si>
  <si>
    <t>ARIHANT TUBE COMPANY</t>
  </si>
  <si>
    <t>MS Pipe</t>
  </si>
  <si>
    <t>A D CONSTRUCTION</t>
  </si>
  <si>
    <t>CS Pipe</t>
  </si>
  <si>
    <t>J M Enterprise</t>
  </si>
  <si>
    <t>UPS Battery</t>
  </si>
  <si>
    <t>FIRE SAFETY &amp; CARE</t>
  </si>
  <si>
    <t>FIRE BUCKET WITH STAND</t>
  </si>
  <si>
    <t>SANJAY BAJAJ &amp; SONS</t>
  </si>
  <si>
    <t>Citi Shine Sales Corporation</t>
  </si>
  <si>
    <t>LED Bulb</t>
  </si>
  <si>
    <t>SHREE EQUIPMENTS</t>
  </si>
  <si>
    <t>Ladle Equipment</t>
  </si>
  <si>
    <t>ROCKWIN FLOWMETER INDIA PVT LTD</t>
  </si>
  <si>
    <t>Miscellenous Items19</t>
  </si>
  <si>
    <t>Power Tech India</t>
  </si>
  <si>
    <t>Miscellenous Items 20</t>
  </si>
  <si>
    <t>Meghdoot Furniture LLP</t>
  </si>
  <si>
    <t>Steel Almirah</t>
  </si>
  <si>
    <t>FURNITURE &amp; FIXTURE</t>
  </si>
  <si>
    <t>Apurba Popular Stores</t>
  </si>
  <si>
    <t>Profile Sheet</t>
  </si>
  <si>
    <t>CRYSTAL CONTROLS PVT LTD</t>
  </si>
  <si>
    <t>SHANTILAL ENTERPRISES (DURGAPUR) PV</t>
  </si>
  <si>
    <t>Miscellenous Items 21</t>
  </si>
  <si>
    <t>R.R ENTERPRISES</t>
  </si>
  <si>
    <t>Miscellenous Items 22</t>
  </si>
  <si>
    <t>KOSC Industries Pvt. Ltd.</t>
  </si>
  <si>
    <t>Corru Sheet</t>
  </si>
  <si>
    <t>STEEL AUTHORITY OF INDIA (SAIL)-DGP</t>
  </si>
  <si>
    <t>RAIL LINE</t>
  </si>
  <si>
    <t>Steel Structure</t>
  </si>
  <si>
    <t>Support of Plant &amp; Machinery</t>
  </si>
  <si>
    <t>Steel Centre</t>
  </si>
  <si>
    <t>RUHR ISPAT PVT LTD</t>
  </si>
  <si>
    <t>STEEL CENTRE (DURGAPUR)</t>
  </si>
  <si>
    <t>BHARAT RE-ROLLING MILLS LTD.</t>
  </si>
  <si>
    <t>VEENA STEEL TRADERS</t>
  </si>
  <si>
    <t>SHREE  PARASHNATH RE- ROLLING MILLS</t>
  </si>
  <si>
    <t>A. Total Equipment</t>
  </si>
  <si>
    <t>Installation expenses</t>
  </si>
  <si>
    <t>Purchase Value</t>
  </si>
  <si>
    <t>C T CONSTRUCTION</t>
  </si>
  <si>
    <t xml:space="preserve">Aggregate </t>
  </si>
  <si>
    <t>ALLIED INFRADEVELOPMENT PRIVATE LIM</t>
  </si>
  <si>
    <t>Dev Enterprise</t>
  </si>
  <si>
    <t>Bricks</t>
  </si>
  <si>
    <t>SHREE SWASTICK INDUSTRIES</t>
  </si>
  <si>
    <t>PAUL ENTERPRISE</t>
  </si>
  <si>
    <t xml:space="preserve">Bricks </t>
  </si>
  <si>
    <t>Birla Corporation Limited</t>
  </si>
  <si>
    <t>Cement</t>
  </si>
  <si>
    <t>JSW CEMENT LTD</t>
  </si>
  <si>
    <t>OM DURGA TRADERS</t>
  </si>
  <si>
    <t>JAYANTI ENTERPRISE</t>
  </si>
  <si>
    <t>ALLIED (INDIA)</t>
  </si>
  <si>
    <t>DURGAPUR IRON &amp; STEEL</t>
  </si>
  <si>
    <t>BAIRAGYA CONSTRUCTION PVT. LTD.</t>
  </si>
  <si>
    <t>Ready Mixture</t>
  </si>
  <si>
    <t>SHAKTIPADA GHOSH [CREDITOR NEW FURN</t>
  </si>
  <si>
    <t>Sand</t>
  </si>
  <si>
    <t>ABHIMANYU SINGH ENTERPRISE</t>
  </si>
  <si>
    <t>NABAJIT ENTERPRISE</t>
  </si>
  <si>
    <t>SRISTI</t>
  </si>
  <si>
    <t>AML Own TMT</t>
  </si>
  <si>
    <t>TMT TRISHAKTI</t>
  </si>
  <si>
    <t>TMT</t>
  </si>
  <si>
    <t>P B ENTERPRISE</t>
  </si>
  <si>
    <t>Manpower Supply</t>
  </si>
  <si>
    <t>Plant &amp; Mach</t>
  </si>
  <si>
    <t>Input Not taken</t>
  </si>
  <si>
    <t>Tul Construction</t>
  </si>
  <si>
    <t>Fabrication &amp; Erection</t>
  </si>
  <si>
    <t>SCOT Enterprise</t>
  </si>
  <si>
    <t>GAYATRI DHARA</t>
  </si>
  <si>
    <t>civil</t>
  </si>
  <si>
    <t>RELIABLE ENTERPRISE</t>
  </si>
  <si>
    <t>RAMJEE PRASAD GUPTA</t>
  </si>
  <si>
    <t>Furnance caster</t>
  </si>
  <si>
    <t>PRAGYA ENTERPRISE</t>
  </si>
  <si>
    <t>EOT crane Erection</t>
  </si>
  <si>
    <t>A.M.CONSTRUCTOR</t>
  </si>
  <si>
    <t>Satyam Infra Project</t>
  </si>
  <si>
    <t>Furnance caster &amp; Civil</t>
  </si>
  <si>
    <t>Shree Shyam Diving</t>
  </si>
  <si>
    <t>Annu &amp; Company</t>
  </si>
  <si>
    <t>Electrical</t>
  </si>
  <si>
    <t>A. E. ENTERPRISE</t>
  </si>
  <si>
    <t>TECHNO PROJECT</t>
  </si>
  <si>
    <t>DASCON ENTERPRISES</t>
  </si>
  <si>
    <t>Takshvi Infra Pvt Ltd</t>
  </si>
  <si>
    <t>CONCAST (INDIA) LIMITED - MUMBAI</t>
  </si>
  <si>
    <t>Professional Service</t>
  </si>
  <si>
    <t>GENESIS INFRASTRUCTURE</t>
  </si>
  <si>
    <t>SMS ENGINEERING and CONSULTANTS</t>
  </si>
  <si>
    <t>ASIT KUMAR DATTA</t>
  </si>
  <si>
    <t>MOUNTAIN ENTERPRISES</t>
  </si>
  <si>
    <t>Hire Charges</t>
  </si>
  <si>
    <t>GUJRAL CONSTRUCTION</t>
  </si>
  <si>
    <t>Arcon Project Pvt. Ltd.</t>
  </si>
  <si>
    <t>DURGAPUR MECHANICAL ENTERPRISE</t>
  </si>
  <si>
    <t>C.P Infrastructure</t>
  </si>
  <si>
    <t>SUMAN  ENTERPRISE</t>
  </si>
  <si>
    <t>OMS LOGISTICS PVT LTD</t>
  </si>
  <si>
    <t>Transportation Charges</t>
  </si>
  <si>
    <t>SHIVGANGA TRANSPORT PRIVATE LTD</t>
  </si>
  <si>
    <t>Associated Road Carriers Limited</t>
  </si>
  <si>
    <t>PSP Road Carriers</t>
  </si>
  <si>
    <t>TCI FREIGHT</t>
  </si>
  <si>
    <t>GUJARAT CARGO CARRIERS</t>
  </si>
  <si>
    <t>GATI KINTETSU EXPRESS PVT. LTD</t>
  </si>
  <si>
    <t>Rolta</t>
  </si>
  <si>
    <t>CALCUTTA TRANSPORT COMPANY</t>
  </si>
  <si>
    <t>JAY MAA KALI TRANSPORT</t>
  </si>
  <si>
    <t>Sangam Road Carriers (Pune</t>
  </si>
  <si>
    <t>LAA SUPPLY SOLUTION</t>
  </si>
  <si>
    <t>WB Electricity Distribution Co.Ltd</t>
  </si>
  <si>
    <t>Miscelleneous</t>
  </si>
  <si>
    <t>SURAJ AGENCIES</t>
  </si>
  <si>
    <t>Other Miscelleneous Items</t>
  </si>
  <si>
    <t>B-</t>
  </si>
  <si>
    <t>TOTAL CIVIL WORK</t>
  </si>
  <si>
    <t>Bank Charges</t>
  </si>
  <si>
    <t>C-</t>
  </si>
  <si>
    <t>Ineterst Cost on Term Loan</t>
  </si>
  <si>
    <t>TOTAL PAYMENT FROM TL A/C (A+B+C)</t>
  </si>
  <si>
    <t>Less:</t>
  </si>
  <si>
    <t xml:space="preserve">Excluded items </t>
  </si>
  <si>
    <t xml:space="preserve">Calculation of GST Disallowed on Civil Work </t>
  </si>
  <si>
    <t>s</t>
  </si>
  <si>
    <t>Breakup</t>
  </si>
  <si>
    <t>Sheets for Shed</t>
  </si>
  <si>
    <t>Total GST Amt</t>
  </si>
  <si>
    <t>GST Disallowed</t>
  </si>
  <si>
    <t>Oct 20-Mar 21</t>
  </si>
  <si>
    <t>Total</t>
  </si>
  <si>
    <t>On Steel Structure</t>
  </si>
  <si>
    <t>Total Qty of Steel</t>
  </si>
  <si>
    <t>MT</t>
  </si>
  <si>
    <t>Used for Truses</t>
  </si>
  <si>
    <t>Total Disallowed on Steel Stucture</t>
  </si>
  <si>
    <t>Working for GST Disallowance on Manpower</t>
  </si>
  <si>
    <t>Manpower Supply for fabrication &amp; Erection</t>
  </si>
  <si>
    <t>Proportion of Disallowance(Rs.66 Lac/281.49Mt*101.437Mt.)</t>
  </si>
  <si>
    <t>GST Amount Disallowed</t>
  </si>
  <si>
    <t xml:space="preserve">Less : Input not taken </t>
  </si>
  <si>
    <t xml:space="preserve">suspense Party </t>
  </si>
  <si>
    <t>Assumed party figure incorporated</t>
  </si>
  <si>
    <t>GST Disallowed on Manpower</t>
  </si>
  <si>
    <t>Total Disallowed</t>
  </si>
  <si>
    <t>(A+B+C)</t>
  </si>
  <si>
    <t>CWIP converted into Plant &amp; Machinery</t>
  </si>
  <si>
    <t xml:space="preserve"> Plant &amp; machinery</t>
  </si>
  <si>
    <t>Add: GST Disallowed</t>
  </si>
  <si>
    <t>CALCULATION OF DEPRECIATION</t>
  </si>
  <si>
    <t>Particulars</t>
  </si>
  <si>
    <t>DOC</t>
  </si>
  <si>
    <t>Amount</t>
  </si>
  <si>
    <t>Useful Life(YRS)</t>
  </si>
  <si>
    <t xml:space="preserve">No of days </t>
  </si>
  <si>
    <t>Salvage Value</t>
  </si>
  <si>
    <t>Depreciation</t>
  </si>
  <si>
    <t>As per Note 12 FA</t>
  </si>
  <si>
    <t>31.10.21</t>
  </si>
  <si>
    <t>30.11.21</t>
  </si>
  <si>
    <t>Date of Purchase / Installation</t>
  </si>
  <si>
    <t>Furniture Fixtures</t>
  </si>
  <si>
    <t>Motor Vehicles</t>
  </si>
  <si>
    <t>Office equuipments</t>
  </si>
  <si>
    <t>Electrical iInstallations</t>
  </si>
  <si>
    <t>Software</t>
  </si>
  <si>
    <t xml:space="preserve">office and factory building  </t>
  </si>
  <si>
    <t>These are considered in l&amp;b</t>
  </si>
  <si>
    <t>pump &lt;1 lakh</t>
  </si>
  <si>
    <t>years</t>
  </si>
  <si>
    <t>Pump&gt; 1 lakh</t>
  </si>
  <si>
    <t>alendar Year</t>
  </si>
  <si>
    <t>Index</t>
  </si>
  <si>
    <t>MOTOR &amp; OTHER DC EQUIPMENT</t>
  </si>
  <si>
    <t>Electrical wires &amp; Cables= electrical installations</t>
  </si>
  <si>
    <t>t/f</t>
  </si>
  <si>
    <t>electrical relay/conductor</t>
  </si>
  <si>
    <t>Calendar Year</t>
  </si>
  <si>
    <t>pump</t>
  </si>
  <si>
    <t>air conditioner</t>
  </si>
  <si>
    <t>bikes</t>
  </si>
  <si>
    <t>mototr vehicles</t>
  </si>
  <si>
    <t>earth moving machines= hydra</t>
  </si>
  <si>
    <t>air compressor = air gas compressor</t>
  </si>
  <si>
    <t>milling industry = bending, casting machine, p&amp; m hot chARGING etc</t>
  </si>
  <si>
    <t>cranes</t>
  </si>
  <si>
    <t>spm= drives, furnace pre heater, Q4 TASMAN</t>
  </si>
  <si>
    <t>cooling tower</t>
  </si>
  <si>
    <t>FILTRATION EQUIP= WATER TREATMENT</t>
  </si>
  <si>
    <t>CAPACITOR</t>
  </si>
  <si>
    <t>material handling = weigh bridge</t>
  </si>
  <si>
    <t>METER PANEL = CONTROL PANEL</t>
  </si>
  <si>
    <t>ELECTRONIC PCB/ MICRO CIRCUIT= EDO AC MICROPROCESSOR</t>
  </si>
  <si>
    <t>GENERAL PURPOSE MACHINERY</t>
  </si>
  <si>
    <t>GENERAL PURPOSE</t>
  </si>
  <si>
    <t>Office equipments</t>
  </si>
  <si>
    <t>INTERNAL SUMMARY OF PLANT &amp;MACHINERY VALUATION   | M/S AMIT METALICS</t>
  </si>
  <si>
    <t>ENCLOSURE :- G | SOFTWARE | M/S AMIT METALIKS LTD. | ANGADPUR INDUSTRIAL AREA, DURGAPUR |PURBA BARDHMAN | WEST BENGAL</t>
  </si>
  <si>
    <t>ENCLOSURE :- F | COMPUTER | M/S AMIT METALIKS LTD. | ANGADPUR INDUSTRIAL AREA, DURGAPUR |PURBA BARDHMAN | WEST BENGAL</t>
  </si>
  <si>
    <t>ENCLOSURE :- E | ELECTRICAL INSTALLATIONS VALUATION |  M/S AMIT METALIKS LTD. | ANGADPUR INDUSTRIAL AREA, DURGAPUR |PURBA BARDHMAN | WEST BENGAL</t>
  </si>
  <si>
    <t>ENCLOSURE :-D |OFFICE EQUIPMENTS VALUATION | M/S AMIT METALIKS LTD. | ANGADPUR INDUSTRIAL AREA, DURGAPUR |PURBA BARDHMAN | WEST BENGAL</t>
  </si>
  <si>
    <t>ENCLOSURE :-C |MOTOR VEHICLES  | M/S AMIT METALIKS LTD. | ANGADPUR INDUSTRIAL AREA, DURGAPUR |PURBA BARDHMAN | WEST BENGAL</t>
  </si>
  <si>
    <t>ENCLOSURE :-B |FURNITURE FIXTURES | M/S AMIT METALIKS LTD. | ANGADPUR INDUSTRIAL AREA, DURGAPUR |PURBA BARDHMAN | WEST BENGAL</t>
  </si>
  <si>
    <t>ENCLOSURE :-A |PLANT &amp; MACHINNERY VALUATION | M/S AMIT METALIKS LTD. | ANGADPUR INDUSTRIAL AREA, DURGAPUR |PURBA BARDHMAN | WEST BENGAL</t>
  </si>
  <si>
    <t>SUMMARY OF PLANT &amp; MACHINERY VALUATION  | M/S AMIT METALIKS LTD. | ANGADPUR INDUSTRIAL AREA, DURGAPUR |PURBA BARDHMAN | WEST BENGAL</t>
  </si>
  <si>
    <t>4. For evaluating useful life for calculation of depreciation, Chart of Companies Act-2013 is referred.</t>
  </si>
  <si>
    <t>1. Asset items pertaining to M/s. Amit Metaliks ltd., Angadpur Industrial Area, Durgapur, Purba Burdman, West Bengal is only considered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</si>
</sst>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_ &quot;₹&quot;\ * #,##0.00_ ;_ &quot;₹&quot;\ * \-#,##0.00_ ;_ &quot;₹&quot;\ * &quot;-&quot;??_ ;_ @_ "/>
    <numFmt numFmtId="165" formatCode="_ * #,##0.00_ ;_ * \-#,##0.00_ ;_ * &quot;-&quot;??_ ;_ @_ "/>
    <numFmt numFmtId="166" formatCode="_ * #,##0_ ;_ * \-#,##0_ ;_ * &quot;-&quot;??_ ;_ @_ "/>
    <numFmt numFmtId="167" formatCode="_ &quot;₹&quot;\ * #,##0_ ;_ &quot;₹&quot;\ * \-#,##0_ ;_ &quot;₹&quot;\ * &quot;-&quot;??_ ;_ @_ "/>
    <numFmt numFmtId="168" formatCode="0.000"/>
    <numFmt numFmtId="169" formatCode="0.00_)"/>
    <numFmt numFmtId="170" formatCode="dd/mm/yyyy;@"/>
    <numFmt numFmtId="171" formatCode="0.0000000000"/>
    <numFmt numFmtId="172" formatCode="_(* #,##0_);_(* \(#,##0\);_(* &quot;-&quot;??_);_(@_)"/>
    <numFmt numFmtId="173" formatCode="_ * #,##0.000_ ;_ * \-#,##0.000_ ;_ * &quot;-&quot;??.0_ ;_ @_ "/>
    <numFmt numFmtId="174" formatCode="0_ "/>
    <numFmt numFmtId="175" formatCode="dd\-mm\-yyyy"/>
  </numFmts>
  <fonts count="4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i/>
      <sz val="10"/>
      <name val="Calibri"/>
      <family val="2"/>
      <scheme val="minor"/>
    </font>
    <font>
      <b/>
      <i/>
      <sz val="11"/>
      <color theme="1"/>
      <name val="Calibri"/>
      <family val="2"/>
      <scheme val="minor"/>
    </font>
    <font>
      <b/>
      <i/>
      <sz val="11"/>
      <color rgb="FF000000"/>
      <name val="Calibri"/>
      <family val="2"/>
    </font>
    <font>
      <sz val="11"/>
      <color rgb="FFFF0000"/>
      <name val="Calibri"/>
      <family val="2"/>
      <scheme val="minor"/>
    </font>
    <font>
      <sz val="10"/>
      <name val="Arial"/>
      <family val="2"/>
    </font>
    <font>
      <b/>
      <sz val="10"/>
      <name val="Trebuchet MS"/>
      <family val="2"/>
    </font>
    <font>
      <sz val="12"/>
      <name val="Times New Roman"/>
      <family val="1"/>
    </font>
    <font>
      <b/>
      <sz val="11"/>
      <name val="Trebuchet MS"/>
      <family val="2"/>
    </font>
    <font>
      <sz val="10"/>
      <name val="Trebuchet MS"/>
      <family val="2"/>
    </font>
    <font>
      <sz val="11"/>
      <name val="Calibri"/>
      <family val="2"/>
      <scheme val="minor"/>
    </font>
    <font>
      <sz val="10"/>
      <name val="Arial"/>
      <family val="2"/>
      <charset val="134"/>
    </font>
    <font>
      <sz val="11"/>
      <name val="Calibri"/>
      <family val="2"/>
      <charset val="134"/>
    </font>
    <font>
      <b/>
      <u/>
      <sz val="10"/>
      <name val="Arial"/>
      <family val="2"/>
    </font>
    <font>
      <sz val="11"/>
      <name val="Trebuchet MS"/>
      <family val="2"/>
    </font>
    <font>
      <sz val="10"/>
      <color rgb="FFFF0000"/>
      <name val="Trebuchet MS"/>
      <family val="2"/>
    </font>
    <font>
      <b/>
      <sz val="11"/>
      <color indexed="8"/>
      <name val="Trebuchet MS"/>
      <family val="2"/>
    </font>
    <font>
      <sz val="11"/>
      <color rgb="FFFF0000"/>
      <name val="Trebuchet MS"/>
      <family val="2"/>
    </font>
    <font>
      <sz val="11"/>
      <color indexed="8"/>
      <name val="Calibri"/>
      <family val="2"/>
      <charset val="134"/>
    </font>
    <font>
      <sz val="10"/>
      <color rgb="FFFF0000"/>
      <name val="Arial"/>
      <family val="2"/>
    </font>
    <font>
      <b/>
      <u/>
      <sz val="10"/>
      <name val="Trebuchet MS"/>
      <family val="2"/>
    </font>
    <font>
      <b/>
      <sz val="11"/>
      <color indexed="8"/>
      <name val="Calibri"/>
      <family val="2"/>
      <charset val="134"/>
    </font>
    <font>
      <b/>
      <sz val="10"/>
      <name val="Arial"/>
      <family val="2"/>
      <charset val="134"/>
    </font>
    <font>
      <b/>
      <sz val="10"/>
      <name val="Arial"/>
      <family val="2"/>
    </font>
    <font>
      <b/>
      <sz val="12"/>
      <color theme="1"/>
      <name val="Arial"/>
      <family val="2"/>
    </font>
    <font>
      <b/>
      <sz val="12"/>
      <color theme="1"/>
      <name val="Calibri"/>
      <family val="2"/>
      <scheme val="minor"/>
    </font>
    <font>
      <b/>
      <sz val="14"/>
      <color theme="1"/>
      <name val="Calibri"/>
      <family val="2"/>
      <scheme val="minor"/>
    </font>
    <font>
      <sz val="10"/>
      <color theme="1"/>
      <name val="Arial"/>
      <family val="2"/>
    </font>
    <font>
      <sz val="11"/>
      <color indexed="8"/>
      <name val="Calibri"/>
      <family val="2"/>
    </font>
    <font>
      <sz val="11"/>
      <color indexed="8"/>
      <name val="Courier New"/>
      <family val="3"/>
    </font>
    <font>
      <sz val="11"/>
      <color rgb="FF000000"/>
      <name val="Calibri"/>
      <family val="2"/>
      <scheme val="minor"/>
    </font>
    <font>
      <sz val="10"/>
      <name val="Verdana"/>
      <family val="2"/>
    </font>
    <font>
      <b/>
      <sz val="10"/>
      <name val="Verdana"/>
      <family val="2"/>
    </font>
    <font>
      <b/>
      <sz val="10"/>
      <color theme="1"/>
      <name val="Arial"/>
      <family val="2"/>
    </font>
    <font>
      <sz val="11"/>
      <color theme="1"/>
      <name val="Arial"/>
      <family val="2"/>
    </font>
    <font>
      <b/>
      <sz val="10"/>
      <color rgb="FFFFFFFF"/>
      <name val="Arial"/>
      <family val="2"/>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Arial"/>
      <family val="2"/>
    </font>
  </fonts>
  <fills count="23">
    <fill>
      <patternFill patternType="none"/>
    </fill>
    <fill>
      <patternFill patternType="gray125"/>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indexed="43"/>
        <bgColor indexed="64"/>
      </patternFill>
    </fill>
    <fill>
      <patternFill patternType="solid">
        <fgColor theme="0" tint="-0.49998474074526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30549E"/>
        <bgColor indexed="64"/>
      </patternFill>
    </fill>
    <fill>
      <patternFill patternType="solid">
        <fgColor rgb="FFDDDDD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auto="1"/>
      </left>
      <right style="thin">
        <color auto="1"/>
      </right>
      <top/>
      <bottom style="double">
        <color auto="1"/>
      </bottom>
      <diagonal/>
    </border>
    <border>
      <left/>
      <right/>
      <top/>
      <bottom style="double">
        <color auto="1"/>
      </bottom>
      <diagonal/>
    </border>
    <border>
      <left/>
      <right/>
      <top/>
      <bottom style="thin">
        <color theme="4" tint="0.39994506668294322"/>
      </bottom>
      <diagonal/>
    </border>
    <border>
      <left/>
      <right/>
      <top style="thin">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right style="thin">
        <color indexed="64"/>
      </right>
      <top/>
      <bottom style="medium">
        <color rgb="FFFFFFFF"/>
      </bottom>
      <diagonal/>
    </border>
    <border>
      <left style="medium">
        <color rgb="FFFFFFFF"/>
      </left>
      <right style="medium">
        <color rgb="FFFFFFFF"/>
      </right>
      <top/>
      <bottom/>
      <diagonal/>
    </border>
    <border>
      <left style="medium">
        <color rgb="FFFFFFFF"/>
      </left>
      <right/>
      <top/>
      <bottom/>
      <diagonal/>
    </border>
    <border>
      <left style="thin">
        <color indexed="64"/>
      </left>
      <right/>
      <top/>
      <bottom style="medium">
        <color rgb="FFFFFFFF"/>
      </bottom>
      <diagonal/>
    </border>
  </borders>
  <cellStyleXfs count="28">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alignment vertical="center"/>
    </xf>
    <xf numFmtId="43" fontId="11" fillId="0" borderId="0" applyFont="0" applyFill="0" applyBorder="0" applyAlignment="0" applyProtection="0">
      <alignment vertical="center"/>
    </xf>
    <xf numFmtId="0" fontId="9" fillId="0" borderId="0"/>
    <xf numFmtId="0" fontId="9"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9" fillId="0" borderId="0">
      <alignment vertical="center"/>
    </xf>
    <xf numFmtId="0" fontId="33"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cellStyleXfs>
  <cellXfs count="759">
    <xf numFmtId="0" fontId="0" fillId="0" borderId="0" xfId="0"/>
    <xf numFmtId="166" fontId="2" fillId="2" borderId="1" xfId="1" applyNumberFormat="1" applyFont="1" applyFill="1" applyBorder="1"/>
    <xf numFmtId="0" fontId="3" fillId="0" borderId="1" xfId="0" applyFont="1" applyBorder="1"/>
    <xf numFmtId="0" fontId="0" fillId="0" borderId="1" xfId="0" applyBorder="1"/>
    <xf numFmtId="166" fontId="0" fillId="0" borderId="1" xfId="1" applyNumberFormat="1" applyFont="1" applyBorder="1"/>
    <xf numFmtId="165" fontId="0" fillId="0" borderId="0" xfId="1" applyNumberFormat="1" applyFont="1"/>
    <xf numFmtId="0" fontId="0" fillId="3" borderId="0" xfId="0" applyFill="1"/>
    <xf numFmtId="0" fontId="0" fillId="4" borderId="0" xfId="0" applyFill="1"/>
    <xf numFmtId="0" fontId="0" fillId="0" borderId="2" xfId="0" applyBorder="1"/>
    <xf numFmtId="166" fontId="0" fillId="0" borderId="2" xfId="1" applyNumberFormat="1" applyFont="1" applyBorder="1"/>
    <xf numFmtId="0" fontId="0" fillId="0" borderId="1" xfId="0" applyBorder="1" applyAlignment="1">
      <alignment horizontal="center"/>
    </xf>
    <xf numFmtId="0" fontId="0" fillId="4" borderId="1" xfId="0" applyFill="1" applyBorder="1" applyAlignment="1">
      <alignment horizontal="center"/>
    </xf>
    <xf numFmtId="0" fontId="0" fillId="0" borderId="2" xfId="0" applyBorder="1" applyAlignment="1">
      <alignment horizontal="center"/>
    </xf>
    <xf numFmtId="164" fontId="0" fillId="0" borderId="0" xfId="2" applyFont="1"/>
    <xf numFmtId="167" fontId="0" fillId="0" borderId="1" xfId="2" applyNumberFormat="1" applyFont="1" applyBorder="1" applyAlignment="1">
      <alignment horizontal="center"/>
    </xf>
    <xf numFmtId="164" fontId="0" fillId="0" borderId="2" xfId="2" applyFont="1" applyBorder="1"/>
    <xf numFmtId="164" fontId="0" fillId="0" borderId="1" xfId="2" applyFont="1" applyBorder="1"/>
    <xf numFmtId="164" fontId="0" fillId="3" borderId="0" xfId="2" applyFont="1" applyFill="1"/>
    <xf numFmtId="167" fontId="0" fillId="4" borderId="1" xfId="2" applyNumberFormat="1" applyFont="1" applyFill="1" applyBorder="1" applyAlignment="1">
      <alignment horizontal="center"/>
    </xf>
    <xf numFmtId="14" fontId="0" fillId="4" borderId="1" xfId="0" applyNumberFormat="1" applyFill="1" applyBorder="1" applyAlignment="1">
      <alignment horizontal="center"/>
    </xf>
    <xf numFmtId="168" fontId="0" fillId="4" borderId="1" xfId="0" applyNumberFormat="1" applyFill="1" applyBorder="1" applyAlignment="1">
      <alignment horizontal="center"/>
    </xf>
    <xf numFmtId="164" fontId="0" fillId="4" borderId="1" xfId="2" applyFont="1" applyFill="1" applyBorder="1" applyAlignment="1">
      <alignment horizontal="center"/>
    </xf>
    <xf numFmtId="0" fontId="0" fillId="4" borderId="2" xfId="0" applyFill="1" applyBorder="1" applyAlignment="1">
      <alignment horizontal="center"/>
    </xf>
    <xf numFmtId="0" fontId="3" fillId="0" borderId="0" xfId="0" applyFont="1"/>
    <xf numFmtId="167" fontId="3" fillId="0" borderId="1" xfId="2" applyNumberFormat="1" applyFont="1" applyBorder="1"/>
    <xf numFmtId="167" fontId="0" fillId="0" borderId="0" xfId="0" applyNumberFormat="1"/>
    <xf numFmtId="0" fontId="0" fillId="4" borderId="8" xfId="0" applyFill="1" applyBorder="1" applyAlignment="1">
      <alignment horizontal="center"/>
    </xf>
    <xf numFmtId="14" fontId="0" fillId="4" borderId="8" xfId="0" applyNumberFormat="1" applyFill="1" applyBorder="1" applyAlignment="1">
      <alignment horizontal="center"/>
    </xf>
    <xf numFmtId="168" fontId="0" fillId="4" borderId="8" xfId="0" applyNumberFormat="1" applyFill="1" applyBorder="1" applyAlignment="1">
      <alignment horizontal="center"/>
    </xf>
    <xf numFmtId="167" fontId="0" fillId="4" borderId="9" xfId="0" applyNumberFormat="1" applyFill="1" applyBorder="1" applyAlignment="1">
      <alignment horizontal="center"/>
    </xf>
    <xf numFmtId="164" fontId="0" fillId="4" borderId="8" xfId="2" applyFont="1" applyFill="1" applyBorder="1" applyAlignment="1">
      <alignment horizontal="center"/>
    </xf>
    <xf numFmtId="167" fontId="0" fillId="4" borderId="1" xfId="2" applyNumberFormat="1" applyFont="1" applyFill="1" applyBorder="1" applyAlignment="1">
      <alignment horizontal="center" vertical="center"/>
    </xf>
    <xf numFmtId="167" fontId="3" fillId="4" borderId="11" xfId="0" applyNumberFormat="1" applyFont="1" applyFill="1" applyBorder="1"/>
    <xf numFmtId="167" fontId="3" fillId="4" borderId="12" xfId="0" applyNumberFormat="1" applyFont="1" applyFill="1" applyBorder="1"/>
    <xf numFmtId="0" fontId="0" fillId="0" borderId="1" xfId="0" applyBorder="1" applyAlignment="1">
      <alignment horizontal="center"/>
    </xf>
    <xf numFmtId="9" fontId="0" fillId="4" borderId="1" xfId="3" applyFont="1" applyFill="1" applyBorder="1" applyAlignment="1">
      <alignment horizontal="center"/>
    </xf>
    <xf numFmtId="9" fontId="0" fillId="4" borderId="1" xfId="3" applyFont="1" applyFill="1" applyBorder="1" applyAlignment="1">
      <alignment horizontal="center" vertical="center"/>
    </xf>
    <xf numFmtId="9" fontId="0" fillId="0" borderId="0" xfId="3" applyFont="1"/>
    <xf numFmtId="9" fontId="0" fillId="3" borderId="0" xfId="3" applyFont="1" applyFill="1"/>
    <xf numFmtId="9" fontId="0" fillId="0" borderId="1" xfId="3" applyFont="1" applyBorder="1" applyAlignment="1">
      <alignment horizontal="center"/>
    </xf>
    <xf numFmtId="0" fontId="4" fillId="6" borderId="1" xfId="0" applyFont="1" applyFill="1" applyBorder="1" applyAlignment="1">
      <alignment horizontal="center" vertical="center" wrapText="1"/>
    </xf>
    <xf numFmtId="164" fontId="4" fillId="6" borderId="1" xfId="2" applyFont="1" applyFill="1" applyBorder="1" applyAlignment="1">
      <alignment horizontal="center" vertical="center" wrapText="1"/>
    </xf>
    <xf numFmtId="9" fontId="4" fillId="6" borderId="1" xfId="3" applyFont="1" applyFill="1" applyBorder="1" applyAlignment="1">
      <alignment horizontal="center" vertical="center" wrapText="1"/>
    </xf>
    <xf numFmtId="0" fontId="0" fillId="0" borderId="6" xfId="0" applyBorder="1" applyAlignment="1">
      <alignment horizontal="center"/>
    </xf>
    <xf numFmtId="167" fontId="0" fillId="0" borderId="17" xfId="2" applyNumberFormat="1" applyFont="1" applyBorder="1" applyAlignment="1">
      <alignment horizontal="center"/>
    </xf>
    <xf numFmtId="0" fontId="0" fillId="0" borderId="21" xfId="0" applyBorder="1" applyAlignment="1">
      <alignment horizontal="center"/>
    </xf>
    <xf numFmtId="167" fontId="0" fillId="0" borderId="2" xfId="2" applyNumberFormat="1" applyFont="1" applyBorder="1" applyAlignment="1">
      <alignment horizontal="center"/>
    </xf>
    <xf numFmtId="167" fontId="0" fillId="0" borderId="22" xfId="2" applyNumberFormat="1" applyFont="1" applyBorder="1" applyAlignment="1">
      <alignment horizontal="center"/>
    </xf>
    <xf numFmtId="167" fontId="3" fillId="0" borderId="11" xfId="2" applyNumberFormat="1" applyFont="1" applyBorder="1" applyAlignment="1">
      <alignment horizontal="center"/>
    </xf>
    <xf numFmtId="167" fontId="3" fillId="0" borderId="12" xfId="2" applyNumberFormat="1" applyFont="1" applyBorder="1" applyAlignment="1">
      <alignment horizontal="center"/>
    </xf>
    <xf numFmtId="0" fontId="4" fillId="6" borderId="10" xfId="0" applyFont="1" applyFill="1" applyBorder="1" applyAlignment="1">
      <alignment horizontal="center"/>
    </xf>
    <xf numFmtId="0" fontId="4" fillId="6" borderId="11" xfId="0" applyFont="1" applyFill="1" applyBorder="1" applyAlignment="1">
      <alignment horizontal="center"/>
    </xf>
    <xf numFmtId="0" fontId="4" fillId="6" borderId="12" xfId="0" applyFont="1" applyFill="1" applyBorder="1" applyAlignment="1">
      <alignment horizontal="center"/>
    </xf>
    <xf numFmtId="0" fontId="0" fillId="0" borderId="6" xfId="0" applyFill="1" applyBorder="1" applyAlignment="1">
      <alignment horizontal="center" vertical="center"/>
    </xf>
    <xf numFmtId="0" fontId="0" fillId="0" borderId="1" xfId="0" applyFill="1" applyBorder="1" applyAlignment="1">
      <alignment horizontal="center"/>
    </xf>
    <xf numFmtId="167" fontId="0" fillId="0" borderId="1" xfId="2" applyNumberFormat="1" applyFont="1" applyFill="1" applyBorder="1" applyAlignment="1">
      <alignment horizontal="center"/>
    </xf>
    <xf numFmtId="164" fontId="0" fillId="0" borderId="8" xfId="2" applyFont="1" applyFill="1" applyBorder="1" applyAlignment="1">
      <alignment horizontal="center"/>
    </xf>
    <xf numFmtId="167" fontId="0" fillId="0" borderId="9" xfId="0" applyNumberFormat="1" applyFill="1" applyBorder="1" applyAlignment="1">
      <alignment horizontal="center"/>
    </xf>
    <xf numFmtId="9" fontId="0" fillId="0" borderId="1" xfId="3" applyFont="1" applyFill="1" applyBorder="1" applyAlignment="1">
      <alignment horizontal="center"/>
    </xf>
    <xf numFmtId="167" fontId="3" fillId="0" borderId="1" xfId="0" applyNumberFormat="1" applyFont="1" applyFill="1" applyBorder="1" applyAlignment="1">
      <alignment horizontal="center"/>
    </xf>
    <xf numFmtId="0" fontId="3" fillId="0" borderId="1" xfId="0" applyFont="1" applyFill="1" applyBorder="1" applyAlignment="1">
      <alignment horizontal="center"/>
    </xf>
    <xf numFmtId="0" fontId="0" fillId="0" borderId="2" xfId="0" applyBorder="1" applyAlignment="1">
      <alignment horizontal="left"/>
    </xf>
    <xf numFmtId="0" fontId="0" fillId="0" borderId="1" xfId="0" applyBorder="1" applyAlignment="1">
      <alignment horizontal="left"/>
    </xf>
    <xf numFmtId="0" fontId="0" fillId="4" borderId="0" xfId="0" applyFill="1" applyBorder="1" applyAlignment="1">
      <alignment horizontal="center"/>
    </xf>
    <xf numFmtId="164" fontId="4" fillId="6" borderId="23" xfId="2" applyFont="1" applyFill="1" applyBorder="1" applyAlignment="1">
      <alignment horizontal="center" vertical="center" wrapText="1"/>
    </xf>
    <xf numFmtId="0" fontId="10" fillId="0" borderId="1" xfId="4" applyFont="1" applyFill="1" applyBorder="1" applyAlignment="1">
      <alignment horizontal="left" vertical="center"/>
    </xf>
    <xf numFmtId="169" fontId="10" fillId="0" borderId="1" xfId="4" applyNumberFormat="1" applyFont="1" applyFill="1" applyBorder="1" applyAlignment="1" applyProtection="1">
      <alignment horizontal="left" vertical="center" wrapText="1"/>
    </xf>
    <xf numFmtId="43" fontId="10" fillId="0" borderId="1" xfId="5" applyFont="1" applyFill="1" applyBorder="1" applyAlignment="1" applyProtection="1">
      <alignment horizontal="left" vertical="center" wrapText="1"/>
    </xf>
    <xf numFmtId="2" fontId="10" fillId="0" borderId="1" xfId="5" applyNumberFormat="1" applyFont="1" applyFill="1" applyBorder="1" applyAlignment="1" applyProtection="1">
      <alignment horizontal="left" vertical="center" wrapText="1"/>
    </xf>
    <xf numFmtId="43" fontId="10" fillId="0" borderId="1" xfId="5" quotePrefix="1" applyFont="1" applyFill="1" applyBorder="1" applyAlignment="1" applyProtection="1">
      <alignment vertical="center" wrapText="1"/>
    </xf>
    <xf numFmtId="0" fontId="12" fillId="0" borderId="1" xfId="4" applyFont="1" applyFill="1" applyBorder="1" applyAlignment="1">
      <alignment vertical="center" wrapText="1"/>
    </xf>
    <xf numFmtId="0" fontId="12" fillId="0" borderId="1" xfId="4" applyFont="1" applyFill="1" applyBorder="1" applyAlignment="1">
      <alignment horizontal="center" vertical="center" wrapText="1"/>
    </xf>
    <xf numFmtId="0" fontId="10" fillId="0" borderId="1" xfId="4" applyFont="1" applyFill="1" applyBorder="1" applyAlignment="1">
      <alignment vertical="center" wrapText="1"/>
    </xf>
    <xf numFmtId="2" fontId="10" fillId="0" borderId="1" xfId="4" applyNumberFormat="1" applyFont="1" applyFill="1" applyBorder="1" applyAlignment="1">
      <alignment vertical="center" wrapText="1"/>
    </xf>
    <xf numFmtId="1" fontId="10" fillId="0" borderId="1" xfId="4" applyNumberFormat="1" applyFont="1" applyFill="1" applyBorder="1" applyAlignment="1">
      <alignment vertical="center" wrapText="1"/>
    </xf>
    <xf numFmtId="0" fontId="13" fillId="0" borderId="0" xfId="4" applyFont="1" applyFill="1" applyAlignment="1"/>
    <xf numFmtId="165" fontId="13" fillId="0" borderId="0" xfId="1" applyFont="1" applyFill="1" applyAlignment="1"/>
    <xf numFmtId="0" fontId="10" fillId="0" borderId="1" xfId="4" applyFont="1" applyFill="1" applyBorder="1" applyAlignment="1">
      <alignment horizontal="left"/>
    </xf>
    <xf numFmtId="169" fontId="10" fillId="0" borderId="1" xfId="4" applyNumberFormat="1" applyFont="1" applyFill="1" applyBorder="1" applyAlignment="1" applyProtection="1">
      <alignment horizontal="left" wrapText="1"/>
    </xf>
    <xf numFmtId="43" fontId="10" fillId="0" borderId="1" xfId="5" applyFont="1" applyFill="1" applyBorder="1" applyAlignment="1" applyProtection="1">
      <alignment horizontal="left" wrapText="1"/>
    </xf>
    <xf numFmtId="2" fontId="10" fillId="0" borderId="1" xfId="5" applyNumberFormat="1" applyFont="1" applyFill="1" applyBorder="1" applyAlignment="1" applyProtection="1">
      <alignment horizontal="left" wrapText="1"/>
    </xf>
    <xf numFmtId="43" fontId="10" fillId="0" borderId="1" xfId="5" quotePrefix="1" applyFont="1" applyFill="1" applyBorder="1" applyAlignment="1" applyProtection="1">
      <alignment wrapText="1"/>
    </xf>
    <xf numFmtId="0" fontId="12" fillId="0" borderId="1" xfId="4" applyFont="1" applyFill="1" applyBorder="1" applyAlignment="1">
      <alignment wrapText="1"/>
    </xf>
    <xf numFmtId="0" fontId="12" fillId="0" borderId="1" xfId="4" applyFont="1" applyFill="1" applyBorder="1" applyAlignment="1">
      <alignment horizontal="center" wrapText="1"/>
    </xf>
    <xf numFmtId="170" fontId="13" fillId="0" borderId="1" xfId="4" applyNumberFormat="1" applyFont="1" applyFill="1" applyBorder="1" applyAlignment="1"/>
    <xf numFmtId="2" fontId="13" fillId="0" borderId="1" xfId="4" applyNumberFormat="1" applyFont="1" applyFill="1" applyBorder="1" applyAlignment="1"/>
    <xf numFmtId="1" fontId="13" fillId="0" borderId="1" xfId="4" applyNumberFormat="1" applyFont="1" applyFill="1" applyBorder="1" applyAlignment="1"/>
    <xf numFmtId="0" fontId="12" fillId="8" borderId="1" xfId="4" applyFont="1" applyFill="1" applyBorder="1" applyAlignment="1"/>
    <xf numFmtId="169" fontId="10" fillId="8" borderId="1" xfId="4" applyNumberFormat="1" applyFont="1" applyFill="1" applyBorder="1" applyAlignment="1" applyProtection="1">
      <alignment horizontal="left" wrapText="1"/>
    </xf>
    <xf numFmtId="43" fontId="10" fillId="8" borderId="1" xfId="5" applyFont="1" applyFill="1" applyBorder="1" applyAlignment="1" applyProtection="1">
      <alignment horizontal="left" wrapText="1"/>
    </xf>
    <xf numFmtId="2" fontId="10" fillId="8" borderId="1" xfId="5" applyNumberFormat="1" applyFont="1" applyFill="1" applyBorder="1" applyAlignment="1" applyProtection="1">
      <alignment horizontal="left" wrapText="1"/>
    </xf>
    <xf numFmtId="43" fontId="10" fillId="8" borderId="1" xfId="5" applyFont="1" applyFill="1" applyBorder="1" applyAlignment="1" applyProtection="1">
      <alignment wrapText="1"/>
    </xf>
    <xf numFmtId="0" fontId="12" fillId="8" borderId="1" xfId="4" applyFont="1" applyFill="1" applyBorder="1" applyAlignment="1">
      <alignment wrapText="1"/>
    </xf>
    <xf numFmtId="0" fontId="12" fillId="8" borderId="1" xfId="4" applyFont="1" applyFill="1" applyBorder="1" applyAlignment="1">
      <alignment horizontal="center" wrapText="1"/>
    </xf>
    <xf numFmtId="170" fontId="13" fillId="8" borderId="1" xfId="4" applyNumberFormat="1" applyFont="1" applyFill="1" applyBorder="1" applyAlignment="1"/>
    <xf numFmtId="2" fontId="13" fillId="8" borderId="1" xfId="4" applyNumberFormat="1" applyFont="1" applyFill="1" applyBorder="1" applyAlignment="1"/>
    <xf numFmtId="1" fontId="13" fillId="8" borderId="1" xfId="4" applyNumberFormat="1" applyFont="1" applyFill="1" applyBorder="1" applyAlignment="1"/>
    <xf numFmtId="0" fontId="13" fillId="8" borderId="0" xfId="4" applyFont="1" applyFill="1" applyAlignment="1"/>
    <xf numFmtId="165" fontId="13" fillId="8" borderId="0" xfId="1" applyFont="1" applyFill="1" applyAlignment="1"/>
    <xf numFmtId="0" fontId="13" fillId="8" borderId="1" xfId="4" applyFont="1" applyFill="1" applyBorder="1" applyAlignment="1"/>
    <xf numFmtId="0" fontId="13" fillId="9" borderId="1" xfId="4" applyFont="1" applyFill="1" applyBorder="1" applyAlignment="1"/>
    <xf numFmtId="4" fontId="14" fillId="9" borderId="0" xfId="0" applyNumberFormat="1" applyFont="1" applyFill="1" applyAlignment="1">
      <alignment horizontal="right" vertical="top"/>
    </xf>
    <xf numFmtId="171" fontId="13" fillId="8" borderId="1" xfId="4" applyNumberFormat="1" applyFont="1" applyFill="1" applyBorder="1" applyAlignment="1"/>
    <xf numFmtId="165" fontId="14" fillId="8" borderId="0" xfId="1" applyFont="1" applyFill="1" applyAlignment="1">
      <alignment horizontal="right" vertical="top"/>
    </xf>
    <xf numFmtId="172" fontId="13" fillId="0" borderId="0" xfId="1" applyNumberFormat="1" applyFont="1" applyFill="1" applyAlignment="1"/>
    <xf numFmtId="1" fontId="13" fillId="0" borderId="0" xfId="4" applyNumberFormat="1" applyFont="1" applyFill="1" applyAlignment="1"/>
    <xf numFmtId="0" fontId="9" fillId="8" borderId="1" xfId="4" applyFont="1" applyFill="1" applyBorder="1" applyAlignment="1"/>
    <xf numFmtId="14" fontId="9" fillId="8" borderId="1" xfId="4" applyNumberFormat="1" applyFont="1" applyFill="1" applyBorder="1" applyAlignment="1"/>
    <xf numFmtId="172" fontId="9" fillId="9" borderId="1" xfId="1" applyNumberFormat="1" applyFont="1" applyFill="1" applyBorder="1" applyAlignment="1"/>
    <xf numFmtId="0" fontId="10" fillId="8" borderId="1" xfId="4" applyFont="1" applyFill="1" applyBorder="1" applyAlignment="1"/>
    <xf numFmtId="2" fontId="10" fillId="8" borderId="1" xfId="4" applyNumberFormat="1" applyFont="1" applyFill="1" applyBorder="1" applyAlignment="1"/>
    <xf numFmtId="1" fontId="10" fillId="8" borderId="1" xfId="4" applyNumberFormat="1" applyFont="1" applyFill="1" applyBorder="1" applyAlignment="1"/>
    <xf numFmtId="172" fontId="13" fillId="8" borderId="0" xfId="1" applyNumberFormat="1" applyFont="1" applyFill="1" applyAlignment="1"/>
    <xf numFmtId="43" fontId="13" fillId="10" borderId="0" xfId="4" applyNumberFormat="1" applyFont="1" applyFill="1" applyAlignment="1"/>
    <xf numFmtId="0" fontId="12" fillId="0" borderId="1" xfId="4" applyFont="1" applyFill="1" applyBorder="1" applyAlignment="1"/>
    <xf numFmtId="0" fontId="13" fillId="0" borderId="1" xfId="4" applyFont="1" applyFill="1" applyBorder="1" applyAlignment="1"/>
    <xf numFmtId="0" fontId="10" fillId="0" borderId="1" xfId="4" applyFont="1" applyFill="1" applyBorder="1" applyAlignment="1"/>
    <xf numFmtId="1" fontId="10" fillId="0" borderId="1" xfId="4" applyNumberFormat="1" applyFont="1" applyFill="1" applyBorder="1" applyAlignment="1"/>
    <xf numFmtId="2" fontId="13" fillId="0" borderId="1" xfId="5" applyNumberFormat="1" applyFont="1" applyFill="1" applyBorder="1" applyAlignment="1"/>
    <xf numFmtId="2" fontId="13" fillId="8" borderId="1" xfId="5" applyNumberFormat="1" applyFont="1" applyFill="1" applyBorder="1" applyAlignment="1"/>
    <xf numFmtId="172" fontId="13" fillId="11" borderId="0" xfId="1" applyNumberFormat="1" applyFont="1" applyFill="1" applyAlignment="1"/>
    <xf numFmtId="0" fontId="13" fillId="11" borderId="1" xfId="4" applyFont="1" applyFill="1" applyBorder="1" applyAlignment="1"/>
    <xf numFmtId="170" fontId="13" fillId="11" borderId="1" xfId="4" applyNumberFormat="1" applyFont="1" applyFill="1" applyBorder="1" applyAlignment="1"/>
    <xf numFmtId="2" fontId="13" fillId="11" borderId="1" xfId="4" applyNumberFormat="1" applyFont="1" applyFill="1" applyBorder="1" applyAlignment="1"/>
    <xf numFmtId="165" fontId="13" fillId="9" borderId="0" xfId="1" applyFont="1" applyFill="1" applyAlignment="1"/>
    <xf numFmtId="1" fontId="13" fillId="11" borderId="1" xfId="4" applyNumberFormat="1" applyFont="1" applyFill="1" applyBorder="1" applyAlignment="1"/>
    <xf numFmtId="2" fontId="13" fillId="11" borderId="1" xfId="5" applyNumberFormat="1" applyFont="1" applyFill="1" applyBorder="1" applyAlignment="1"/>
    <xf numFmtId="172" fontId="13" fillId="9" borderId="0" xfId="1" applyNumberFormat="1" applyFont="1" applyFill="1" applyAlignment="1"/>
    <xf numFmtId="0" fontId="13" fillId="9" borderId="1" xfId="4" applyNumberFormat="1" applyFont="1" applyFill="1" applyBorder="1" applyAlignment="1"/>
    <xf numFmtId="0" fontId="13" fillId="8" borderId="1" xfId="4" applyFont="1" applyFill="1" applyBorder="1" applyAlignment="1">
      <alignment horizontal="left"/>
    </xf>
    <xf numFmtId="0" fontId="15" fillId="9" borderId="1" xfId="4" applyFont="1" applyFill="1" applyBorder="1" applyAlignment="1"/>
    <xf numFmtId="0" fontId="13" fillId="0" borderId="1" xfId="4" applyFont="1" applyFill="1" applyBorder="1" applyAlignment="1">
      <alignment horizontal="left"/>
    </xf>
    <xf numFmtId="0" fontId="9" fillId="9" borderId="1" xfId="4" applyFont="1" applyFill="1" applyBorder="1" applyAlignment="1"/>
    <xf numFmtId="0" fontId="16" fillId="8" borderId="1" xfId="0" applyFont="1" applyFill="1" applyBorder="1" applyAlignment="1"/>
    <xf numFmtId="14" fontId="14" fillId="8" borderId="1" xfId="0" applyNumberFormat="1" applyFont="1" applyFill="1" applyBorder="1" applyAlignment="1"/>
    <xf numFmtId="0" fontId="15" fillId="9" borderId="1" xfId="0" applyFont="1" applyFill="1" applyBorder="1" applyAlignment="1"/>
    <xf numFmtId="0" fontId="16" fillId="0" borderId="1" xfId="0" applyFont="1" applyFill="1" applyBorder="1" applyAlignment="1"/>
    <xf numFmtId="0" fontId="16" fillId="8" borderId="1" xfId="4" applyFont="1" applyFill="1" applyBorder="1" applyAlignment="1"/>
    <xf numFmtId="0" fontId="16" fillId="0" borderId="1" xfId="4" applyFont="1" applyFill="1" applyBorder="1" applyAlignment="1"/>
    <xf numFmtId="0" fontId="9" fillId="0" borderId="1" xfId="4" applyFont="1" applyFill="1" applyBorder="1" applyAlignment="1"/>
    <xf numFmtId="172" fontId="15" fillId="9" borderId="1" xfId="1" applyNumberFormat="1" applyFont="1" applyFill="1" applyBorder="1" applyAlignment="1"/>
    <xf numFmtId="0" fontId="16" fillId="11" borderId="1" xfId="0" applyFont="1" applyFill="1" applyBorder="1" applyAlignment="1"/>
    <xf numFmtId="14" fontId="14" fillId="11" borderId="1" xfId="0" applyNumberFormat="1" applyFont="1" applyFill="1" applyBorder="1" applyAlignment="1"/>
    <xf numFmtId="0" fontId="16" fillId="11" borderId="1" xfId="4" applyFont="1" applyFill="1" applyBorder="1" applyAlignment="1"/>
    <xf numFmtId="14" fontId="9" fillId="11" borderId="1" xfId="4" applyNumberFormat="1" applyFont="1" applyFill="1" applyBorder="1" applyAlignment="1"/>
    <xf numFmtId="0" fontId="14" fillId="8" borderId="0" xfId="0" applyFont="1" applyFill="1" applyAlignment="1">
      <alignment vertical="top"/>
    </xf>
    <xf numFmtId="14" fontId="14" fillId="8" borderId="0" xfId="0" applyNumberFormat="1" applyFont="1" applyFill="1" applyAlignment="1">
      <alignment horizontal="right" vertical="top"/>
    </xf>
    <xf numFmtId="172" fontId="13" fillId="8" borderId="0" xfId="1" applyNumberFormat="1" applyFont="1" applyFill="1" applyBorder="1" applyAlignment="1">
      <alignment horizontal="center" vertical="center"/>
    </xf>
    <xf numFmtId="172" fontId="13" fillId="3" borderId="0" xfId="1" applyNumberFormat="1" applyFont="1" applyFill="1" applyAlignment="1"/>
    <xf numFmtId="172" fontId="13" fillId="10" borderId="0" xfId="4" applyNumberFormat="1" applyFont="1" applyFill="1" applyAlignment="1"/>
    <xf numFmtId="165" fontId="13" fillId="9" borderId="1" xfId="1" applyFont="1" applyFill="1" applyBorder="1" applyAlignment="1"/>
    <xf numFmtId="172" fontId="14" fillId="9" borderId="0" xfId="1" applyNumberFormat="1" applyFont="1" applyFill="1" applyAlignment="1">
      <alignment horizontal="right" vertical="top"/>
    </xf>
    <xf numFmtId="14" fontId="9" fillId="8" borderId="1" xfId="4" applyNumberFormat="1" applyFont="1" applyFill="1" applyBorder="1" applyAlignment="1">
      <alignment horizontal="right"/>
    </xf>
    <xf numFmtId="0" fontId="17" fillId="8" borderId="1" xfId="4" applyFont="1" applyFill="1" applyBorder="1" applyAlignment="1"/>
    <xf numFmtId="172" fontId="10" fillId="8" borderId="1" xfId="1" applyNumberFormat="1" applyFont="1" applyFill="1" applyBorder="1" applyAlignment="1"/>
    <xf numFmtId="0" fontId="15" fillId="8" borderId="1" xfId="4" applyFont="1" applyFill="1" applyBorder="1" applyAlignment="1"/>
    <xf numFmtId="4" fontId="9" fillId="0" borderId="0" xfId="4" applyNumberFormat="1" applyFont="1" applyFill="1" applyAlignment="1">
      <alignment horizontal="right" vertical="top"/>
    </xf>
    <xf numFmtId="4" fontId="14" fillId="0" borderId="0" xfId="0" applyNumberFormat="1" applyFont="1" applyFill="1" applyAlignment="1">
      <alignment horizontal="right" vertical="top"/>
    </xf>
    <xf numFmtId="0" fontId="15" fillId="8" borderId="1" xfId="0" applyFont="1" applyFill="1" applyBorder="1" applyAlignment="1"/>
    <xf numFmtId="172" fontId="9" fillId="8" borderId="1" xfId="1" applyNumberFormat="1" applyFont="1" applyFill="1" applyBorder="1" applyAlignment="1"/>
    <xf numFmtId="0" fontId="9" fillId="8" borderId="8" xfId="4" applyFont="1" applyFill="1" applyBorder="1" applyAlignment="1"/>
    <xf numFmtId="14" fontId="9" fillId="8" borderId="8" xfId="4" applyNumberFormat="1" applyFont="1" applyFill="1" applyBorder="1" applyAlignment="1">
      <alignment horizontal="right"/>
    </xf>
    <xf numFmtId="172" fontId="9" fillId="8" borderId="8" xfId="1" applyNumberFormat="1" applyFont="1" applyFill="1" applyBorder="1" applyAlignment="1"/>
    <xf numFmtId="0" fontId="13" fillId="8" borderId="8" xfId="4" applyFont="1" applyFill="1" applyBorder="1" applyAlignment="1"/>
    <xf numFmtId="2" fontId="13" fillId="8" borderId="8" xfId="4" applyNumberFormat="1" applyFont="1" applyFill="1" applyBorder="1" applyAlignment="1"/>
    <xf numFmtId="0" fontId="14" fillId="8" borderId="1" xfId="0" applyFont="1" applyFill="1" applyBorder="1" applyAlignment="1">
      <alignment vertical="top"/>
    </xf>
    <xf numFmtId="14" fontId="14" fillId="8" borderId="1" xfId="0" applyNumberFormat="1" applyFont="1" applyFill="1" applyBorder="1" applyAlignment="1">
      <alignment horizontal="right" vertical="top"/>
    </xf>
    <xf numFmtId="4" fontId="14" fillId="8" borderId="1" xfId="0" applyNumberFormat="1" applyFont="1" applyFill="1" applyBorder="1" applyAlignment="1">
      <alignment horizontal="right" vertical="top"/>
    </xf>
    <xf numFmtId="4" fontId="14" fillId="0" borderId="1" xfId="0" applyNumberFormat="1" applyFont="1" applyFill="1" applyBorder="1" applyAlignment="1">
      <alignment horizontal="right" vertical="top"/>
    </xf>
    <xf numFmtId="4" fontId="14" fillId="0" borderId="0" xfId="0" applyNumberFormat="1" applyFont="1" applyAlignment="1">
      <alignment horizontal="right" vertical="top"/>
    </xf>
    <xf numFmtId="4" fontId="14" fillId="8" borderId="0" xfId="0" applyNumberFormat="1" applyFont="1" applyFill="1" applyAlignment="1">
      <alignment horizontal="right" vertical="top"/>
    </xf>
    <xf numFmtId="0" fontId="14" fillId="0" borderId="0" xfId="0" applyFont="1" applyAlignment="1">
      <alignment vertical="top"/>
    </xf>
    <xf numFmtId="14" fontId="14" fillId="0" borderId="0" xfId="0" applyNumberFormat="1" applyFont="1" applyAlignment="1">
      <alignment horizontal="right" vertical="top"/>
    </xf>
    <xf numFmtId="0" fontId="15" fillId="0" borderId="1" xfId="0" applyFont="1" applyFill="1" applyBorder="1" applyAlignment="1"/>
    <xf numFmtId="172" fontId="10" fillId="0" borderId="1" xfId="1" applyNumberFormat="1" applyFont="1" applyFill="1" applyBorder="1" applyAlignment="1"/>
    <xf numFmtId="172" fontId="9" fillId="9" borderId="0" xfId="1" applyNumberFormat="1" applyFont="1" applyFill="1" applyAlignment="1">
      <alignment horizontal="right" vertical="top"/>
    </xf>
    <xf numFmtId="1" fontId="10" fillId="11" borderId="1" xfId="4" applyNumberFormat="1" applyFont="1" applyFill="1" applyBorder="1" applyAlignment="1"/>
    <xf numFmtId="0" fontId="18" fillId="9" borderId="1" xfId="4" applyFont="1" applyFill="1" applyBorder="1" applyAlignment="1"/>
    <xf numFmtId="172" fontId="13" fillId="0" borderId="1" xfId="1" applyNumberFormat="1" applyFont="1" applyFill="1" applyBorder="1" applyAlignment="1"/>
    <xf numFmtId="0" fontId="19" fillId="8" borderId="1" xfId="4" applyFont="1" applyFill="1" applyBorder="1" applyAlignment="1"/>
    <xf numFmtId="170" fontId="19" fillId="8" borderId="8" xfId="4" applyNumberFormat="1" applyFont="1" applyFill="1" applyBorder="1" applyAlignment="1"/>
    <xf numFmtId="0" fontId="19" fillId="9" borderId="8" xfId="4" applyFont="1" applyFill="1" applyBorder="1" applyAlignment="1"/>
    <xf numFmtId="0" fontId="19" fillId="8" borderId="8" xfId="4" applyFont="1" applyFill="1" applyBorder="1" applyAlignment="1"/>
    <xf numFmtId="2" fontId="19" fillId="8" borderId="8" xfId="4" applyNumberFormat="1" applyFont="1" applyFill="1" applyBorder="1" applyAlignment="1"/>
    <xf numFmtId="165" fontId="19" fillId="9" borderId="0" xfId="1" applyFont="1" applyFill="1" applyAlignment="1"/>
    <xf numFmtId="1" fontId="19" fillId="8" borderId="8" xfId="4" applyNumberFormat="1" applyFont="1" applyFill="1" applyBorder="1" applyAlignment="1"/>
    <xf numFmtId="172" fontId="19" fillId="0" borderId="0" xfId="1" applyNumberFormat="1" applyFont="1" applyFill="1" applyAlignment="1"/>
    <xf numFmtId="0" fontId="19" fillId="0" borderId="0" xfId="4" applyFont="1" applyFill="1" applyAlignment="1"/>
    <xf numFmtId="0" fontId="9" fillId="8" borderId="3" xfId="4" applyFill="1" applyBorder="1" applyAlignment="1"/>
    <xf numFmtId="14" fontId="9" fillId="8" borderId="1" xfId="4" applyNumberFormat="1" applyFill="1" applyBorder="1" applyAlignment="1"/>
    <xf numFmtId="165" fontId="0" fillId="0" borderId="0" xfId="1" applyFont="1" applyAlignment="1">
      <alignment horizontal="right" vertical="top"/>
    </xf>
    <xf numFmtId="172" fontId="13" fillId="0" borderId="0" xfId="4" applyNumberFormat="1" applyFont="1" applyFill="1" applyAlignment="1"/>
    <xf numFmtId="4" fontId="14" fillId="9" borderId="1" xfId="0" applyNumberFormat="1" applyFont="1" applyFill="1" applyBorder="1" applyAlignment="1">
      <alignment horizontal="right" vertical="top"/>
    </xf>
    <xf numFmtId="165" fontId="14" fillId="0" borderId="0" xfId="1" applyFont="1" applyAlignment="1">
      <alignment horizontal="right" vertical="top"/>
    </xf>
    <xf numFmtId="0" fontId="9" fillId="0" borderId="1" xfId="4" applyFill="1" applyBorder="1" applyAlignment="1"/>
    <xf numFmtId="14" fontId="9" fillId="0" borderId="2" xfId="4" applyNumberFormat="1" applyFill="1" applyBorder="1" applyAlignment="1"/>
    <xf numFmtId="172" fontId="9" fillId="0" borderId="2" xfId="1" applyNumberFormat="1" applyFont="1" applyFill="1" applyBorder="1" applyAlignment="1"/>
    <xf numFmtId="0" fontId="13" fillId="0" borderId="2" xfId="4" applyFont="1" applyFill="1" applyBorder="1" applyAlignment="1"/>
    <xf numFmtId="2" fontId="13" fillId="0" borderId="2" xfId="4" applyNumberFormat="1" applyFont="1" applyFill="1" applyBorder="1" applyAlignment="1"/>
    <xf numFmtId="1" fontId="13" fillId="0" borderId="2" xfId="4" applyNumberFormat="1" applyFont="1" applyFill="1" applyBorder="1" applyAlignment="1"/>
    <xf numFmtId="0" fontId="20" fillId="0" borderId="1" xfId="4" applyFont="1" applyFill="1" applyBorder="1" applyAlignment="1"/>
    <xf numFmtId="0" fontId="19" fillId="0" borderId="1" xfId="4" applyFont="1" applyFill="1" applyBorder="1" applyAlignment="1"/>
    <xf numFmtId="170" fontId="19" fillId="0" borderId="1" xfId="4" applyNumberFormat="1" applyFont="1" applyFill="1" applyBorder="1" applyAlignment="1"/>
    <xf numFmtId="0" fontId="21" fillId="9" borderId="1" xfId="4" applyFont="1" applyFill="1" applyBorder="1" applyAlignment="1"/>
    <xf numFmtId="2" fontId="19" fillId="0" borderId="1" xfId="4" applyNumberFormat="1" applyFont="1" applyFill="1" applyBorder="1" applyAlignment="1"/>
    <xf numFmtId="165" fontId="19" fillId="0" borderId="0" xfId="1" applyFont="1" applyFill="1" applyAlignment="1"/>
    <xf numFmtId="1" fontId="19" fillId="0" borderId="1" xfId="4" applyNumberFormat="1" applyFont="1" applyFill="1" applyBorder="1" applyAlignment="1"/>
    <xf numFmtId="0" fontId="8" fillId="0" borderId="0" xfId="0" applyFont="1" applyFill="1"/>
    <xf numFmtId="0" fontId="9" fillId="9" borderId="1" xfId="4" applyFill="1" applyBorder="1" applyAlignment="1"/>
    <xf numFmtId="0" fontId="22" fillId="0" borderId="1" xfId="4" applyFont="1" applyFill="1" applyBorder="1" applyAlignment="1"/>
    <xf numFmtId="0" fontId="22" fillId="8" borderId="1" xfId="4" applyFont="1" applyFill="1" applyBorder="1" applyAlignment="1"/>
    <xf numFmtId="172" fontId="13" fillId="9" borderId="1" xfId="1" applyNumberFormat="1" applyFont="1" applyFill="1" applyBorder="1" applyAlignment="1"/>
    <xf numFmtId="0" fontId="9" fillId="8" borderId="1" xfId="4" applyFill="1" applyBorder="1" applyAlignment="1"/>
    <xf numFmtId="0" fontId="23" fillId="8" borderId="1" xfId="4" applyFont="1" applyFill="1" applyBorder="1" applyAlignment="1"/>
    <xf numFmtId="14" fontId="23" fillId="8" borderId="1" xfId="4" applyNumberFormat="1" applyFont="1" applyFill="1" applyBorder="1" applyAlignment="1"/>
    <xf numFmtId="172" fontId="23" fillId="9" borderId="1" xfId="1" applyNumberFormat="1" applyFont="1" applyFill="1" applyBorder="1" applyAlignment="1"/>
    <xf numFmtId="2" fontId="19" fillId="8" borderId="1" xfId="4" applyNumberFormat="1" applyFont="1" applyFill="1" applyBorder="1" applyAlignment="1"/>
    <xf numFmtId="1" fontId="19" fillId="8" borderId="1" xfId="4" applyNumberFormat="1" applyFont="1" applyFill="1" applyBorder="1" applyAlignment="1"/>
    <xf numFmtId="172" fontId="19" fillId="9" borderId="0" xfId="1" applyNumberFormat="1" applyFont="1" applyFill="1" applyAlignment="1"/>
    <xf numFmtId="0" fontId="0" fillId="8" borderId="0" xfId="0" applyFill="1" applyAlignment="1">
      <alignment vertical="top"/>
    </xf>
    <xf numFmtId="14" fontId="0" fillId="8" borderId="0" xfId="0" applyNumberFormat="1" applyFill="1" applyAlignment="1">
      <alignment horizontal="right" vertical="top"/>
    </xf>
    <xf numFmtId="4" fontId="0" fillId="9" borderId="0" xfId="0" applyNumberFormat="1" applyFill="1" applyAlignment="1">
      <alignment horizontal="right" vertical="top"/>
    </xf>
    <xf numFmtId="0" fontId="0" fillId="0" borderId="0" xfId="0"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2" fontId="13" fillId="0" borderId="0" xfId="4" applyNumberFormat="1" applyFont="1" applyFill="1" applyAlignment="1"/>
    <xf numFmtId="1" fontId="10" fillId="0" borderId="0" xfId="4" applyNumberFormat="1" applyFont="1" applyFill="1" applyAlignment="1"/>
    <xf numFmtId="172" fontId="13" fillId="3" borderId="1" xfId="1" applyNumberFormat="1" applyFont="1" applyFill="1" applyBorder="1" applyAlignment="1"/>
    <xf numFmtId="4" fontId="9" fillId="12" borderId="1" xfId="6" applyNumberFormat="1" applyFill="1" applyBorder="1" applyAlignment="1">
      <alignment horizontal="right" vertical="top"/>
    </xf>
    <xf numFmtId="1" fontId="24" fillId="0" borderId="0" xfId="4" applyNumberFormat="1" applyFont="1" applyFill="1" applyAlignment="1"/>
    <xf numFmtId="172" fontId="10" fillId="0" borderId="0" xfId="1" applyNumberFormat="1" applyFont="1" applyFill="1" applyAlignment="1"/>
    <xf numFmtId="0" fontId="25" fillId="13" borderId="1" xfId="4" applyFont="1" applyFill="1" applyBorder="1" applyAlignment="1">
      <alignment wrapText="1"/>
    </xf>
    <xf numFmtId="172" fontId="25" fillId="13" borderId="1" xfId="1" applyNumberFormat="1" applyFont="1" applyFill="1" applyBorder="1" applyAlignment="1">
      <alignment wrapText="1"/>
    </xf>
    <xf numFmtId="172" fontId="26" fillId="13" borderId="1" xfId="1" applyNumberFormat="1" applyFont="1" applyFill="1" applyBorder="1" applyAlignment="1">
      <alignment wrapText="1"/>
    </xf>
    <xf numFmtId="0" fontId="26" fillId="13" borderId="1" xfId="4" applyFont="1" applyFill="1" applyBorder="1" applyAlignment="1">
      <alignment wrapText="1"/>
    </xf>
    <xf numFmtId="0" fontId="25" fillId="13" borderId="23" xfId="4" applyFont="1" applyFill="1" applyBorder="1" applyAlignment="1">
      <alignment wrapText="1"/>
    </xf>
    <xf numFmtId="0" fontId="25" fillId="13" borderId="0" xfId="4" applyFont="1" applyFill="1" applyBorder="1" applyAlignment="1"/>
    <xf numFmtId="172" fontId="26" fillId="0" borderId="0" xfId="1" applyNumberFormat="1" applyFont="1" applyFill="1" applyBorder="1" applyAlignment="1"/>
    <xf numFmtId="0" fontId="9" fillId="0" borderId="0" xfId="4" applyFill="1" applyBorder="1" applyAlignment="1"/>
    <xf numFmtId="14" fontId="9" fillId="14" borderId="0" xfId="4" applyNumberFormat="1" applyFill="1" applyBorder="1" applyAlignment="1"/>
    <xf numFmtId="0" fontId="26" fillId="0" borderId="0" xfId="4" applyFont="1" applyFill="1" applyBorder="1" applyAlignment="1"/>
    <xf numFmtId="172" fontId="26" fillId="0" borderId="1" xfId="1" applyNumberFormat="1" applyFont="1" applyFill="1" applyBorder="1" applyAlignment="1"/>
    <xf numFmtId="172" fontId="26" fillId="13" borderId="1" xfId="1" applyNumberFormat="1" applyFont="1" applyFill="1" applyBorder="1" applyAlignment="1"/>
    <xf numFmtId="0" fontId="26" fillId="13" borderId="1" xfId="4" applyFont="1" applyFill="1" applyBorder="1" applyAlignment="1"/>
    <xf numFmtId="0" fontId="0" fillId="3" borderId="0" xfId="0" applyFill="1" applyAlignment="1">
      <alignment vertical="top"/>
    </xf>
    <xf numFmtId="4" fontId="0" fillId="3" borderId="0" xfId="0" applyNumberFormat="1" applyFill="1" applyAlignment="1">
      <alignment horizontal="right" vertical="top"/>
    </xf>
    <xf numFmtId="14" fontId="0" fillId="3" borderId="0" xfId="0" applyNumberFormat="1" applyFill="1" applyAlignment="1">
      <alignment horizontal="right" vertical="top"/>
    </xf>
    <xf numFmtId="1" fontId="23" fillId="0" borderId="1" xfId="4" applyNumberFormat="1" applyFont="1" applyFill="1" applyBorder="1" applyAlignment="1"/>
    <xf numFmtId="0" fontId="23" fillId="0" borderId="1" xfId="4" applyFont="1" applyFill="1" applyBorder="1" applyAlignment="1"/>
    <xf numFmtId="172" fontId="23" fillId="0" borderId="1" xfId="1" applyNumberFormat="1" applyFont="1" applyFill="1" applyBorder="1" applyAlignment="1"/>
    <xf numFmtId="165" fontId="0" fillId="11" borderId="0" xfId="1" applyFont="1" applyFill="1"/>
    <xf numFmtId="172" fontId="27" fillId="15" borderId="1" xfId="1" applyNumberFormat="1" applyFont="1" applyFill="1" applyBorder="1" applyAlignment="1"/>
    <xf numFmtId="14" fontId="9" fillId="0" borderId="1" xfId="4" applyNumberFormat="1" applyFill="1" applyBorder="1" applyAlignment="1"/>
    <xf numFmtId="43" fontId="0" fillId="15" borderId="0" xfId="0" applyNumberFormat="1" applyFill="1"/>
    <xf numFmtId="0" fontId="27" fillId="0" borderId="1" xfId="4" applyFont="1" applyFill="1" applyBorder="1" applyAlignment="1"/>
    <xf numFmtId="172" fontId="9" fillId="0" borderId="1" xfId="1" applyNumberFormat="1" applyFont="1" applyFill="1" applyBorder="1" applyAlignment="1"/>
    <xf numFmtId="1" fontId="9" fillId="0" borderId="1" xfId="4" applyNumberFormat="1" applyBorder="1" applyAlignment="1"/>
    <xf numFmtId="0" fontId="9" fillId="0" borderId="1" xfId="4" applyBorder="1" applyAlignment="1"/>
    <xf numFmtId="1" fontId="9" fillId="0" borderId="1" xfId="4" applyNumberFormat="1" applyFont="1" applyFill="1" applyBorder="1" applyAlignment="1"/>
    <xf numFmtId="1" fontId="9" fillId="0" borderId="1" xfId="4" applyNumberFormat="1" applyFont="1" applyBorder="1" applyAlignment="1"/>
    <xf numFmtId="0" fontId="9" fillId="0" borderId="1" xfId="4" applyFont="1" applyBorder="1" applyAlignment="1"/>
    <xf numFmtId="172" fontId="27" fillId="0" borderId="1" xfId="1" applyNumberFormat="1" applyFont="1" applyFill="1" applyBorder="1" applyAlignment="1"/>
    <xf numFmtId="172" fontId="0" fillId="15" borderId="0" xfId="0" applyNumberFormat="1" applyFill="1"/>
    <xf numFmtId="4" fontId="14" fillId="11" borderId="0" xfId="0" applyNumberFormat="1" applyFont="1" applyFill="1"/>
    <xf numFmtId="1" fontId="9" fillId="0" borderId="1" xfId="4" applyNumberFormat="1" applyFill="1" applyBorder="1" applyAlignment="1"/>
    <xf numFmtId="4" fontId="0" fillId="15" borderId="0" xfId="0" applyNumberFormat="1" applyFill="1"/>
    <xf numFmtId="0" fontId="20" fillId="0" borderId="1" xfId="4" applyFont="1" applyBorder="1" applyAlignment="1"/>
    <xf numFmtId="172" fontId="15" fillId="0" borderId="1" xfId="1" applyNumberFormat="1" applyFont="1" applyFill="1" applyBorder="1" applyAlignment="1"/>
    <xf numFmtId="172" fontId="0" fillId="11" borderId="0" xfId="1" applyNumberFormat="1" applyFont="1" applyFill="1"/>
    <xf numFmtId="0" fontId="20" fillId="0" borderId="8" xfId="4" applyFont="1" applyBorder="1" applyAlignment="1"/>
    <xf numFmtId="172" fontId="15" fillId="0" borderId="8" xfId="1" applyNumberFormat="1" applyFont="1" applyFill="1" applyBorder="1" applyAlignment="1"/>
    <xf numFmtId="14" fontId="9" fillId="0" borderId="8" xfId="4" applyNumberFormat="1" applyFill="1" applyBorder="1" applyAlignment="1"/>
    <xf numFmtId="1" fontId="9" fillId="0" borderId="8" xfId="4" applyNumberFormat="1" applyBorder="1" applyAlignment="1"/>
    <xf numFmtId="0" fontId="9" fillId="0" borderId="8" xfId="4" applyBorder="1" applyAlignment="1"/>
    <xf numFmtId="0" fontId="9" fillId="0" borderId="8" xfId="4" applyFill="1" applyBorder="1" applyAlignment="1"/>
    <xf numFmtId="172" fontId="9" fillId="0" borderId="8" xfId="1" applyNumberFormat="1" applyFont="1" applyFill="1" applyBorder="1" applyAlignment="1"/>
    <xf numFmtId="1" fontId="9" fillId="0" borderId="8" xfId="4" applyNumberFormat="1" applyFont="1" applyFill="1" applyBorder="1" applyAlignment="1"/>
    <xf numFmtId="0" fontId="0" fillId="3" borderId="1" xfId="0" applyFill="1" applyBorder="1" applyAlignment="1">
      <alignment vertical="top"/>
    </xf>
    <xf numFmtId="4" fontId="0" fillId="3" borderId="1" xfId="0" applyNumberFormat="1" applyFill="1" applyBorder="1" applyAlignment="1">
      <alignment horizontal="right" vertical="top"/>
    </xf>
    <xf numFmtId="14" fontId="0" fillId="3" borderId="1" xfId="0" applyNumberFormat="1" applyFill="1" applyBorder="1" applyAlignment="1">
      <alignment horizontal="right" vertical="top"/>
    </xf>
    <xf numFmtId="172" fontId="0" fillId="11" borderId="1" xfId="1" applyNumberFormat="1" applyFont="1" applyFill="1" applyBorder="1"/>
    <xf numFmtId="1" fontId="23" fillId="0" borderId="1" xfId="4" applyNumberFormat="1" applyFont="1" applyBorder="1" applyAlignment="1"/>
    <xf numFmtId="0" fontId="23" fillId="0" borderId="1" xfId="4" applyFont="1" applyBorder="1" applyAlignment="1"/>
    <xf numFmtId="4" fontId="8" fillId="4" borderId="0" xfId="0" applyNumberFormat="1" applyFont="1" applyFill="1"/>
    <xf numFmtId="0" fontId="20" fillId="0" borderId="2" xfId="4" applyFont="1" applyBorder="1" applyAlignment="1"/>
    <xf numFmtId="172" fontId="15" fillId="0" borderId="2" xfId="1" applyNumberFormat="1" applyFont="1" applyFill="1" applyBorder="1" applyAlignment="1"/>
    <xf numFmtId="1" fontId="9" fillId="0" borderId="2" xfId="4" applyNumberFormat="1" applyBorder="1" applyAlignment="1"/>
    <xf numFmtId="0" fontId="9" fillId="0" borderId="2" xfId="4" applyBorder="1" applyAlignment="1"/>
    <xf numFmtId="0" fontId="9" fillId="0" borderId="2" xfId="4" applyFill="1" applyBorder="1" applyAlignment="1"/>
    <xf numFmtId="1" fontId="9" fillId="0" borderId="2" xfId="4" applyNumberFormat="1" applyFont="1" applyFill="1" applyBorder="1" applyAlignment="1"/>
    <xf numFmtId="14" fontId="9" fillId="0" borderId="1" xfId="4" applyNumberFormat="1" applyFill="1" applyBorder="1" applyAlignment="1">
      <alignment horizontal="right"/>
    </xf>
    <xf numFmtId="0" fontId="9" fillId="0" borderId="0" xfId="4" applyAlignment="1"/>
    <xf numFmtId="172" fontId="9" fillId="0" borderId="0" xfId="1" applyNumberFormat="1" applyFont="1" applyAlignment="1"/>
    <xf numFmtId="1" fontId="9" fillId="3" borderId="1" xfId="4" applyNumberFormat="1" applyFill="1" applyBorder="1" applyAlignment="1"/>
    <xf numFmtId="0" fontId="9" fillId="3" borderId="1" xfId="4" applyFill="1" applyBorder="1" applyAlignment="1"/>
    <xf numFmtId="172" fontId="9" fillId="3" borderId="1" xfId="1" applyNumberFormat="1" applyFont="1" applyFill="1" applyBorder="1" applyAlignment="1"/>
    <xf numFmtId="172" fontId="27" fillId="3" borderId="1" xfId="1" applyNumberFormat="1" applyFont="1" applyFill="1" applyBorder="1" applyAlignment="1"/>
    <xf numFmtId="172" fontId="0" fillId="0" borderId="0" xfId="1" applyNumberFormat="1" applyFont="1"/>
    <xf numFmtId="172" fontId="0" fillId="0" borderId="0" xfId="0" applyNumberFormat="1"/>
    <xf numFmtId="43" fontId="0" fillId="0" borderId="0" xfId="0" applyNumberFormat="1"/>
    <xf numFmtId="0" fontId="29" fillId="0" borderId="0" xfId="0" applyFont="1" applyFill="1" applyAlignment="1"/>
    <xf numFmtId="0" fontId="0" fillId="0" borderId="0" xfId="0" applyFont="1" applyFill="1" applyAlignment="1">
      <alignment horizontal="left"/>
    </xf>
    <xf numFmtId="0" fontId="0" fillId="0" borderId="0" xfId="0" applyFont="1" applyFill="1" applyAlignment="1"/>
    <xf numFmtId="0" fontId="30" fillId="0" borderId="0" xfId="0" applyFont="1" applyFill="1" applyAlignment="1"/>
    <xf numFmtId="165" fontId="1" fillId="0" borderId="1" xfId="1" applyNumberFormat="1" applyFont="1" applyBorder="1" applyAlignment="1">
      <alignment vertical="center"/>
    </xf>
    <xf numFmtId="165" fontId="1" fillId="0" borderId="0" xfId="1" applyNumberFormat="1" applyFont="1"/>
    <xf numFmtId="0" fontId="3" fillId="17" borderId="1" xfId="0" applyFont="1" applyFill="1" applyBorder="1" applyAlignment="1">
      <alignment horizontal="left" vertical="center"/>
    </xf>
    <xf numFmtId="165" fontId="3" fillId="17" borderId="1" xfId="1" applyNumberFormat="1" applyFont="1" applyFill="1" applyBorder="1" applyAlignment="1">
      <alignment horizontal="left" vertical="center"/>
    </xf>
    <xf numFmtId="0" fontId="0" fillId="0" borderId="1" xfId="0" applyFont="1" applyFill="1" applyBorder="1" applyAlignment="1"/>
    <xf numFmtId="0" fontId="31" fillId="0" borderId="1" xfId="4" applyFont="1" applyFill="1" applyBorder="1" applyAlignment="1">
      <alignment vertical="top"/>
    </xf>
    <xf numFmtId="0" fontId="0" fillId="0" borderId="5" xfId="0" applyFont="1" applyFill="1" applyBorder="1" applyAlignment="1"/>
    <xf numFmtId="166" fontId="0" fillId="0" borderId="1" xfId="1" applyNumberFormat="1" applyFont="1" applyFill="1" applyBorder="1"/>
    <xf numFmtId="165" fontId="0" fillId="0" borderId="1" xfId="1" applyNumberFormat="1" applyFont="1" applyFill="1" applyBorder="1"/>
    <xf numFmtId="0" fontId="0" fillId="0" borderId="26" xfId="0" applyFont="1" applyFill="1" applyBorder="1" applyAlignment="1"/>
    <xf numFmtId="166" fontId="0" fillId="0" borderId="23" xfId="1" applyNumberFormat="1" applyFont="1" applyFill="1" applyBorder="1"/>
    <xf numFmtId="0" fontId="9" fillId="0" borderId="1" xfId="4" applyFont="1" applyFill="1" applyBorder="1" applyAlignment="1">
      <alignment vertical="top"/>
    </xf>
    <xf numFmtId="166" fontId="9" fillId="0" borderId="0" xfId="1" applyNumberFormat="1" applyFont="1" applyFill="1" applyAlignment="1">
      <alignment vertical="top"/>
    </xf>
    <xf numFmtId="166" fontId="9" fillId="0" borderId="1" xfId="1" applyNumberFormat="1" applyFont="1" applyFill="1" applyBorder="1" applyAlignment="1">
      <alignment vertical="top"/>
    </xf>
    <xf numFmtId="166" fontId="8" fillId="0" borderId="1" xfId="1" applyNumberFormat="1" applyFont="1" applyFill="1" applyBorder="1"/>
    <xf numFmtId="0" fontId="14" fillId="0" borderId="1" xfId="0" applyFont="1" applyFill="1" applyBorder="1" applyAlignment="1"/>
    <xf numFmtId="166" fontId="14" fillId="0" borderId="1" xfId="1" applyNumberFormat="1" applyFont="1" applyFill="1" applyBorder="1"/>
    <xf numFmtId="0" fontId="31" fillId="0" borderId="1" xfId="7" applyFont="1" applyFill="1" applyBorder="1" applyAlignment="1">
      <alignment vertical="top"/>
    </xf>
    <xf numFmtId="0" fontId="31" fillId="0" borderId="1" xfId="0" applyFont="1" applyFill="1" applyBorder="1" applyAlignment="1">
      <alignment vertical="top"/>
    </xf>
    <xf numFmtId="0" fontId="31" fillId="0" borderId="0" xfId="0" applyFont="1" applyFill="1" applyAlignment="1">
      <alignment vertical="top"/>
    </xf>
    <xf numFmtId="0" fontId="0" fillId="0" borderId="23" xfId="0" applyFont="1" applyFill="1" applyBorder="1" applyAlignment="1"/>
    <xf numFmtId="166" fontId="0" fillId="0" borderId="0" xfId="1" applyNumberFormat="1" applyFont="1" applyFill="1"/>
    <xf numFmtId="166" fontId="9" fillId="0" borderId="23" xfId="1" applyNumberFormat="1" applyFont="1" applyFill="1" applyBorder="1" applyAlignment="1">
      <alignment vertical="top"/>
    </xf>
    <xf numFmtId="0" fontId="3" fillId="0" borderId="0" xfId="0" applyFont="1" applyFill="1" applyAlignment="1"/>
    <xf numFmtId="0" fontId="1" fillId="0" borderId="0" xfId="0" applyFont="1" applyFill="1" applyAlignment="1"/>
    <xf numFmtId="0" fontId="9" fillId="0" borderId="1" xfId="8" applyFont="1" applyFill="1" applyBorder="1" applyAlignment="1">
      <alignment vertical="top"/>
    </xf>
    <xf numFmtId="0" fontId="9" fillId="0" borderId="1" xfId="9" applyFont="1" applyFill="1" applyBorder="1" applyAlignment="1">
      <alignment vertical="top"/>
    </xf>
    <xf numFmtId="0" fontId="9" fillId="0" borderId="1" xfId="10" applyFont="1" applyFill="1" applyBorder="1" applyAlignment="1">
      <alignment vertical="top"/>
    </xf>
    <xf numFmtId="0" fontId="9" fillId="0" borderId="1" xfId="11" applyFont="1" applyFill="1" applyBorder="1" applyAlignment="1">
      <alignment vertical="top"/>
    </xf>
    <xf numFmtId="0" fontId="9" fillId="0" borderId="1" xfId="12" applyFont="1" applyFill="1" applyBorder="1" applyAlignment="1">
      <alignment vertical="top"/>
    </xf>
    <xf numFmtId="0" fontId="9" fillId="0" borderId="1" xfId="13" applyFont="1" applyFill="1" applyBorder="1" applyAlignment="1">
      <alignment vertical="top"/>
    </xf>
    <xf numFmtId="0" fontId="9" fillId="0" borderId="1" xfId="14" applyFont="1" applyFill="1" applyBorder="1" applyAlignment="1">
      <alignment vertical="top"/>
    </xf>
    <xf numFmtId="0" fontId="9" fillId="0" borderId="1" xfId="15" applyFont="1" applyFill="1" applyBorder="1" applyAlignment="1">
      <alignment vertical="top"/>
    </xf>
    <xf numFmtId="0" fontId="9" fillId="0" borderId="1" xfId="16" applyFont="1" applyFill="1" applyBorder="1" applyAlignment="1">
      <alignment vertical="top"/>
    </xf>
    <xf numFmtId="0" fontId="9" fillId="0" borderId="1" xfId="17" applyFont="1" applyFill="1" applyBorder="1" applyAlignment="1">
      <alignment vertical="top"/>
    </xf>
    <xf numFmtId="0" fontId="9" fillId="0" borderId="1" xfId="18" applyFont="1" applyFill="1" applyBorder="1" applyAlignment="1">
      <alignment vertical="top"/>
    </xf>
    <xf numFmtId="0" fontId="9" fillId="0" borderId="1" xfId="19" applyFont="1" applyFill="1" applyBorder="1" applyAlignment="1">
      <alignment vertical="top"/>
    </xf>
    <xf numFmtId="166" fontId="9" fillId="0" borderId="1" xfId="1" applyNumberFormat="1" applyFont="1" applyFill="1" applyBorder="1" applyAlignment="1">
      <alignment horizontal="right" vertical="top"/>
    </xf>
    <xf numFmtId="0" fontId="9" fillId="0" borderId="1" xfId="20" applyFont="1" applyFill="1" applyBorder="1" applyAlignment="1">
      <alignment vertical="top"/>
    </xf>
    <xf numFmtId="0" fontId="9" fillId="0" borderId="1" xfId="21" applyFont="1" applyFill="1" applyBorder="1" applyAlignment="1">
      <alignment vertical="top"/>
    </xf>
    <xf numFmtId="0" fontId="9" fillId="0" borderId="8" xfId="22" applyFont="1" applyFill="1" applyBorder="1" applyAlignment="1">
      <alignment vertical="top"/>
    </xf>
    <xf numFmtId="0" fontId="0" fillId="0" borderId="8" xfId="0" applyFont="1" applyFill="1" applyBorder="1" applyAlignment="1"/>
    <xf numFmtId="166" fontId="0" fillId="0" borderId="8" xfId="1" applyNumberFormat="1" applyFont="1" applyFill="1" applyBorder="1"/>
    <xf numFmtId="0" fontId="9" fillId="0" borderId="1" xfId="23" applyFont="1" applyFill="1" applyBorder="1" applyAlignment="1">
      <alignment vertical="top"/>
    </xf>
    <xf numFmtId="0" fontId="9" fillId="0" borderId="5" xfId="4" applyFont="1" applyFill="1" applyBorder="1" applyAlignment="1">
      <alignment vertical="top"/>
    </xf>
    <xf numFmtId="0" fontId="9" fillId="0" borderId="5" xfId="23" applyFont="1" applyFill="1" applyBorder="1" applyAlignment="1">
      <alignment vertical="top"/>
    </xf>
    <xf numFmtId="166" fontId="3" fillId="17" borderId="1" xfId="1" applyNumberFormat="1" applyFont="1" applyFill="1" applyBorder="1"/>
    <xf numFmtId="0" fontId="31" fillId="0" borderId="5" xfId="7" applyFont="1" applyFill="1" applyBorder="1" applyAlignment="1">
      <alignment vertical="top"/>
    </xf>
    <xf numFmtId="0" fontId="31" fillId="0" borderId="5" xfId="0" applyFont="1" applyFill="1" applyBorder="1" applyAlignment="1">
      <alignment vertical="top"/>
    </xf>
    <xf numFmtId="0" fontId="31" fillId="0" borderId="8" xfId="0" applyFont="1" applyFill="1" applyBorder="1" applyAlignment="1">
      <alignment vertical="top"/>
    </xf>
    <xf numFmtId="0" fontId="31" fillId="0" borderId="27" xfId="0" applyFont="1" applyFill="1" applyBorder="1" applyAlignment="1">
      <alignment vertical="top"/>
    </xf>
    <xf numFmtId="0" fontId="0" fillId="0" borderId="27" xfId="0" applyFont="1" applyFill="1" applyBorder="1" applyAlignment="1"/>
    <xf numFmtId="166" fontId="3" fillId="17" borderId="8" xfId="1" applyNumberFormat="1" applyFont="1" applyFill="1" applyBorder="1"/>
    <xf numFmtId="165" fontId="0" fillId="0" borderId="8" xfId="1" applyNumberFormat="1" applyFont="1" applyFill="1" applyBorder="1"/>
    <xf numFmtId="0" fontId="3" fillId="0" borderId="15" xfId="0" applyFont="1" applyFill="1" applyBorder="1" applyAlignment="1"/>
    <xf numFmtId="0" fontId="29" fillId="0" borderId="16" xfId="0" applyFont="1" applyFill="1" applyBorder="1" applyAlignment="1">
      <alignment vertical="center"/>
    </xf>
    <xf numFmtId="0" fontId="3" fillId="0" borderId="16" xfId="0" applyFont="1" applyFill="1" applyBorder="1" applyAlignment="1"/>
    <xf numFmtId="166" fontId="3" fillId="0" borderId="16" xfId="1" applyNumberFormat="1" applyFont="1" applyFill="1" applyBorder="1"/>
    <xf numFmtId="165" fontId="3" fillId="0" borderId="16" xfId="1" applyNumberFormat="1" applyFont="1" applyFill="1" applyBorder="1"/>
    <xf numFmtId="0" fontId="3" fillId="0" borderId="28" xfId="0" applyFont="1" applyFill="1" applyBorder="1" applyAlignment="1"/>
    <xf numFmtId="0" fontId="3" fillId="0" borderId="0" xfId="0" applyFont="1" applyFill="1" applyBorder="1" applyAlignment="1"/>
    <xf numFmtId="0" fontId="29" fillId="0" borderId="0" xfId="0" applyFont="1" applyFill="1" applyBorder="1" applyAlignment="1">
      <alignment vertical="center"/>
    </xf>
    <xf numFmtId="166" fontId="3" fillId="0" borderId="0" xfId="1" applyNumberFormat="1" applyFont="1" applyFill="1" applyBorder="1"/>
    <xf numFmtId="165" fontId="3" fillId="0" borderId="0" xfId="1" applyNumberFormat="1" applyFont="1" applyFill="1" applyBorder="1"/>
    <xf numFmtId="0" fontId="30" fillId="0" borderId="0" xfId="0" applyFont="1" applyFill="1" applyAlignment="1">
      <alignment vertical="top"/>
    </xf>
    <xf numFmtId="165" fontId="0" fillId="0" borderId="0" xfId="1" applyNumberFormat="1" applyFont="1" applyFill="1"/>
    <xf numFmtId="0" fontId="3" fillId="17" borderId="10" xfId="0" applyFont="1" applyFill="1" applyBorder="1" applyAlignment="1"/>
    <xf numFmtId="0" fontId="3" fillId="17" borderId="11" xfId="0" applyFont="1" applyFill="1" applyBorder="1" applyAlignment="1">
      <alignment horizontal="left"/>
    </xf>
    <xf numFmtId="0" fontId="3" fillId="17" borderId="11" xfId="0" applyFont="1" applyFill="1" applyBorder="1" applyAlignment="1"/>
    <xf numFmtId="166" fontId="4" fillId="17" borderId="11" xfId="1" applyNumberFormat="1" applyFont="1" applyFill="1" applyBorder="1"/>
    <xf numFmtId="165" fontId="4" fillId="17" borderId="11" xfId="1" applyNumberFormat="1" applyFont="1" applyFill="1" applyBorder="1"/>
    <xf numFmtId="0" fontId="3" fillId="17" borderId="28" xfId="0" applyFont="1" applyFill="1" applyBorder="1" applyAlignment="1"/>
    <xf numFmtId="0" fontId="0" fillId="0" borderId="2" xfId="0" applyFont="1" applyFill="1" applyBorder="1" applyAlignment="1"/>
    <xf numFmtId="0" fontId="31" fillId="0" borderId="2" xfId="4" applyFont="1" applyFill="1" applyBorder="1" applyAlignment="1">
      <alignment horizontal="left" vertical="top"/>
    </xf>
    <xf numFmtId="0" fontId="9" fillId="0" borderId="2" xfId="4" applyFont="1" applyFill="1" applyBorder="1" applyAlignment="1">
      <alignment vertical="top"/>
    </xf>
    <xf numFmtId="166" fontId="0" fillId="0" borderId="2" xfId="1" applyNumberFormat="1" applyFont="1" applyFill="1" applyBorder="1"/>
    <xf numFmtId="166" fontId="9" fillId="0" borderId="2" xfId="1" applyNumberFormat="1" applyFont="1" applyFill="1" applyBorder="1" applyAlignment="1">
      <alignment vertical="top"/>
    </xf>
    <xf numFmtId="165" fontId="0" fillId="0" borderId="2" xfId="1" applyNumberFormat="1" applyFont="1" applyFill="1" applyBorder="1"/>
    <xf numFmtId="0" fontId="31" fillId="0" borderId="1" xfId="4" applyFont="1" applyFill="1" applyBorder="1" applyAlignment="1">
      <alignment horizontal="left" vertical="top"/>
    </xf>
    <xf numFmtId="0" fontId="3" fillId="0" borderId="1" xfId="0" applyFont="1" applyFill="1" applyBorder="1" applyAlignment="1"/>
    <xf numFmtId="166" fontId="27" fillId="0" borderId="1" xfId="1" applyNumberFormat="1" applyFont="1" applyFill="1" applyBorder="1" applyAlignment="1">
      <alignment vertical="top"/>
    </xf>
    <xf numFmtId="165" fontId="9" fillId="0" borderId="1" xfId="1" applyNumberFormat="1" applyFont="1" applyFill="1" applyBorder="1" applyAlignment="1">
      <alignment vertical="top"/>
    </xf>
    <xf numFmtId="166" fontId="9" fillId="0" borderId="1" xfId="1" applyNumberFormat="1" applyFont="1" applyBorder="1" applyAlignment="1">
      <alignment vertical="top"/>
    </xf>
    <xf numFmtId="0" fontId="34" fillId="0" borderId="1" xfId="0" applyFont="1" applyFill="1" applyBorder="1" applyAlignment="1"/>
    <xf numFmtId="0" fontId="31" fillId="0" borderId="8" xfId="4" applyFont="1" applyFill="1" applyBorder="1" applyAlignment="1">
      <alignment horizontal="left" vertical="top"/>
    </xf>
    <xf numFmtId="0" fontId="9" fillId="0" borderId="8" xfId="4" applyFont="1" applyFill="1" applyBorder="1" applyAlignment="1">
      <alignment vertical="top"/>
    </xf>
    <xf numFmtId="166" fontId="9" fillId="0" borderId="8" xfId="1" applyNumberFormat="1" applyFont="1" applyBorder="1" applyAlignment="1">
      <alignment vertical="top"/>
    </xf>
    <xf numFmtId="0" fontId="31" fillId="0" borderId="1" xfId="4" applyFont="1" applyFill="1" applyBorder="1" applyAlignment="1">
      <alignment horizontal="left" vertical="center"/>
    </xf>
    <xf numFmtId="0" fontId="0" fillId="0" borderId="1" xfId="0" applyFont="1" applyFill="1" applyBorder="1" applyAlignment="1">
      <alignment vertical="center"/>
    </xf>
    <xf numFmtId="166" fontId="0" fillId="0" borderId="1" xfId="1" applyNumberFormat="1" applyFont="1" applyFill="1" applyBorder="1" applyAlignment="1">
      <alignment vertical="center"/>
    </xf>
    <xf numFmtId="165" fontId="0" fillId="0" borderId="1" xfId="1" applyNumberFormat="1" applyFont="1" applyFill="1" applyBorder="1" applyAlignment="1">
      <alignment vertical="center"/>
    </xf>
    <xf numFmtId="0" fontId="3" fillId="0" borderId="2" xfId="0" applyFont="1" applyFill="1" applyBorder="1" applyAlignment="1">
      <alignment vertical="center"/>
    </xf>
    <xf numFmtId="166" fontId="9" fillId="0" borderId="1" xfId="1" applyNumberFormat="1" applyFont="1" applyFill="1" applyBorder="1" applyAlignment="1">
      <alignment vertical="center"/>
    </xf>
    <xf numFmtId="166" fontId="27" fillId="0" borderId="1" xfId="1" applyNumberFormat="1" applyFont="1" applyFill="1" applyBorder="1" applyAlignment="1">
      <alignment vertical="center"/>
    </xf>
    <xf numFmtId="165" fontId="9" fillId="0" borderId="1" xfId="1" applyNumberFormat="1" applyFont="1" applyFill="1" applyBorder="1" applyAlignment="1">
      <alignment vertical="center"/>
    </xf>
    <xf numFmtId="0" fontId="9" fillId="0" borderId="1" xfId="4" applyFont="1" applyFill="1" applyBorder="1" applyAlignment="1">
      <alignment horizontal="left" vertical="top"/>
    </xf>
    <xf numFmtId="0" fontId="35" fillId="0" borderId="1" xfId="24" applyFont="1" applyFill="1" applyBorder="1" applyAlignment="1">
      <alignment vertical="top"/>
    </xf>
    <xf numFmtId="166" fontId="35" fillId="0" borderId="1" xfId="1" applyNumberFormat="1" applyFont="1" applyFill="1" applyBorder="1" applyAlignment="1">
      <alignment horizontal="left"/>
    </xf>
    <xf numFmtId="166" fontId="35" fillId="0" borderId="1" xfId="1" applyNumberFormat="1" applyFont="1" applyFill="1" applyBorder="1" applyAlignment="1">
      <alignment horizontal="right" vertical="top"/>
    </xf>
    <xf numFmtId="0" fontId="35" fillId="0" borderId="1" xfId="0" applyFont="1" applyFill="1" applyBorder="1" applyAlignment="1">
      <alignment horizontal="left" vertical="top"/>
    </xf>
    <xf numFmtId="0" fontId="9" fillId="0" borderId="1" xfId="22" applyFont="1" applyFill="1" applyBorder="1" applyAlignment="1">
      <alignment horizontal="left" vertical="top"/>
    </xf>
    <xf numFmtId="0" fontId="9" fillId="0" borderId="1" xfId="22" applyFont="1" applyFill="1" applyBorder="1" applyAlignment="1">
      <alignment vertical="top"/>
    </xf>
    <xf numFmtId="0" fontId="9" fillId="0" borderId="1" xfId="23" applyFont="1" applyFill="1" applyBorder="1" applyAlignment="1">
      <alignment horizontal="left" vertical="top"/>
    </xf>
    <xf numFmtId="0" fontId="4" fillId="0" borderId="1" xfId="0" applyFont="1" applyFill="1" applyBorder="1" applyAlignment="1"/>
    <xf numFmtId="166" fontId="36" fillId="0" borderId="1" xfId="1" applyNumberFormat="1" applyFont="1" applyFill="1" applyBorder="1" applyAlignment="1">
      <alignment horizontal="left"/>
    </xf>
    <xf numFmtId="165" fontId="35" fillId="0" borderId="1" xfId="1" applyNumberFormat="1" applyFont="1" applyFill="1" applyBorder="1" applyAlignment="1">
      <alignment horizontal="left"/>
    </xf>
    <xf numFmtId="0" fontId="14" fillId="0" borderId="2" xfId="0" applyFont="1" applyFill="1" applyBorder="1" applyAlignment="1">
      <alignment horizontal="left"/>
    </xf>
    <xf numFmtId="0" fontId="35" fillId="0" borderId="2" xfId="0" applyFont="1" applyFill="1" applyBorder="1" applyAlignment="1">
      <alignment horizontal="left" vertical="top"/>
    </xf>
    <xf numFmtId="0" fontId="14" fillId="0" borderId="2" xfId="0" applyFont="1" applyFill="1" applyBorder="1" applyAlignment="1"/>
    <xf numFmtId="166" fontId="35" fillId="0" borderId="2" xfId="1" applyNumberFormat="1" applyFont="1" applyFill="1" applyBorder="1" applyAlignment="1">
      <alignment horizontal="left"/>
    </xf>
    <xf numFmtId="0" fontId="35" fillId="0" borderId="1" xfId="25" applyFont="1" applyFill="1" applyBorder="1" applyAlignment="1">
      <alignment vertical="top"/>
    </xf>
    <xf numFmtId="0" fontId="35" fillId="0" borderId="1" xfId="26" applyFont="1" applyFill="1" applyBorder="1" applyAlignment="1">
      <alignment vertical="top"/>
    </xf>
    <xf numFmtId="0" fontId="4" fillId="0" borderId="2" xfId="0" applyFont="1" applyFill="1" applyBorder="1" applyAlignment="1"/>
    <xf numFmtId="166" fontId="36" fillId="0" borderId="1" xfId="1" applyNumberFormat="1" applyFont="1" applyFill="1" applyBorder="1" applyAlignment="1">
      <alignment horizontal="right" vertical="top"/>
    </xf>
    <xf numFmtId="165" fontId="35" fillId="0" borderId="1" xfId="1" applyNumberFormat="1" applyFont="1" applyFill="1" applyBorder="1" applyAlignment="1">
      <alignment horizontal="right" vertical="top"/>
    </xf>
    <xf numFmtId="0" fontId="9" fillId="0" borderId="25" xfId="4" applyFont="1" applyFill="1" applyBorder="1" applyAlignment="1">
      <alignment horizontal="left" vertical="top"/>
    </xf>
    <xf numFmtId="0" fontId="35" fillId="0" borderId="8" xfId="25" applyFont="1" applyFill="1" applyBorder="1" applyAlignment="1">
      <alignment vertical="top"/>
    </xf>
    <xf numFmtId="0" fontId="14" fillId="0" borderId="8" xfId="0" applyFont="1" applyFill="1" applyBorder="1" applyAlignment="1"/>
    <xf numFmtId="166" fontId="35" fillId="0" borderId="8" xfId="1" applyNumberFormat="1" applyFont="1" applyFill="1" applyBorder="1" applyAlignment="1">
      <alignment horizontal="left"/>
    </xf>
    <xf numFmtId="166" fontId="35" fillId="0" borderId="8" xfId="1" applyNumberFormat="1" applyFont="1" applyFill="1" applyBorder="1" applyAlignment="1">
      <alignment horizontal="right" vertical="top"/>
    </xf>
    <xf numFmtId="165" fontId="35" fillId="0" borderId="8" xfId="1" applyNumberFormat="1" applyFont="1" applyFill="1" applyBorder="1" applyAlignment="1">
      <alignment horizontal="left"/>
    </xf>
    <xf numFmtId="0" fontId="9" fillId="0" borderId="1" xfId="27" applyFont="1" applyFill="1" applyBorder="1" applyAlignment="1">
      <alignment horizontal="left" vertical="top"/>
    </xf>
    <xf numFmtId="0" fontId="9" fillId="0" borderId="1" xfId="27" applyFont="1" applyFill="1" applyBorder="1" applyAlignment="1">
      <alignment vertical="top"/>
    </xf>
    <xf numFmtId="0" fontId="37" fillId="0" borderId="8" xfId="4" applyFont="1" applyFill="1" applyBorder="1" applyAlignment="1">
      <alignment horizontal="left" vertical="top"/>
    </xf>
    <xf numFmtId="0" fontId="34" fillId="0" borderId="8" xfId="0" applyFont="1" applyFill="1" applyBorder="1" applyAlignment="1"/>
    <xf numFmtId="0" fontId="37" fillId="0" borderId="1" xfId="4" applyFont="1" applyFill="1" applyBorder="1" applyAlignment="1">
      <alignment horizontal="left" vertical="top"/>
    </xf>
    <xf numFmtId="0" fontId="3" fillId="0" borderId="29" xfId="0" applyFont="1" applyFill="1" applyBorder="1" applyAlignment="1"/>
    <xf numFmtId="0" fontId="3" fillId="0" borderId="30" xfId="0" applyFont="1" applyFill="1" applyBorder="1" applyAlignment="1">
      <alignment horizontal="left"/>
    </xf>
    <xf numFmtId="0" fontId="37" fillId="0" borderId="29" xfId="4" applyFont="1" applyFill="1" applyBorder="1" applyAlignment="1">
      <alignment vertical="top"/>
    </xf>
    <xf numFmtId="166" fontId="3" fillId="18" borderId="29" xfId="1" applyNumberFormat="1" applyFont="1" applyFill="1" applyBorder="1"/>
    <xf numFmtId="165" fontId="3" fillId="0" borderId="29" xfId="1" applyNumberFormat="1" applyFont="1" applyFill="1" applyBorder="1"/>
    <xf numFmtId="0" fontId="37" fillId="0" borderId="31" xfId="0" applyFont="1" applyFill="1" applyBorder="1" applyAlignment="1"/>
    <xf numFmtId="0" fontId="37" fillId="0" borderId="1" xfId="4" applyFont="1" applyFill="1" applyBorder="1" applyAlignment="1">
      <alignment vertical="top"/>
    </xf>
    <xf numFmtId="166" fontId="3" fillId="0" borderId="1" xfId="1" applyNumberFormat="1" applyFont="1" applyFill="1" applyBorder="1"/>
    <xf numFmtId="165" fontId="3" fillId="0" borderId="1" xfId="1" applyNumberFormat="1" applyFont="1" applyFill="1" applyBorder="1"/>
    <xf numFmtId="0" fontId="3" fillId="0" borderId="1" xfId="0" applyFont="1" applyFill="1" applyBorder="1" applyAlignment="1">
      <alignment horizontal="left"/>
    </xf>
    <xf numFmtId="166" fontId="1" fillId="0" borderId="1" xfId="1" applyNumberFormat="1" applyFont="1" applyFill="1" applyBorder="1"/>
    <xf numFmtId="0" fontId="3" fillId="0" borderId="8" xfId="0" applyFont="1" applyFill="1" applyBorder="1" applyAlignment="1"/>
    <xf numFmtId="0" fontId="3" fillId="0" borderId="8" xfId="0" applyFont="1" applyFill="1" applyBorder="1" applyAlignment="1">
      <alignment horizontal="left"/>
    </xf>
    <xf numFmtId="166" fontId="1" fillId="0" borderId="8" xfId="1" applyNumberFormat="1" applyFont="1" applyFill="1" applyBorder="1"/>
    <xf numFmtId="165" fontId="3" fillId="0" borderId="8" xfId="1" applyNumberFormat="1" applyFont="1" applyFill="1" applyBorder="1"/>
    <xf numFmtId="0" fontId="3" fillId="18" borderId="19" xfId="0" applyFont="1" applyFill="1" applyBorder="1" applyAlignment="1"/>
    <xf numFmtId="0" fontId="3" fillId="18" borderId="19" xfId="0" applyFont="1" applyFill="1" applyBorder="1" applyAlignment="1">
      <alignment horizontal="left"/>
    </xf>
    <xf numFmtId="166" fontId="3" fillId="18" borderId="19" xfId="1" applyNumberFormat="1" applyFont="1" applyFill="1" applyBorder="1"/>
    <xf numFmtId="165" fontId="3" fillId="18" borderId="19" xfId="1" applyNumberFormat="1" applyFont="1" applyFill="1" applyBorder="1"/>
    <xf numFmtId="0" fontId="0" fillId="18" borderId="0" xfId="0" applyFont="1" applyFill="1" applyAlignment="1"/>
    <xf numFmtId="0" fontId="0" fillId="0" borderId="0" xfId="0" applyFont="1" applyFill="1" applyBorder="1" applyAlignment="1"/>
    <xf numFmtId="0" fontId="9" fillId="0" borderId="0" xfId="16" applyFont="1" applyFill="1" applyBorder="1" applyAlignment="1">
      <alignment vertical="top"/>
    </xf>
    <xf numFmtId="166" fontId="0" fillId="0" borderId="25" xfId="1" applyNumberFormat="1" applyFont="1" applyFill="1" applyBorder="1"/>
    <xf numFmtId="166" fontId="0" fillId="0" borderId="0" xfId="1" applyNumberFormat="1" applyFont="1" applyFill="1" applyBorder="1"/>
    <xf numFmtId="165" fontId="0" fillId="0" borderId="0" xfId="1" applyNumberFormat="1" applyFont="1" applyFill="1" applyBorder="1"/>
    <xf numFmtId="165" fontId="3" fillId="11" borderId="32" xfId="1" applyNumberFormat="1" applyFont="1" applyFill="1" applyBorder="1"/>
    <xf numFmtId="172" fontId="3" fillId="11" borderId="32" xfId="1" applyNumberFormat="1" applyFont="1" applyFill="1" applyBorder="1"/>
    <xf numFmtId="172" fontId="0" fillId="11" borderId="32" xfId="1" applyNumberFormat="1" applyFont="1" applyFill="1" applyBorder="1"/>
    <xf numFmtId="165" fontId="0" fillId="0" borderId="0" xfId="1" applyNumberFormat="1" applyFont="1" applyBorder="1"/>
    <xf numFmtId="0" fontId="3" fillId="0" borderId="33" xfId="0" applyFont="1" applyFill="1" applyBorder="1" applyAlignment="1"/>
    <xf numFmtId="165" fontId="0" fillId="0" borderId="34" xfId="1" applyNumberFormat="1" applyFont="1" applyFill="1" applyBorder="1"/>
    <xf numFmtId="0" fontId="0" fillId="0" borderId="35" xfId="0" applyFont="1" applyFill="1" applyBorder="1" applyAlignment="1"/>
    <xf numFmtId="0" fontId="0" fillId="0" borderId="7" xfId="0" applyFont="1" applyFill="1" applyBorder="1" applyAlignment="1"/>
    <xf numFmtId="0" fontId="3" fillId="0" borderId="0" xfId="0" applyFont="1" applyFill="1" applyAlignment="1">
      <alignment horizontal="center"/>
    </xf>
    <xf numFmtId="0" fontId="3" fillId="19" borderId="6" xfId="0" applyFont="1" applyFill="1" applyBorder="1" applyAlignment="1"/>
    <xf numFmtId="165" fontId="0" fillId="19" borderId="1" xfId="1" applyNumberFormat="1" applyFont="1" applyFill="1" applyBorder="1"/>
    <xf numFmtId="0" fontId="1" fillId="18" borderId="1" xfId="0" applyFont="1" applyFill="1" applyBorder="1" applyAlignment="1">
      <alignment vertical="center"/>
    </xf>
    <xf numFmtId="165" fontId="3" fillId="18" borderId="1" xfId="1" applyNumberFormat="1" applyFont="1" applyFill="1" applyBorder="1" applyAlignment="1">
      <alignment horizontal="center" vertical="center" wrapText="1"/>
    </xf>
    <xf numFmtId="165" fontId="3" fillId="18" borderId="17" xfId="1" applyNumberFormat="1" applyFont="1" applyFill="1" applyBorder="1" applyAlignment="1">
      <alignment horizontal="center" vertical="center" wrapText="1"/>
    </xf>
    <xf numFmtId="0" fontId="31" fillId="0" borderId="6" xfId="0" applyFont="1" applyFill="1" applyBorder="1" applyAlignment="1">
      <alignment vertical="top"/>
    </xf>
    <xf numFmtId="166" fontId="0" fillId="0" borderId="17" xfId="0" applyNumberFormat="1" applyFont="1" applyFill="1" applyBorder="1" applyAlignment="1"/>
    <xf numFmtId="0" fontId="9" fillId="0" borderId="6" xfId="17" applyFont="1" applyFill="1" applyBorder="1" applyAlignment="1">
      <alignment vertical="top"/>
    </xf>
    <xf numFmtId="166" fontId="0" fillId="0" borderId="1" xfId="0" applyNumberFormat="1" applyFont="1" applyFill="1" applyBorder="1" applyAlignment="1"/>
    <xf numFmtId="0" fontId="0" fillId="0" borderId="17" xfId="0" applyFont="1" applyFill="1" applyBorder="1" applyAlignment="1"/>
    <xf numFmtId="0" fontId="9" fillId="0" borderId="6" xfId="23" applyFont="1" applyFill="1" applyBorder="1" applyAlignment="1">
      <alignment vertical="top"/>
    </xf>
    <xf numFmtId="0" fontId="0" fillId="0" borderId="6" xfId="0" applyFont="1" applyFill="1" applyBorder="1" applyAlignment="1"/>
    <xf numFmtId="166" fontId="3" fillId="20" borderId="1" xfId="1" applyNumberFormat="1" applyFont="1" applyFill="1" applyBorder="1"/>
    <xf numFmtId="166" fontId="3" fillId="20" borderId="1" xfId="0" applyNumberFormat="1" applyFont="1" applyFill="1" applyBorder="1" applyAlignment="1"/>
    <xf numFmtId="166" fontId="3" fillId="20" borderId="17" xfId="0" applyNumberFormat="1" applyFont="1" applyFill="1" applyBorder="1" applyAlignment="1"/>
    <xf numFmtId="173" fontId="0" fillId="0" borderId="1" xfId="1" applyNumberFormat="1" applyFont="1" applyFill="1" applyBorder="1" applyAlignment="1"/>
    <xf numFmtId="165" fontId="0" fillId="0" borderId="1" xfId="1" applyNumberFormat="1" applyFont="1" applyFill="1" applyBorder="1" applyAlignment="1">
      <alignment horizontal="center"/>
    </xf>
    <xf numFmtId="172" fontId="0" fillId="0" borderId="0" xfId="1" applyNumberFormat="1" applyFont="1" applyFill="1" applyBorder="1" applyAlignment="1"/>
    <xf numFmtId="0" fontId="27" fillId="0" borderId="6" xfId="4" applyFont="1" applyFill="1" applyBorder="1" applyAlignment="1">
      <alignment vertical="top"/>
    </xf>
    <xf numFmtId="166" fontId="0" fillId="0" borderId="17" xfId="1" applyNumberFormat="1" applyFont="1" applyFill="1" applyBorder="1"/>
    <xf numFmtId="165" fontId="0" fillId="0" borderId="1" xfId="1" applyNumberFormat="1" applyFont="1" applyFill="1" applyBorder="1" applyAlignment="1"/>
    <xf numFmtId="0" fontId="37" fillId="0" borderId="6" xfId="0" applyFont="1" applyFill="1" applyBorder="1" applyAlignment="1">
      <alignment vertical="top"/>
    </xf>
    <xf numFmtId="165" fontId="3" fillId="20" borderId="1" xfId="1" applyNumberFormat="1" applyFont="1" applyFill="1" applyBorder="1"/>
    <xf numFmtId="0" fontId="29" fillId="19" borderId="6" xfId="0" applyFont="1" applyFill="1" applyBorder="1" applyAlignment="1"/>
    <xf numFmtId="0" fontId="0" fillId="19" borderId="1" xfId="0" applyFont="1" applyFill="1" applyBorder="1" applyAlignment="1"/>
    <xf numFmtId="174" fontId="0" fillId="0" borderId="1" xfId="0" applyNumberFormat="1" applyFont="1" applyFill="1" applyBorder="1" applyAlignment="1"/>
    <xf numFmtId="174" fontId="0" fillId="0" borderId="17" xfId="0" applyNumberFormat="1" applyFont="1" applyFill="1" applyBorder="1" applyAlignment="1"/>
    <xf numFmtId="0" fontId="23" fillId="0" borderId="6" xfId="4" applyFont="1" applyFill="1" applyBorder="1" applyAlignment="1">
      <alignment vertical="top"/>
    </xf>
    <xf numFmtId="165" fontId="8" fillId="0" borderId="1" xfId="1" applyNumberFormat="1" applyFont="1" applyFill="1" applyBorder="1"/>
    <xf numFmtId="0" fontId="9" fillId="0" borderId="6" xfId="4" applyFont="1" applyFill="1" applyBorder="1" applyAlignment="1">
      <alignment vertical="top"/>
    </xf>
    <xf numFmtId="174" fontId="3" fillId="20" borderId="1" xfId="0" applyNumberFormat="1" applyFont="1" applyFill="1" applyBorder="1" applyAlignment="1"/>
    <xf numFmtId="174" fontId="3" fillId="20" borderId="17" xfId="0" applyNumberFormat="1" applyFont="1" applyFill="1" applyBorder="1" applyAlignment="1"/>
    <xf numFmtId="0" fontId="0" fillId="0" borderId="18" xfId="0" applyFont="1" applyFill="1" applyBorder="1" applyAlignment="1"/>
    <xf numFmtId="165" fontId="0" fillId="0" borderId="19" xfId="1" applyNumberFormat="1" applyFont="1" applyFill="1" applyBorder="1"/>
    <xf numFmtId="0" fontId="0" fillId="0" borderId="19" xfId="0" applyFont="1" applyFill="1" applyBorder="1" applyAlignment="1"/>
    <xf numFmtId="166" fontId="3" fillId="20" borderId="19" xfId="1" applyNumberFormat="1" applyFont="1" applyFill="1" applyBorder="1"/>
    <xf numFmtId="166" fontId="3" fillId="20" borderId="20" xfId="1" applyNumberFormat="1" applyFont="1" applyFill="1" applyBorder="1"/>
    <xf numFmtId="0" fontId="3" fillId="0" borderId="37" xfId="0" applyFont="1" applyFill="1" applyBorder="1" applyAlignment="1"/>
    <xf numFmtId="0" fontId="0" fillId="0" borderId="38" xfId="0" applyFont="1" applyFill="1" applyBorder="1" applyAlignment="1"/>
    <xf numFmtId="17" fontId="0" fillId="0" borderId="39" xfId="1" applyNumberFormat="1" applyFont="1" applyFill="1" applyBorder="1"/>
    <xf numFmtId="17" fontId="0" fillId="0" borderId="38" xfId="1" applyNumberFormat="1" applyFont="1" applyFill="1" applyBorder="1"/>
    <xf numFmtId="0" fontId="3" fillId="0" borderId="40" xfId="0" applyFont="1" applyFill="1" applyBorder="1" applyAlignment="1"/>
    <xf numFmtId="0" fontId="3" fillId="0" borderId="41" xfId="0" applyFont="1" applyFill="1" applyBorder="1" applyAlignment="1"/>
    <xf numFmtId="172" fontId="3" fillId="0" borderId="23" xfId="1" applyNumberFormat="1" applyFont="1" applyFill="1" applyBorder="1" applyAlignment="1"/>
    <xf numFmtId="172" fontId="3" fillId="0" borderId="0" xfId="1" applyNumberFormat="1" applyFont="1" applyFill="1" applyBorder="1" applyAlignment="1"/>
    <xf numFmtId="172" fontId="0" fillId="0" borderId="42" xfId="1" applyNumberFormat="1" applyFont="1" applyFill="1" applyBorder="1" applyAlignment="1"/>
    <xf numFmtId="0" fontId="0" fillId="0" borderId="41" xfId="0" applyFont="1" applyFill="1" applyBorder="1" applyAlignment="1"/>
    <xf numFmtId="172" fontId="0" fillId="0" borderId="23" xfId="1" applyNumberFormat="1" applyFont="1" applyFill="1" applyBorder="1" applyAlignment="1"/>
    <xf numFmtId="172" fontId="0" fillId="0" borderId="0" xfId="1" applyNumberFormat="1" applyFont="1" applyFill="1" applyAlignment="1"/>
    <xf numFmtId="172" fontId="3" fillId="0" borderId="1" xfId="1" applyNumberFormat="1" applyFont="1" applyFill="1" applyBorder="1" applyAlignment="1"/>
    <xf numFmtId="172" fontId="3" fillId="0" borderId="4" xfId="1" applyNumberFormat="1" applyFont="1" applyFill="1" applyBorder="1" applyAlignment="1"/>
    <xf numFmtId="172" fontId="3" fillId="11" borderId="17" xfId="1" applyNumberFormat="1" applyFont="1" applyFill="1" applyBorder="1" applyAlignment="1"/>
    <xf numFmtId="166" fontId="0" fillId="0" borderId="0" xfId="0" applyNumberFormat="1" applyFont="1" applyFill="1" applyAlignment="1"/>
    <xf numFmtId="0" fontId="0" fillId="0" borderId="43" xfId="0" applyFont="1" applyFill="1" applyBorder="1" applyAlignment="1"/>
    <xf numFmtId="165" fontId="0" fillId="0" borderId="14" xfId="1" applyNumberFormat="1" applyFont="1" applyFill="1" applyBorder="1"/>
    <xf numFmtId="172" fontId="3" fillId="0" borderId="44" xfId="1" applyNumberFormat="1" applyFont="1" applyFill="1" applyBorder="1" applyAlignment="1"/>
    <xf numFmtId="172" fontId="0" fillId="0" borderId="14" xfId="1" applyNumberFormat="1" applyFont="1" applyFill="1" applyBorder="1" applyAlignment="1"/>
    <xf numFmtId="172" fontId="3" fillId="0" borderId="45" xfId="1" applyNumberFormat="1" applyFont="1" applyFill="1" applyBorder="1" applyAlignment="1"/>
    <xf numFmtId="165" fontId="0" fillId="0" borderId="38" xfId="1" applyNumberFormat="1" applyFont="1" applyBorder="1"/>
    <xf numFmtId="175" fontId="0" fillId="0" borderId="38" xfId="1" applyNumberFormat="1" applyFont="1" applyBorder="1"/>
    <xf numFmtId="165" fontId="0" fillId="0" borderId="46" xfId="1" applyNumberFormat="1" applyFont="1" applyBorder="1"/>
    <xf numFmtId="165" fontId="0" fillId="0" borderId="47" xfId="1" applyNumberFormat="1" applyFont="1" applyBorder="1"/>
    <xf numFmtId="0" fontId="1" fillId="16" borderId="41" xfId="0" applyFont="1" applyFill="1" applyBorder="1" applyAlignment="1"/>
    <xf numFmtId="165" fontId="0" fillId="16" borderId="0" xfId="1" applyNumberFormat="1" applyFont="1" applyFill="1" applyBorder="1"/>
    <xf numFmtId="165" fontId="0" fillId="16" borderId="47" xfId="1" applyNumberFormat="1" applyFont="1" applyFill="1" applyBorder="1"/>
    <xf numFmtId="0" fontId="8" fillId="0" borderId="41" xfId="0" applyFont="1" applyFill="1" applyBorder="1" applyAlignment="1"/>
    <xf numFmtId="175" fontId="8" fillId="0" borderId="0" xfId="1" applyNumberFormat="1" applyFont="1" applyBorder="1"/>
    <xf numFmtId="172" fontId="8" fillId="0" borderId="0" xfId="1" applyNumberFormat="1" applyFont="1" applyBorder="1"/>
    <xf numFmtId="165" fontId="8" fillId="0" borderId="0" xfId="1" applyNumberFormat="1" applyFont="1" applyBorder="1"/>
    <xf numFmtId="166" fontId="8" fillId="0" borderId="0" xfId="1" applyNumberFormat="1" applyFont="1" applyBorder="1"/>
    <xf numFmtId="172" fontId="8" fillId="0" borderId="47" xfId="0" applyNumberFormat="1" applyFont="1" applyFill="1" applyBorder="1" applyAlignment="1"/>
    <xf numFmtId="172" fontId="0" fillId="0" borderId="0" xfId="0" applyNumberFormat="1" applyFill="1" applyBorder="1" applyAlignment="1"/>
    <xf numFmtId="175" fontId="0" fillId="0" borderId="0" xfId="1" applyNumberFormat="1" applyFont="1" applyBorder="1"/>
    <xf numFmtId="166" fontId="0" fillId="0" borderId="0" xfId="1" applyNumberFormat="1" applyFont="1" applyBorder="1"/>
    <xf numFmtId="172" fontId="0" fillId="0" borderId="47" xfId="0" applyNumberFormat="1" applyFont="1" applyFill="1" applyBorder="1" applyAlignment="1"/>
    <xf numFmtId="0" fontId="1" fillId="11" borderId="41" xfId="0" applyFont="1" applyFill="1" applyBorder="1" applyAlignment="1"/>
    <xf numFmtId="166" fontId="3" fillId="11" borderId="0" xfId="1" applyNumberFormat="1" applyFont="1" applyFill="1" applyBorder="1"/>
    <xf numFmtId="172" fontId="3" fillId="0" borderId="47" xfId="0" applyNumberFormat="1" applyFont="1" applyFill="1" applyBorder="1" applyAlignment="1"/>
    <xf numFmtId="166" fontId="0" fillId="0" borderId="0" xfId="0" applyNumberFormat="1" applyFont="1" applyFill="1" applyBorder="1" applyAlignment="1"/>
    <xf numFmtId="0" fontId="0" fillId="0" borderId="14" xfId="0" applyFill="1" applyBorder="1" applyAlignment="1"/>
    <xf numFmtId="165" fontId="0" fillId="0" borderId="14" xfId="1" applyNumberFormat="1" applyFont="1" applyBorder="1"/>
    <xf numFmtId="172" fontId="0" fillId="0" borderId="48" xfId="0" applyNumberFormat="1" applyFont="1" applyFill="1" applyBorder="1" applyAlignment="1"/>
    <xf numFmtId="172" fontId="0" fillId="0" borderId="0" xfId="0" applyNumberFormat="1" applyFont="1" applyFill="1" applyAlignment="1"/>
    <xf numFmtId="0" fontId="13" fillId="4" borderId="1" xfId="4" applyFont="1" applyFill="1" applyBorder="1" applyAlignment="1"/>
    <xf numFmtId="0" fontId="13" fillId="4" borderId="1" xfId="4" applyFont="1" applyFill="1" applyBorder="1" applyAlignment="1">
      <alignment horizontal="left"/>
    </xf>
    <xf numFmtId="0" fontId="16" fillId="4" borderId="1" xfId="0" applyFont="1" applyFill="1" applyBorder="1" applyAlignment="1"/>
    <xf numFmtId="0" fontId="16" fillId="4" borderId="1" xfId="4" applyFont="1" applyFill="1" applyBorder="1" applyAlignment="1"/>
    <xf numFmtId="0" fontId="9" fillId="4" borderId="1" xfId="4" applyFont="1" applyFill="1" applyBorder="1" applyAlignment="1"/>
    <xf numFmtId="170" fontId="13" fillId="4" borderId="1" xfId="4" applyNumberFormat="1" applyFont="1" applyFill="1" applyBorder="1" applyAlignment="1"/>
    <xf numFmtId="14" fontId="9" fillId="4" borderId="1" xfId="4" applyNumberFormat="1" applyFont="1" applyFill="1" applyBorder="1" applyAlignment="1"/>
    <xf numFmtId="172" fontId="9" fillId="4" borderId="1" xfId="1" applyNumberFormat="1" applyFont="1" applyFill="1" applyBorder="1" applyAlignment="1"/>
    <xf numFmtId="0" fontId="4" fillId="6" borderId="8" xfId="0" applyFont="1" applyFill="1" applyBorder="1" applyAlignment="1">
      <alignment horizontal="center" vertical="center" wrapText="1"/>
    </xf>
    <xf numFmtId="9" fontId="4" fillId="6" borderId="8" xfId="3" applyFont="1" applyFill="1" applyBorder="1" applyAlignment="1">
      <alignment horizontal="center" vertical="center" wrapText="1"/>
    </xf>
    <xf numFmtId="164" fontId="4" fillId="6" borderId="8" xfId="2" applyFont="1" applyFill="1" applyBorder="1" applyAlignment="1">
      <alignment horizontal="center" vertical="center" wrapText="1"/>
    </xf>
    <xf numFmtId="167" fontId="3" fillId="0" borderId="2" xfId="2" applyNumberFormat="1" applyFont="1" applyFill="1" applyBorder="1"/>
    <xf numFmtId="0" fontId="3" fillId="0" borderId="2" xfId="0" applyFont="1" applyFill="1" applyBorder="1"/>
    <xf numFmtId="167" fontId="0" fillId="4" borderId="1" xfId="0" applyNumberFormat="1" applyFill="1" applyBorder="1" applyAlignment="1">
      <alignment horizontal="center"/>
    </xf>
    <xf numFmtId="164" fontId="0" fillId="4" borderId="1" xfId="0" applyNumberFormat="1" applyFill="1" applyBorder="1"/>
    <xf numFmtId="0" fontId="14" fillId="4" borderId="1" xfId="0" applyFont="1" applyFill="1" applyBorder="1" applyAlignment="1">
      <alignment vertical="top"/>
    </xf>
    <xf numFmtId="14" fontId="14" fillId="4" borderId="1" xfId="0" applyNumberFormat="1" applyFont="1" applyFill="1" applyBorder="1" applyAlignment="1">
      <alignment horizontal="right" vertical="top"/>
    </xf>
    <xf numFmtId="1" fontId="0" fillId="4" borderId="1" xfId="0" applyNumberFormat="1" applyFill="1" applyBorder="1" applyAlignment="1">
      <alignment horizontal="center"/>
    </xf>
    <xf numFmtId="1" fontId="13" fillId="4" borderId="1" xfId="4" applyNumberFormat="1" applyFont="1" applyFill="1" applyBorder="1" applyAlignment="1"/>
    <xf numFmtId="164" fontId="13" fillId="4" borderId="1" xfId="2" applyFont="1" applyFill="1" applyBorder="1" applyAlignment="1"/>
    <xf numFmtId="164" fontId="15" fillId="4" borderId="1" xfId="2" applyFont="1" applyFill="1" applyBorder="1" applyAlignment="1"/>
    <xf numFmtId="164" fontId="9" fillId="4" borderId="1" xfId="2" applyFont="1" applyFill="1" applyBorder="1" applyAlignment="1"/>
    <xf numFmtId="164" fontId="14" fillId="4" borderId="1" xfId="2" applyFont="1" applyFill="1" applyBorder="1" applyAlignment="1">
      <alignment horizontal="right" vertical="top"/>
    </xf>
    <xf numFmtId="14" fontId="9" fillId="4" borderId="1" xfId="4" applyNumberFormat="1" applyFont="1" applyFill="1" applyBorder="1" applyAlignment="1">
      <alignment horizontal="right"/>
    </xf>
    <xf numFmtId="167" fontId="3" fillId="0" borderId="49" xfId="0" applyNumberFormat="1" applyFont="1" applyFill="1" applyBorder="1" applyAlignment="1">
      <alignment horizontal="center"/>
    </xf>
    <xf numFmtId="167" fontId="3" fillId="0" borderId="2" xfId="0" applyNumberFormat="1" applyFont="1" applyFill="1" applyBorder="1" applyAlignment="1">
      <alignment horizontal="center"/>
    </xf>
    <xf numFmtId="1" fontId="0" fillId="4" borderId="8" xfId="0" applyNumberFormat="1" applyFill="1" applyBorder="1" applyAlignment="1">
      <alignment horizontal="center"/>
    </xf>
    <xf numFmtId="14" fontId="9" fillId="4" borderId="1" xfId="4" applyNumberFormat="1" applyFill="1" applyBorder="1" applyAlignment="1"/>
    <xf numFmtId="0" fontId="9" fillId="4" borderId="1" xfId="4" applyFill="1" applyBorder="1" applyAlignment="1"/>
    <xf numFmtId="164" fontId="0" fillId="4" borderId="1" xfId="2" applyFont="1" applyFill="1" applyBorder="1"/>
    <xf numFmtId="0" fontId="0" fillId="4" borderId="1" xfId="0" applyFill="1" applyBorder="1" applyAlignment="1">
      <alignment vertical="top" wrapText="1"/>
    </xf>
    <xf numFmtId="14" fontId="0" fillId="4" borderId="1" xfId="0" applyNumberFormat="1" applyFill="1" applyBorder="1" applyAlignment="1">
      <alignment horizontal="right" vertical="top"/>
    </xf>
    <xf numFmtId="164" fontId="0" fillId="4" borderId="1" xfId="2" applyFont="1" applyFill="1" applyBorder="1" applyAlignment="1">
      <alignment horizontal="right" vertical="top"/>
    </xf>
    <xf numFmtId="0" fontId="0" fillId="0" borderId="52" xfId="0" applyBorder="1" applyAlignment="1">
      <alignment horizontal="center"/>
    </xf>
    <xf numFmtId="0" fontId="0" fillId="0" borderId="23" xfId="0" applyBorder="1" applyAlignment="1">
      <alignment horizontal="left"/>
    </xf>
    <xf numFmtId="0" fontId="0" fillId="0" borderId="23" xfId="0" applyBorder="1" applyAlignment="1">
      <alignment horizontal="center"/>
    </xf>
    <xf numFmtId="167" fontId="0" fillId="0" borderId="23" xfId="2" applyNumberFormat="1" applyFont="1" applyBorder="1" applyAlignment="1">
      <alignment horizontal="center"/>
    </xf>
    <xf numFmtId="164" fontId="14" fillId="4" borderId="2" xfId="2" applyFont="1" applyFill="1" applyBorder="1" applyAlignment="1">
      <alignment horizontal="right" vertical="top"/>
    </xf>
    <xf numFmtId="164" fontId="0" fillId="4" borderId="0" xfId="0" applyNumberFormat="1" applyFill="1" applyBorder="1"/>
    <xf numFmtId="0" fontId="0" fillId="4" borderId="1" xfId="0" applyFill="1" applyBorder="1" applyAlignment="1">
      <alignment vertical="top"/>
    </xf>
    <xf numFmtId="4" fontId="0" fillId="4" borderId="1" xfId="0" applyNumberFormat="1" applyFill="1" applyBorder="1" applyAlignment="1">
      <alignment horizontal="right" vertical="top"/>
    </xf>
    <xf numFmtId="167" fontId="3" fillId="4" borderId="44" xfId="0" applyNumberFormat="1" applyFont="1" applyFill="1" applyBorder="1"/>
    <xf numFmtId="9" fontId="3" fillId="4" borderId="44" xfId="3" applyFont="1" applyFill="1" applyBorder="1"/>
    <xf numFmtId="0" fontId="0" fillId="0" borderId="2" xfId="0" applyBorder="1" applyAlignment="1">
      <alignment wrapText="1"/>
    </xf>
    <xf numFmtId="0" fontId="0" fillId="0" borderId="1" xfId="0" applyBorder="1" applyAlignment="1">
      <alignment wrapText="1"/>
    </xf>
    <xf numFmtId="0" fontId="0" fillId="3" borderId="0" xfId="0" applyFill="1" applyAlignment="1">
      <alignment wrapText="1"/>
    </xf>
    <xf numFmtId="0" fontId="0" fillId="0" borderId="0" xfId="0" applyAlignment="1">
      <alignment wrapText="1"/>
    </xf>
    <xf numFmtId="0" fontId="0" fillId="4" borderId="51" xfId="0" applyFill="1" applyBorder="1" applyAlignment="1">
      <alignment horizontal="center" vertical="center"/>
    </xf>
    <xf numFmtId="164" fontId="0" fillId="0" borderId="1" xfId="2" applyFont="1" applyFill="1" applyBorder="1"/>
    <xf numFmtId="164" fontId="0" fillId="0" borderId="23" xfId="2" applyFont="1" applyFill="1" applyBorder="1"/>
    <xf numFmtId="164" fontId="9" fillId="0" borderId="0" xfId="2" applyFont="1" applyFill="1" applyAlignment="1">
      <alignment vertical="top"/>
    </xf>
    <xf numFmtId="164" fontId="9" fillId="0" borderId="1" xfId="2" applyFont="1" applyFill="1" applyBorder="1" applyAlignment="1">
      <alignment vertical="top"/>
    </xf>
    <xf numFmtId="164" fontId="9" fillId="0" borderId="23" xfId="2" applyFont="1" applyFill="1" applyBorder="1" applyAlignment="1">
      <alignment vertical="top"/>
    </xf>
    <xf numFmtId="164" fontId="9" fillId="0" borderId="1" xfId="2" applyFont="1" applyFill="1" applyBorder="1" applyAlignment="1">
      <alignment horizontal="right" vertical="top"/>
    </xf>
    <xf numFmtId="164" fontId="0" fillId="0" borderId="8" xfId="2" applyFont="1" applyFill="1" applyBorder="1"/>
    <xf numFmtId="164" fontId="3" fillId="4" borderId="8" xfId="2" applyFont="1" applyFill="1" applyBorder="1"/>
    <xf numFmtId="0" fontId="0" fillId="3" borderId="1" xfId="0" applyFont="1" applyFill="1" applyBorder="1" applyAlignment="1"/>
    <xf numFmtId="0" fontId="0" fillId="0" borderId="0" xfId="0" applyAlignment="1">
      <alignment horizontal="center"/>
    </xf>
    <xf numFmtId="0" fontId="0" fillId="4" borderId="1" xfId="0" applyFill="1" applyBorder="1" applyAlignment="1">
      <alignment horizontal="center"/>
    </xf>
    <xf numFmtId="0" fontId="0" fillId="4" borderId="1" xfId="0" applyFill="1" applyBorder="1"/>
    <xf numFmtId="0" fontId="0" fillId="4" borderId="1" xfId="0" applyFill="1" applyBorder="1" applyAlignment="1"/>
    <xf numFmtId="0" fontId="4" fillId="6" borderId="1" xfId="0" applyFont="1" applyFill="1" applyBorder="1" applyAlignment="1">
      <alignment horizontal="center" vertical="center"/>
    </xf>
    <xf numFmtId="0" fontId="0" fillId="4" borderId="3" xfId="0" applyFill="1" applyBorder="1"/>
    <xf numFmtId="0" fontId="0" fillId="4" borderId="5" xfId="0" applyFill="1" applyBorder="1"/>
    <xf numFmtId="164" fontId="4" fillId="4" borderId="5" xfId="2" applyFont="1" applyFill="1" applyBorder="1" applyAlignment="1">
      <alignment horizontal="center" vertical="center" wrapText="1"/>
    </xf>
    <xf numFmtId="164" fontId="0" fillId="4" borderId="5" xfId="0" applyNumberFormat="1" applyFill="1" applyBorder="1"/>
    <xf numFmtId="0" fontId="0" fillId="4" borderId="8" xfId="0" applyFill="1" applyBorder="1"/>
    <xf numFmtId="0" fontId="0" fillId="4" borderId="8" xfId="0" applyFill="1" applyBorder="1" applyAlignment="1"/>
    <xf numFmtId="164" fontId="0" fillId="4" borderId="8" xfId="2" applyFont="1" applyFill="1" applyBorder="1"/>
    <xf numFmtId="0" fontId="0" fillId="4" borderId="2" xfId="0" applyFill="1" applyBorder="1"/>
    <xf numFmtId="0" fontId="0" fillId="4" borderId="2" xfId="0" applyFill="1" applyBorder="1" applyAlignment="1"/>
    <xf numFmtId="164" fontId="0" fillId="4" borderId="2" xfId="2" applyFont="1" applyFill="1" applyBorder="1"/>
    <xf numFmtId="0" fontId="4" fillId="6" borderId="6" xfId="0" applyFont="1" applyFill="1" applyBorder="1" applyAlignment="1">
      <alignment horizontal="center" vertical="center" wrapText="1"/>
    </xf>
    <xf numFmtId="164" fontId="4" fillId="6" borderId="17" xfId="2" applyFont="1" applyFill="1" applyBorder="1" applyAlignment="1">
      <alignment horizontal="center" vertical="center" wrapText="1"/>
    </xf>
    <xf numFmtId="0" fontId="0" fillId="4" borderId="6" xfId="0" applyFill="1" applyBorder="1" applyAlignment="1">
      <alignment horizontal="center"/>
    </xf>
    <xf numFmtId="167" fontId="0" fillId="4" borderId="17" xfId="0" applyNumberFormat="1"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vertical="top"/>
    </xf>
    <xf numFmtId="14" fontId="0" fillId="4" borderId="8" xfId="0" applyNumberFormat="1" applyFill="1" applyBorder="1" applyAlignment="1">
      <alignment horizontal="right" vertical="top"/>
    </xf>
    <xf numFmtId="4" fontId="0" fillId="4" borderId="8" xfId="0" applyNumberFormat="1" applyFill="1" applyBorder="1" applyAlignment="1">
      <alignment horizontal="right" vertical="top"/>
    </xf>
    <xf numFmtId="164" fontId="13" fillId="4" borderId="8" xfId="2" applyFont="1" applyFill="1" applyBorder="1" applyAlignment="1"/>
    <xf numFmtId="167" fontId="0" fillId="4" borderId="8" xfId="2" applyNumberFormat="1" applyFont="1" applyFill="1" applyBorder="1" applyAlignment="1">
      <alignment horizontal="center"/>
    </xf>
    <xf numFmtId="167" fontId="3" fillId="4" borderId="11" xfId="2" applyNumberFormat="1" applyFont="1" applyFill="1" applyBorder="1"/>
    <xf numFmtId="0" fontId="9" fillId="4" borderId="1" xfId="4" applyFont="1" applyFill="1" applyBorder="1" applyAlignment="1">
      <alignment wrapText="1"/>
    </xf>
    <xf numFmtId="1" fontId="38" fillId="4" borderId="1" xfId="0" applyNumberFormat="1" applyFont="1" applyFill="1" applyBorder="1" applyAlignment="1">
      <alignment horizontal="center"/>
    </xf>
    <xf numFmtId="168" fontId="38" fillId="4" borderId="1" xfId="0" applyNumberFormat="1" applyFont="1" applyFill="1" applyBorder="1" applyAlignment="1">
      <alignment horizontal="center"/>
    </xf>
    <xf numFmtId="164" fontId="38" fillId="4" borderId="1" xfId="2" applyFont="1" applyFill="1" applyBorder="1" applyAlignment="1">
      <alignment horizontal="center" vertical="center"/>
    </xf>
    <xf numFmtId="9" fontId="38" fillId="4" borderId="1" xfId="3" applyFont="1" applyFill="1" applyBorder="1" applyAlignment="1">
      <alignment horizontal="center" vertical="center"/>
    </xf>
    <xf numFmtId="0" fontId="38" fillId="4" borderId="8" xfId="0" applyFont="1" applyFill="1" applyBorder="1" applyAlignment="1">
      <alignment horizontal="center"/>
    </xf>
    <xf numFmtId="0" fontId="27" fillId="4" borderId="1" xfId="4" applyFont="1" applyFill="1" applyBorder="1" applyAlignment="1">
      <alignment wrapText="1"/>
    </xf>
    <xf numFmtId="0" fontId="9" fillId="4" borderId="1" xfId="4" applyFont="1" applyFill="1" applyBorder="1" applyAlignment="1">
      <alignment horizontal="center" vertical="center" wrapText="1"/>
    </xf>
    <xf numFmtId="2" fontId="9" fillId="4" borderId="1" xfId="4" applyNumberFormat="1" applyFont="1" applyFill="1" applyBorder="1" applyAlignment="1">
      <alignment horizontal="center" vertical="center" wrapText="1"/>
    </xf>
    <xf numFmtId="0" fontId="0" fillId="0" borderId="0" xfId="0" applyAlignment="1">
      <alignment horizontal="center" vertical="center"/>
    </xf>
    <xf numFmtId="164" fontId="9" fillId="4" borderId="1" xfId="2" applyFont="1" applyFill="1" applyBorder="1" applyAlignment="1">
      <alignment horizontal="center" vertical="center" wrapText="1"/>
    </xf>
    <xf numFmtId="164" fontId="27" fillId="4" borderId="1" xfId="2" applyFont="1" applyFill="1" applyBorder="1" applyAlignment="1">
      <alignment wrapText="1"/>
    </xf>
    <xf numFmtId="1" fontId="9" fillId="4" borderId="1" xfId="4" applyNumberFormat="1" applyFont="1" applyFill="1" applyBorder="1" applyAlignment="1">
      <alignment horizontal="center" vertical="center" wrapText="1"/>
    </xf>
    <xf numFmtId="14" fontId="9" fillId="4" borderId="1" xfId="4" applyNumberFormat="1" applyFont="1" applyFill="1" applyBorder="1" applyAlignment="1">
      <alignment horizontal="center" vertical="center" wrapText="1"/>
    </xf>
    <xf numFmtId="9" fontId="9" fillId="4" borderId="1" xfId="3" applyFont="1" applyFill="1" applyBorder="1" applyAlignment="1">
      <alignment horizontal="center" vertical="center" wrapText="1"/>
    </xf>
    <xf numFmtId="0" fontId="0" fillId="4" borderId="55" xfId="0" applyFill="1" applyBorder="1" applyAlignment="1">
      <alignment horizontal="center" vertical="center"/>
    </xf>
    <xf numFmtId="0" fontId="0" fillId="0" borderId="15" xfId="0" applyBorder="1"/>
    <xf numFmtId="9" fontId="3" fillId="4" borderId="11" xfId="3" applyFont="1" applyFill="1" applyBorder="1"/>
    <xf numFmtId="167" fontId="3" fillId="4" borderId="12" xfId="2" applyNumberFormat="1" applyFont="1" applyFill="1" applyBorder="1"/>
    <xf numFmtId="170" fontId="9" fillId="4" borderId="1" xfId="4"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170" fontId="9" fillId="4" borderId="1" xfId="4" applyNumberFormat="1" applyFont="1" applyFill="1" applyBorder="1" applyAlignment="1">
      <alignment horizontal="center"/>
    </xf>
    <xf numFmtId="0" fontId="0" fillId="3" borderId="0" xfId="0" applyFill="1" applyAlignment="1">
      <alignment horizontal="center"/>
    </xf>
    <xf numFmtId="167" fontId="38" fillId="4" borderId="5" xfId="2" applyNumberFormat="1" applyFont="1" applyFill="1" applyBorder="1" applyAlignment="1">
      <alignment horizontal="center"/>
    </xf>
    <xf numFmtId="0" fontId="0" fillId="7" borderId="0" xfId="0" applyFill="1"/>
    <xf numFmtId="0" fontId="39" fillId="21" borderId="56" xfId="0" applyFont="1" applyFill="1" applyBorder="1" applyAlignment="1">
      <alignment vertical="center" wrapText="1"/>
    </xf>
    <xf numFmtId="0" fontId="37" fillId="22" borderId="56" xfId="0" applyFont="1" applyFill="1" applyBorder="1" applyAlignment="1">
      <alignment vertical="center" wrapText="1"/>
    </xf>
    <xf numFmtId="0" fontId="31" fillId="22" borderId="56" xfId="0" applyFont="1" applyFill="1" applyBorder="1" applyAlignment="1">
      <alignment vertical="center" wrapText="1"/>
    </xf>
    <xf numFmtId="14" fontId="0" fillId="4" borderId="1" xfId="0" applyNumberFormat="1" applyFill="1" applyBorder="1" applyAlignment="1">
      <alignment horizontal="center" vertical="center"/>
    </xf>
    <xf numFmtId="9" fontId="0" fillId="4" borderId="2" xfId="3" applyFont="1" applyFill="1" applyBorder="1"/>
    <xf numFmtId="9" fontId="0" fillId="4" borderId="1" xfId="3" applyFont="1" applyFill="1" applyBorder="1"/>
    <xf numFmtId="0" fontId="0" fillId="4" borderId="6" xfId="0" applyFill="1" applyBorder="1" applyAlignment="1">
      <alignment horizontal="center" vertical="center"/>
    </xf>
    <xf numFmtId="0" fontId="37" fillId="22" borderId="59" xfId="0" applyFont="1" applyFill="1" applyBorder="1" applyAlignment="1">
      <alignment vertical="center" wrapText="1"/>
    </xf>
    <xf numFmtId="9" fontId="31" fillId="22" borderId="60" xfId="0" applyNumberFormat="1" applyFont="1" applyFill="1" applyBorder="1" applyAlignment="1">
      <alignment vertical="center" wrapText="1"/>
    </xf>
    <xf numFmtId="9" fontId="0" fillId="0" borderId="0" xfId="0" applyNumberFormat="1"/>
    <xf numFmtId="0" fontId="40" fillId="21" borderId="56" xfId="0" applyFont="1" applyFill="1" applyBorder="1" applyAlignment="1">
      <alignment vertical="center" wrapText="1"/>
    </xf>
    <xf numFmtId="0" fontId="41" fillId="22" borderId="56" xfId="0" applyFont="1" applyFill="1" applyBorder="1" applyAlignment="1">
      <alignment vertical="center" wrapText="1"/>
    </xf>
    <xf numFmtId="0" fontId="42" fillId="22" borderId="56" xfId="0" applyFont="1" applyFill="1" applyBorder="1" applyAlignment="1">
      <alignment vertical="center" wrapText="1"/>
    </xf>
    <xf numFmtId="164" fontId="9" fillId="4" borderId="1" xfId="2" applyFont="1" applyFill="1" applyBorder="1" applyAlignment="1">
      <alignment vertical="top"/>
    </xf>
    <xf numFmtId="14" fontId="0" fillId="0" borderId="0" xfId="0" applyNumberFormat="1" applyFont="1" applyFill="1" applyAlignment="1"/>
    <xf numFmtId="164" fontId="43" fillId="0" borderId="0" xfId="2" applyFont="1"/>
    <xf numFmtId="164" fontId="0" fillId="0" borderId="0" xfId="0" applyNumberFormat="1"/>
    <xf numFmtId="0" fontId="14" fillId="3" borderId="1" xfId="0" applyFont="1" applyFill="1" applyBorder="1" applyAlignment="1">
      <alignment vertical="top"/>
    </xf>
    <xf numFmtId="0" fontId="9" fillId="3" borderId="1" xfId="9" applyFont="1" applyFill="1" applyBorder="1" applyAlignment="1">
      <alignment vertical="top"/>
    </xf>
    <xf numFmtId="2" fontId="0" fillId="4" borderId="1" xfId="0" applyNumberFormat="1" applyFill="1" applyBorder="1" applyAlignment="1">
      <alignment horizontal="center"/>
    </xf>
    <xf numFmtId="0" fontId="9" fillId="3" borderId="1" xfId="4" applyFont="1" applyFill="1" applyBorder="1" applyAlignment="1"/>
    <xf numFmtId="172" fontId="13" fillId="9" borderId="24" xfId="1" applyNumberFormat="1" applyFont="1" applyFill="1" applyBorder="1" applyAlignment="1">
      <alignment horizontal="center" vertical="center"/>
    </xf>
    <xf numFmtId="172" fontId="13" fillId="11" borderId="24" xfId="1" applyNumberFormat="1" applyFont="1" applyFill="1" applyBorder="1" applyAlignment="1">
      <alignment horizontal="center" vertical="center"/>
    </xf>
    <xf numFmtId="49" fontId="28" fillId="0" borderId="25" xfId="0" applyNumberFormat="1" applyFont="1" applyBorder="1" applyAlignment="1">
      <alignment vertical="top"/>
    </xf>
    <xf numFmtId="165" fontId="1" fillId="16" borderId="1" xfId="1" applyNumberFormat="1" applyFont="1" applyFill="1" applyBorder="1" applyAlignment="1">
      <alignment horizontal="center" vertical="center"/>
    </xf>
    <xf numFmtId="165" fontId="0" fillId="16" borderId="1" xfId="1" applyNumberFormat="1" applyFont="1" applyFill="1" applyBorder="1" applyAlignment="1">
      <alignment horizontal="center" vertical="center"/>
    </xf>
    <xf numFmtId="165" fontId="3" fillId="18" borderId="3" xfId="1" applyNumberFormat="1" applyFont="1" applyFill="1" applyBorder="1" applyAlignment="1">
      <alignment horizontal="center"/>
    </xf>
    <xf numFmtId="165" fontId="3" fillId="18" borderId="36" xfId="1" applyNumberFormat="1" applyFont="1" applyFill="1" applyBorder="1" applyAlignment="1">
      <alignment horizontal="center"/>
    </xf>
    <xf numFmtId="0" fontId="3" fillId="0" borderId="3" xfId="0" applyFont="1" applyFill="1" applyBorder="1" applyAlignment="1">
      <alignment horizontal="center"/>
    </xf>
    <xf numFmtId="0" fontId="3" fillId="0" borderId="13" xfId="0" applyFont="1" applyFill="1" applyBorder="1" applyAlignment="1">
      <alignment horizontal="center"/>
    </xf>
    <xf numFmtId="0" fontId="3" fillId="0" borderId="49" xfId="0" applyFont="1" applyFill="1" applyBorder="1" applyAlignment="1">
      <alignment horizontal="center"/>
    </xf>
    <xf numFmtId="0" fontId="2" fillId="5" borderId="0" xfId="0" applyFont="1" applyFill="1" applyAlignment="1">
      <alignment horizontal="center"/>
    </xf>
    <xf numFmtId="0" fontId="0" fillId="0" borderId="0" xfId="0" applyAlignment="1">
      <alignment horizontal="center"/>
    </xf>
    <xf numFmtId="9" fontId="2" fillId="5" borderId="0" xfId="3" applyFont="1" applyFill="1" applyAlignment="1">
      <alignment horizontal="center"/>
    </xf>
    <xf numFmtId="0" fontId="3" fillId="0" borderId="1" xfId="0" applyFont="1" applyBorder="1" applyAlignment="1">
      <alignment horizontal="center"/>
    </xf>
    <xf numFmtId="0" fontId="2" fillId="5" borderId="13" xfId="0" applyFont="1" applyFill="1" applyBorder="1" applyAlignment="1">
      <alignment horizontal="center"/>
    </xf>
    <xf numFmtId="0" fontId="0" fillId="0" borderId="13" xfId="0" applyBorder="1" applyAlignment="1">
      <alignment horizontal="center"/>
    </xf>
    <xf numFmtId="9" fontId="2" fillId="5" borderId="13" xfId="3" applyFont="1" applyFill="1" applyBorder="1" applyAlignment="1">
      <alignment horizontal="center"/>
    </xf>
    <xf numFmtId="0" fontId="3" fillId="0" borderId="15" xfId="0" applyFont="1" applyFill="1" applyBorder="1" applyAlignment="1">
      <alignment horizontal="center"/>
    </xf>
    <xf numFmtId="0" fontId="3" fillId="0" borderId="14" xfId="0" applyFont="1" applyFill="1" applyBorder="1" applyAlignment="1">
      <alignment horizontal="center"/>
    </xf>
    <xf numFmtId="0" fontId="3" fillId="0" borderId="48" xfId="0" applyFont="1" applyFill="1" applyBorder="1" applyAlignment="1">
      <alignment horizontal="center"/>
    </xf>
    <xf numFmtId="0" fontId="2" fillId="5" borderId="33" xfId="0" applyFont="1" applyFill="1" applyBorder="1" applyAlignment="1">
      <alignment horizontal="center"/>
    </xf>
    <xf numFmtId="0" fontId="2" fillId="5" borderId="34" xfId="0" applyFont="1" applyFill="1" applyBorder="1" applyAlignment="1">
      <alignment horizontal="center"/>
    </xf>
    <xf numFmtId="0" fontId="0" fillId="5" borderId="34" xfId="0" applyFill="1" applyBorder="1" applyAlignment="1">
      <alignment horizontal="center"/>
    </xf>
    <xf numFmtId="9" fontId="2" fillId="5" borderId="34" xfId="3" applyFont="1" applyFill="1" applyBorder="1" applyAlignment="1">
      <alignment horizontal="center"/>
    </xf>
    <xf numFmtId="0" fontId="2" fillId="5" borderId="35"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44" xfId="0" applyFont="1" applyFill="1" applyBorder="1" applyAlignment="1">
      <alignment horizontal="center"/>
    </xf>
    <xf numFmtId="0" fontId="2" fillId="5" borderId="14" xfId="0" applyFont="1" applyFill="1" applyBorder="1" applyAlignment="1">
      <alignment horizontal="center"/>
    </xf>
    <xf numFmtId="0" fontId="0" fillId="0" borderId="14" xfId="0" applyBorder="1" applyAlignment="1">
      <alignment horizontal="center"/>
    </xf>
    <xf numFmtId="9" fontId="2" fillId="5" borderId="14" xfId="3" applyFont="1" applyFill="1" applyBorder="1" applyAlignment="1">
      <alignment horizontal="center"/>
    </xf>
    <xf numFmtId="0" fontId="27" fillId="4" borderId="3" xfId="4" applyFont="1" applyFill="1" applyBorder="1" applyAlignment="1">
      <alignment horizontal="center" wrapText="1"/>
    </xf>
    <xf numFmtId="0" fontId="27" fillId="4" borderId="4" xfId="4" applyFont="1" applyFill="1" applyBorder="1" applyAlignment="1">
      <alignment horizontal="center" wrapText="1"/>
    </xf>
    <xf numFmtId="0" fontId="27" fillId="4" borderId="5" xfId="4" applyFont="1" applyFill="1" applyBorder="1" applyAlignment="1">
      <alignment horizontal="center" wrapText="1"/>
    </xf>
    <xf numFmtId="0" fontId="2" fillId="5" borderId="15" xfId="0" applyFont="1" applyFill="1" applyBorder="1" applyAlignment="1">
      <alignment horizontal="center" wrapText="1"/>
    </xf>
    <xf numFmtId="0" fontId="2" fillId="5" borderId="16" xfId="0" applyFont="1" applyFill="1" applyBorder="1" applyAlignment="1">
      <alignment horizontal="center" wrapText="1"/>
    </xf>
    <xf numFmtId="0" fontId="2" fillId="5" borderId="28" xfId="0" applyFont="1" applyFill="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6" fillId="0" borderId="21" xfId="0" applyFont="1" applyBorder="1" applyAlignment="1">
      <alignment horizontal="left"/>
    </xf>
    <xf numFmtId="0" fontId="6" fillId="0" borderId="2" xfId="0" applyFont="1" applyBorder="1" applyAlignment="1">
      <alignment horizontal="left"/>
    </xf>
    <xf numFmtId="0" fontId="6" fillId="0" borderId="22" xfId="0" applyFont="1" applyBorder="1" applyAlignment="1">
      <alignment horizontal="left"/>
    </xf>
    <xf numFmtId="0" fontId="6" fillId="0" borderId="6" xfId="0" applyFont="1" applyBorder="1" applyAlignment="1">
      <alignment horizontal="left" wrapText="1"/>
    </xf>
    <xf numFmtId="0" fontId="6" fillId="0" borderId="1" xfId="0" applyFont="1" applyBorder="1" applyAlignment="1">
      <alignment horizontal="left" wrapText="1"/>
    </xf>
    <xf numFmtId="0" fontId="6" fillId="0" borderId="17" xfId="0" applyFont="1" applyBorder="1" applyAlignment="1">
      <alignment horizontal="left" wrapText="1"/>
    </xf>
    <xf numFmtId="0" fontId="6" fillId="0" borderId="0" xfId="0" applyFont="1" applyBorder="1" applyAlignment="1">
      <alignment horizontal="left" wrapText="1"/>
    </xf>
    <xf numFmtId="0" fontId="7" fillId="7" borderId="6" xfId="0" applyFont="1" applyFill="1" applyBorder="1" applyAlignment="1">
      <alignment vertical="center" wrapText="1"/>
    </xf>
    <xf numFmtId="0" fontId="7" fillId="7" borderId="1" xfId="0" applyFont="1" applyFill="1" applyBorder="1" applyAlignment="1">
      <alignment vertical="center" wrapText="1"/>
    </xf>
    <xf numFmtId="0" fontId="7" fillId="7" borderId="17" xfId="0" applyFont="1" applyFill="1" applyBorder="1" applyAlignment="1">
      <alignment vertical="center" wrapText="1"/>
    </xf>
    <xf numFmtId="0" fontId="7" fillId="7" borderId="18" xfId="0" applyFont="1" applyFill="1" applyBorder="1" applyAlignment="1">
      <alignment vertical="center" wrapText="1"/>
    </xf>
    <xf numFmtId="0" fontId="7" fillId="7" borderId="19" xfId="0" applyFont="1" applyFill="1" applyBorder="1" applyAlignment="1">
      <alignment vertical="center" wrapText="1"/>
    </xf>
    <xf numFmtId="0" fontId="7" fillId="7" borderId="20" xfId="0" applyFont="1" applyFill="1" applyBorder="1" applyAlignment="1">
      <alignment vertical="center" wrapText="1"/>
    </xf>
    <xf numFmtId="167" fontId="0" fillId="0" borderId="50" xfId="2" applyNumberFormat="1" applyFont="1" applyBorder="1" applyAlignment="1">
      <alignment horizontal="center"/>
    </xf>
    <xf numFmtId="167" fontId="0" fillId="0" borderId="53" xfId="2" applyNumberFormat="1" applyFont="1" applyBorder="1" applyAlignment="1">
      <alignment horizontal="center"/>
    </xf>
    <xf numFmtId="167" fontId="0" fillId="0" borderId="54" xfId="2" applyNumberFormat="1" applyFont="1" applyBorder="1" applyAlignment="1">
      <alignment horizontal="center"/>
    </xf>
    <xf numFmtId="167" fontId="0" fillId="0" borderId="48" xfId="2" applyNumberFormat="1" applyFont="1" applyBorder="1" applyAlignment="1">
      <alignment horizont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28" xfId="0" applyFont="1" applyFill="1" applyBorder="1" applyAlignment="1">
      <alignment horizontal="center"/>
    </xf>
    <xf numFmtId="0" fontId="0" fillId="0" borderId="24" xfId="0" applyBorder="1" applyAlignment="1">
      <alignment horizontal="center" vertical="center" wrapText="1"/>
    </xf>
    <xf numFmtId="0" fontId="16" fillId="4" borderId="57" xfId="4" applyFont="1" applyFill="1" applyBorder="1" applyAlignment="1">
      <alignment horizontal="center"/>
    </xf>
    <xf numFmtId="0" fontId="0" fillId="7" borderId="57" xfId="0" applyFill="1" applyBorder="1" applyAlignment="1">
      <alignment horizontal="center"/>
    </xf>
    <xf numFmtId="0" fontId="0" fillId="0" borderId="57" xfId="0" applyBorder="1" applyAlignment="1">
      <alignment horizontal="center"/>
    </xf>
    <xf numFmtId="0" fontId="0" fillId="0" borderId="57" xfId="0" applyBorder="1" applyAlignment="1">
      <alignment horizontal="center" wrapText="1"/>
    </xf>
    <xf numFmtId="0" fontId="0" fillId="7" borderId="57" xfId="0" applyFill="1" applyBorder="1" applyAlignment="1">
      <alignment horizontal="center" wrapText="1"/>
    </xf>
    <xf numFmtId="0" fontId="0" fillId="0" borderId="58" xfId="0" applyBorder="1" applyAlignment="1">
      <alignment horizontal="center"/>
    </xf>
    <xf numFmtId="0" fontId="0" fillId="0" borderId="24" xfId="0" applyBorder="1" applyAlignment="1">
      <alignment horizontal="center"/>
    </xf>
    <xf numFmtId="0" fontId="0" fillId="0" borderId="61" xfId="0" applyBorder="1" applyAlignment="1">
      <alignment horizontal="center"/>
    </xf>
    <xf numFmtId="0" fontId="0" fillId="3" borderId="1" xfId="0" applyFill="1" applyBorder="1" applyAlignment="1">
      <alignment horizontal="center"/>
    </xf>
    <xf numFmtId="0" fontId="0" fillId="3" borderId="5" xfId="0" applyFont="1" applyFill="1" applyBorder="1" applyAlignment="1"/>
    <xf numFmtId="14" fontId="0" fillId="3" borderId="1" xfId="0" applyNumberFormat="1" applyFill="1" applyBorder="1" applyAlignment="1">
      <alignment horizontal="center" vertical="center"/>
    </xf>
    <xf numFmtId="14" fontId="0" fillId="3" borderId="1" xfId="0" applyNumberFormat="1" applyFill="1" applyBorder="1" applyAlignment="1">
      <alignment horizontal="center"/>
    </xf>
    <xf numFmtId="1" fontId="0" fillId="3" borderId="1" xfId="0" applyNumberFormat="1" applyFill="1" applyBorder="1" applyAlignment="1">
      <alignment horizontal="center"/>
    </xf>
    <xf numFmtId="168" fontId="0" fillId="3" borderId="1" xfId="0" applyNumberFormat="1" applyFill="1" applyBorder="1" applyAlignment="1">
      <alignment horizontal="center"/>
    </xf>
    <xf numFmtId="164" fontId="0" fillId="3" borderId="1" xfId="2" applyFont="1" applyFill="1" applyBorder="1"/>
    <xf numFmtId="164" fontId="14" fillId="3" borderId="2" xfId="2" applyFont="1" applyFill="1" applyBorder="1" applyAlignment="1">
      <alignment horizontal="right" vertical="top"/>
    </xf>
    <xf numFmtId="9" fontId="0" fillId="3" borderId="1" xfId="3" applyFont="1" applyFill="1" applyBorder="1" applyAlignment="1">
      <alignment horizontal="center"/>
    </xf>
    <xf numFmtId="167" fontId="0" fillId="3" borderId="1" xfId="2" applyNumberFormat="1" applyFont="1" applyFill="1" applyBorder="1" applyAlignment="1">
      <alignment horizontal="center"/>
    </xf>
    <xf numFmtId="164" fontId="0" fillId="3" borderId="1" xfId="2" applyFont="1" applyFill="1" applyBorder="1" applyAlignment="1">
      <alignment horizontal="center"/>
    </xf>
    <xf numFmtId="167" fontId="0" fillId="3" borderId="1" xfId="0" applyNumberFormat="1" applyFill="1" applyBorder="1" applyAlignment="1">
      <alignment horizontal="center"/>
    </xf>
    <xf numFmtId="164" fontId="0" fillId="3" borderId="0" xfId="0" applyNumberFormat="1" applyFill="1" applyBorder="1"/>
  </cellXfs>
  <cellStyles count="28">
    <cellStyle name="Comma" xfId="1" builtinId="3"/>
    <cellStyle name="Comma 10" xfId="5"/>
    <cellStyle name="Currency" xfId="2" builtinId="4"/>
    <cellStyle name="Normal" xfId="0" builtinId="0"/>
    <cellStyle name="Normal 104" xfId="6"/>
    <cellStyle name="Normal 11 3" xfId="12"/>
    <cellStyle name="Normal 12 4" xfId="13"/>
    <cellStyle name="Normal 13 3" xfId="14"/>
    <cellStyle name="Normal 14 3" xfId="15"/>
    <cellStyle name="Normal 15 3" xfId="16"/>
    <cellStyle name="Normal 16 3" xfId="17"/>
    <cellStyle name="Normal 2" xfId="4"/>
    <cellStyle name="Normal 20 3" xfId="18"/>
    <cellStyle name="Normal 21 2" xfId="19"/>
    <cellStyle name="Normal 23 3" xfId="20"/>
    <cellStyle name="Normal 24 2" xfId="21"/>
    <cellStyle name="Normal 25 2" xfId="22"/>
    <cellStyle name="Normal 32 3" xfId="27"/>
    <cellStyle name="Normal 33 3" xfId="23"/>
    <cellStyle name="Normal 36 3" xfId="25"/>
    <cellStyle name="Normal 39 3" xfId="24"/>
    <cellStyle name="Normal 41 3" xfId="26"/>
    <cellStyle name="Normal 5 2" xfId="7"/>
    <cellStyle name="Normal 6 2" xfId="8"/>
    <cellStyle name="Normal 7 3" xfId="9"/>
    <cellStyle name="Normal 8 3" xfId="10"/>
    <cellStyle name="Normal 9 3" xfId="1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USER\Downloads\AML%20Dep_09.06.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USER\Downloads\New%20Microsoft%20Office%20Excel%20Work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S/DEPRICIATION%2020-21%20Suman%20JI%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USER\Downloads\AML%20New%20Project%20Report%20Updated%20upto%2030.0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G2">
            <v>-1473.7</v>
          </cell>
          <cell r="I2">
            <v>-152</v>
          </cell>
        </row>
        <row r="3">
          <cell r="G3">
            <v>-47473.4</v>
          </cell>
          <cell r="I3">
            <v>0</v>
          </cell>
        </row>
        <row r="4">
          <cell r="G4">
            <v>-25431.84</v>
          </cell>
          <cell r="I4">
            <v>-2670.39</v>
          </cell>
        </row>
        <row r="5">
          <cell r="G5">
            <v>-16557.810000000001</v>
          </cell>
          <cell r="I5">
            <v>-1827.36</v>
          </cell>
        </row>
        <row r="6">
          <cell r="G6">
            <v>-1530691.79</v>
          </cell>
          <cell r="I6">
            <v>-195845.03</v>
          </cell>
        </row>
        <row r="9">
          <cell r="G9">
            <v>-8931.33</v>
          </cell>
          <cell r="I9">
            <v>-740.53</v>
          </cell>
        </row>
        <row r="10">
          <cell r="G10">
            <v>-26366383.579999998</v>
          </cell>
          <cell r="I10">
            <v>-2119394.27</v>
          </cell>
        </row>
        <row r="11">
          <cell r="G11">
            <v>-29837892.489999998</v>
          </cell>
          <cell r="I11">
            <v>-3265616.23</v>
          </cell>
        </row>
        <row r="12">
          <cell r="G12">
            <v>-3962030.09</v>
          </cell>
          <cell r="I12">
            <v>-562340.78</v>
          </cell>
        </row>
        <row r="33">
          <cell r="I33">
            <v>-15243.27</v>
          </cell>
        </row>
        <row r="35">
          <cell r="I35">
            <v>-139960.94</v>
          </cell>
        </row>
        <row r="61">
          <cell r="G61">
            <v>-343042.85</v>
          </cell>
          <cell r="I61">
            <v>-36311.85</v>
          </cell>
        </row>
        <row r="62">
          <cell r="G62">
            <v>-217853.46</v>
          </cell>
          <cell r="I62">
            <v>-23060.25</v>
          </cell>
        </row>
        <row r="63">
          <cell r="G63">
            <v>-58737.27</v>
          </cell>
          <cell r="I63">
            <v>-6217.47</v>
          </cell>
        </row>
        <row r="64">
          <cell r="G64">
            <v>-5208031.71</v>
          </cell>
          <cell r="I64">
            <v>-551281.25</v>
          </cell>
        </row>
        <row r="65">
          <cell r="G65">
            <v>-1481925.76</v>
          </cell>
          <cell r="I65">
            <v>-156865</v>
          </cell>
        </row>
        <row r="66">
          <cell r="G66">
            <v>-89411.29</v>
          </cell>
          <cell r="I66">
            <v>-9464.3799999999992</v>
          </cell>
        </row>
        <row r="67">
          <cell r="G67">
            <v>0</v>
          </cell>
          <cell r="I67">
            <v>0</v>
          </cell>
        </row>
        <row r="68">
          <cell r="G68">
            <v>-1116070.3899999999</v>
          </cell>
          <cell r="I68">
            <v>-118138.39</v>
          </cell>
        </row>
        <row r="69">
          <cell r="G69">
            <v>-192483.09</v>
          </cell>
          <cell r="I69">
            <v>-20374.75</v>
          </cell>
        </row>
        <row r="70">
          <cell r="G70">
            <v>-470003.6</v>
          </cell>
          <cell r="I70">
            <v>-49750.879999999997</v>
          </cell>
        </row>
        <row r="71">
          <cell r="G71">
            <v>-718610.95</v>
          </cell>
          <cell r="I71">
            <v>-76066.5</v>
          </cell>
        </row>
        <row r="72">
          <cell r="G72">
            <v>-366171.19</v>
          </cell>
          <cell r="I72">
            <v>-38760</v>
          </cell>
        </row>
        <row r="73">
          <cell r="G73">
            <v>-792030.98</v>
          </cell>
          <cell r="I73">
            <v>-83838.17</v>
          </cell>
        </row>
        <row r="74">
          <cell r="G74">
            <v>-58336.1</v>
          </cell>
          <cell r="I74">
            <v>-6175</v>
          </cell>
        </row>
        <row r="75">
          <cell r="G75">
            <v>-217765.5</v>
          </cell>
          <cell r="I75">
            <v>-23050.94</v>
          </cell>
        </row>
        <row r="76">
          <cell r="G76">
            <v>-753881.86</v>
          </cell>
          <cell r="I76">
            <v>-79800</v>
          </cell>
        </row>
        <row r="77">
          <cell r="G77">
            <v>0</v>
          </cell>
          <cell r="I77">
            <v>0</v>
          </cell>
        </row>
        <row r="78">
          <cell r="G78">
            <v>-44745.13</v>
          </cell>
          <cell r="I78">
            <v>-4736.37</v>
          </cell>
        </row>
        <row r="79">
          <cell r="G79">
            <v>-22636.2</v>
          </cell>
          <cell r="I79">
            <v>-2396.09</v>
          </cell>
        </row>
        <row r="80">
          <cell r="G80">
            <v>-1414874.7</v>
          </cell>
          <cell r="I80">
            <v>-149767.5</v>
          </cell>
        </row>
        <row r="81">
          <cell r="G81">
            <v>-1122590.6599999999</v>
          </cell>
          <cell r="I81">
            <v>-118828.61</v>
          </cell>
        </row>
        <row r="82">
          <cell r="G82">
            <v>-12075797.140000001</v>
          </cell>
          <cell r="I82">
            <v>-1278248.8500000001</v>
          </cell>
        </row>
        <row r="83">
          <cell r="G83">
            <v>-922010.53</v>
          </cell>
          <cell r="I83">
            <v>-97596.78</v>
          </cell>
        </row>
        <row r="84">
          <cell r="G84">
            <v>-1342801.77</v>
          </cell>
          <cell r="I84">
            <v>-142139.38</v>
          </cell>
        </row>
        <row r="85">
          <cell r="G85">
            <v>-10135808.73</v>
          </cell>
          <cell r="I85">
            <v>-1072896.94</v>
          </cell>
        </row>
        <row r="86">
          <cell r="G86">
            <v>-54222.96</v>
          </cell>
          <cell r="I86">
            <v>-5739.62</v>
          </cell>
        </row>
        <row r="87">
          <cell r="G87">
            <v>-679220.63</v>
          </cell>
          <cell r="I87">
            <v>-71896.95</v>
          </cell>
        </row>
        <row r="88">
          <cell r="G88">
            <v>-4543.49</v>
          </cell>
          <cell r="I88">
            <v>-480.94</v>
          </cell>
        </row>
        <row r="89">
          <cell r="G89">
            <v>-258595.39</v>
          </cell>
          <cell r="I89">
            <v>-27372.87</v>
          </cell>
        </row>
        <row r="90">
          <cell r="G90">
            <v>-136523.07</v>
          </cell>
          <cell r="I90">
            <v>-14451.26</v>
          </cell>
        </row>
        <row r="91">
          <cell r="G91">
            <v>-420658.44</v>
          </cell>
          <cell r="I91">
            <v>-44527.59</v>
          </cell>
        </row>
        <row r="92">
          <cell r="G92">
            <v>-54753.81</v>
          </cell>
          <cell r="I92">
            <v>-5795.81</v>
          </cell>
        </row>
        <row r="93">
          <cell r="G93">
            <v>-508726.21</v>
          </cell>
          <cell r="I93">
            <v>-53849.75</v>
          </cell>
        </row>
        <row r="94">
          <cell r="G94">
            <v>-1398987.08</v>
          </cell>
          <cell r="I94">
            <v>-148085.76000000001</v>
          </cell>
        </row>
        <row r="95">
          <cell r="G95">
            <v>-3303226.24</v>
          </cell>
          <cell r="I95">
            <v>-349653.53</v>
          </cell>
        </row>
        <row r="96">
          <cell r="G96">
            <v>-5384870.4000000004</v>
          </cell>
          <cell r="I96">
            <v>-570000</v>
          </cell>
        </row>
        <row r="97">
          <cell r="G97">
            <v>-483928.88</v>
          </cell>
          <cell r="I97">
            <v>-51224.9</v>
          </cell>
        </row>
        <row r="98">
          <cell r="G98">
            <v>-1249285.8899999999</v>
          </cell>
          <cell r="I98">
            <v>-132239.57</v>
          </cell>
        </row>
        <row r="99">
          <cell r="G99">
            <v>-722926.03</v>
          </cell>
          <cell r="I99">
            <v>-76523.259999999995</v>
          </cell>
        </row>
        <row r="100">
          <cell r="G100">
            <v>-1285058.94</v>
          </cell>
          <cell r="I100">
            <v>-136026.23000000001</v>
          </cell>
        </row>
        <row r="101">
          <cell r="G101">
            <v>-2028781.78</v>
          </cell>
          <cell r="I101">
            <v>-214750.87</v>
          </cell>
        </row>
        <row r="102">
          <cell r="G102">
            <v>-40757011.579999998</v>
          </cell>
          <cell r="I102">
            <v>-4314216.4800000004</v>
          </cell>
        </row>
        <row r="103">
          <cell r="G103">
            <v>-387149.75</v>
          </cell>
          <cell r="I103">
            <v>-40980.629999999997</v>
          </cell>
        </row>
        <row r="104">
          <cell r="G104">
            <v>-1738114.56</v>
          </cell>
          <cell r="I104">
            <v>-183983.13</v>
          </cell>
        </row>
        <row r="105">
          <cell r="G105">
            <v>-204745.34</v>
          </cell>
          <cell r="I105">
            <v>-21672.73</v>
          </cell>
        </row>
        <row r="106">
          <cell r="G106">
            <v>-16940.8</v>
          </cell>
          <cell r="I106">
            <v>-1793.22</v>
          </cell>
        </row>
        <row r="107">
          <cell r="G107">
            <v>-67388.509999999995</v>
          </cell>
          <cell r="I107">
            <v>-7133.22</v>
          </cell>
        </row>
        <row r="108">
          <cell r="G108">
            <v>-22401.06</v>
          </cell>
          <cell r="I108">
            <v>-2371.1999999999998</v>
          </cell>
        </row>
        <row r="116">
          <cell r="G116">
            <v>-164044.38</v>
          </cell>
          <cell r="I116">
            <v>-25412.5</v>
          </cell>
        </row>
        <row r="117">
          <cell r="G117">
            <v>-198668.16</v>
          </cell>
          <cell r="I117">
            <v>-30776.15</v>
          </cell>
        </row>
        <row r="123">
          <cell r="I123">
            <v>-84975.360000000001</v>
          </cell>
        </row>
        <row r="152">
          <cell r="I152">
            <v>-36849.08</v>
          </cell>
        </row>
        <row r="153">
          <cell r="I153">
            <v>-429902.13</v>
          </cell>
        </row>
        <row r="154">
          <cell r="I154">
            <v>-121426.53</v>
          </cell>
        </row>
        <row r="162">
          <cell r="I162">
            <v>-116803.88</v>
          </cell>
        </row>
        <row r="163">
          <cell r="I163">
            <v>-12785.99</v>
          </cell>
        </row>
        <row r="202">
          <cell r="I202">
            <v>-30262.05</v>
          </cell>
        </row>
        <row r="203">
          <cell r="I203">
            <v>-1926.03</v>
          </cell>
        </row>
        <row r="212">
          <cell r="I212">
            <v>-712.5</v>
          </cell>
        </row>
        <row r="213">
          <cell r="I213">
            <v>-2707.5</v>
          </cell>
        </row>
        <row r="215">
          <cell r="I215">
            <v>-703.95</v>
          </cell>
        </row>
        <row r="216">
          <cell r="I216">
            <v>-907.25</v>
          </cell>
        </row>
        <row r="217">
          <cell r="G217">
            <v>-2655</v>
          </cell>
          <cell r="I217">
            <v>-2375</v>
          </cell>
        </row>
        <row r="218">
          <cell r="I218">
            <v>-8550</v>
          </cell>
        </row>
        <row r="219">
          <cell r="I219">
            <v>-2294.4899999999998</v>
          </cell>
        </row>
        <row r="223">
          <cell r="G223">
            <v>-332.5</v>
          </cell>
          <cell r="I223">
            <v>-332.5</v>
          </cell>
        </row>
        <row r="224">
          <cell r="G224">
            <v>-798</v>
          </cell>
          <cell r="I224">
            <v>-798</v>
          </cell>
        </row>
        <row r="225">
          <cell r="G225">
            <v>-2888</v>
          </cell>
          <cell r="I225">
            <v>-2888</v>
          </cell>
        </row>
        <row r="240">
          <cell r="G240">
            <v>-267729</v>
          </cell>
        </row>
        <row r="241">
          <cell r="G241">
            <v>-247950</v>
          </cell>
        </row>
        <row r="242">
          <cell r="G242">
            <v>-16031.25</v>
          </cell>
        </row>
        <row r="249">
          <cell r="G249">
            <v>-7836895.7999999998</v>
          </cell>
        </row>
        <row r="253">
          <cell r="G253">
            <v>-243559.08</v>
          </cell>
          <cell r="I253">
            <v>-15699.49</v>
          </cell>
        </row>
        <row r="254">
          <cell r="G254">
            <v>-53929</v>
          </cell>
          <cell r="I254">
            <v>-3476.22</v>
          </cell>
        </row>
        <row r="255">
          <cell r="G255">
            <v>-177865.32</v>
          </cell>
          <cell r="I255">
            <v>-11464.96</v>
          </cell>
        </row>
        <row r="256">
          <cell r="G256">
            <v>-337123.26</v>
          </cell>
          <cell r="I256">
            <v>-21730.51</v>
          </cell>
        </row>
        <row r="257">
          <cell r="G257">
            <v>-218809.75</v>
          </cell>
          <cell r="I257">
            <v>-14104.18</v>
          </cell>
        </row>
        <row r="258">
          <cell r="G258">
            <v>-4279516.5999999996</v>
          </cell>
          <cell r="I258">
            <v>-275851.84000000003</v>
          </cell>
        </row>
        <row r="259">
          <cell r="G259">
            <v>-265367.13</v>
          </cell>
          <cell r="I259">
            <v>-17105.21</v>
          </cell>
        </row>
        <row r="260">
          <cell r="G260">
            <v>-30819</v>
          </cell>
          <cell r="I260">
            <v>-1986.41</v>
          </cell>
        </row>
        <row r="261">
          <cell r="G261">
            <v>-12273344.470000001</v>
          </cell>
          <cell r="I261">
            <v>-791123.15</v>
          </cell>
        </row>
        <row r="262">
          <cell r="G262">
            <v>-2418264.98</v>
          </cell>
          <cell r="I262">
            <v>-155878.07999999999</v>
          </cell>
        </row>
        <row r="263">
          <cell r="G263">
            <v>-5565379.6100000003</v>
          </cell>
          <cell r="I263">
            <v>-358736.83</v>
          </cell>
        </row>
        <row r="264">
          <cell r="G264">
            <v>-12357653.32</v>
          </cell>
          <cell r="I264">
            <v>-796557.58</v>
          </cell>
        </row>
        <row r="265">
          <cell r="G265">
            <v>-334704.99</v>
          </cell>
          <cell r="I265">
            <v>-21574.63</v>
          </cell>
        </row>
        <row r="266">
          <cell r="G266">
            <v>-34141.620000000003</v>
          </cell>
          <cell r="I266">
            <v>-2200.7199999999998</v>
          </cell>
        </row>
        <row r="267">
          <cell r="G267">
            <v>-4370236.25</v>
          </cell>
          <cell r="I267">
            <v>-281699.5</v>
          </cell>
        </row>
        <row r="268">
          <cell r="G268">
            <v>-57920.69</v>
          </cell>
        </row>
        <row r="274">
          <cell r="I274">
            <v>-6246.58</v>
          </cell>
        </row>
        <row r="275">
          <cell r="I275">
            <v>-22687.22</v>
          </cell>
        </row>
        <row r="328">
          <cell r="G328">
            <v>-21600.720000000001</v>
          </cell>
          <cell r="I328">
            <v>-969.66</v>
          </cell>
        </row>
        <row r="329">
          <cell r="G329">
            <v>-7130.6</v>
          </cell>
          <cell r="I329">
            <v>-320.08999999999997</v>
          </cell>
        </row>
        <row r="330">
          <cell r="G330">
            <v>-9328.73</v>
          </cell>
          <cell r="I330">
            <v>-6977.43</v>
          </cell>
        </row>
        <row r="331">
          <cell r="I331">
            <v>-2137.5</v>
          </cell>
        </row>
        <row r="332">
          <cell r="I332">
            <v>-1393.33</v>
          </cell>
        </row>
        <row r="333">
          <cell r="I333">
            <v>-275.5</v>
          </cell>
        </row>
        <row r="334">
          <cell r="I334">
            <v>-2834.17</v>
          </cell>
        </row>
        <row r="335">
          <cell r="I335">
            <v>-1694.17</v>
          </cell>
        </row>
        <row r="336">
          <cell r="I336">
            <v>-145.66999999999999</v>
          </cell>
        </row>
        <row r="337">
          <cell r="I337">
            <v>-1849.33</v>
          </cell>
        </row>
        <row r="338">
          <cell r="I338">
            <v>-247</v>
          </cell>
        </row>
        <row r="339">
          <cell r="I339">
            <v>-918.33</v>
          </cell>
        </row>
        <row r="340">
          <cell r="G340">
            <v>-2780.22</v>
          </cell>
          <cell r="I340">
            <v>-2469.0500000000002</v>
          </cell>
        </row>
        <row r="341">
          <cell r="G341">
            <v>-7174.45</v>
          </cell>
          <cell r="I341">
            <v>-6387.01</v>
          </cell>
        </row>
        <row r="342">
          <cell r="I342">
            <v>-5232.92</v>
          </cell>
        </row>
        <row r="343">
          <cell r="G343">
            <v>-7174.45</v>
          </cell>
          <cell r="I343">
            <v>-6387.01</v>
          </cell>
        </row>
        <row r="344">
          <cell r="G344">
            <v>-2972.42</v>
          </cell>
          <cell r="I344">
            <v>-2732.83</v>
          </cell>
        </row>
        <row r="345">
          <cell r="G345">
            <v>-1177.48</v>
          </cell>
          <cell r="I345">
            <v>-1140</v>
          </cell>
        </row>
        <row r="346">
          <cell r="G346">
            <v>-3107.23</v>
          </cell>
          <cell r="I346">
            <v>-3008.33</v>
          </cell>
        </row>
        <row r="347">
          <cell r="I347">
            <v>-9816.67</v>
          </cell>
        </row>
        <row r="348">
          <cell r="I348">
            <v>-9452.5</v>
          </cell>
        </row>
        <row r="349">
          <cell r="I349">
            <v>-2248.33</v>
          </cell>
        </row>
        <row r="350">
          <cell r="I350">
            <v>-14218.33</v>
          </cell>
        </row>
        <row r="351">
          <cell r="I351">
            <v>-13775</v>
          </cell>
        </row>
        <row r="352">
          <cell r="I352">
            <v>-44763.05</v>
          </cell>
        </row>
        <row r="353">
          <cell r="I353">
            <v>-36363.019999999997</v>
          </cell>
        </row>
        <row r="354">
          <cell r="I354">
            <v>-15833.33</v>
          </cell>
        </row>
        <row r="355">
          <cell r="I355">
            <v>-25794.720000000001</v>
          </cell>
        </row>
        <row r="356">
          <cell r="I356">
            <v>-5098.87</v>
          </cell>
        </row>
        <row r="357">
          <cell r="I357">
            <v>-1972.45</v>
          </cell>
        </row>
        <row r="358">
          <cell r="I358">
            <v>-751.41</v>
          </cell>
        </row>
        <row r="359">
          <cell r="I359">
            <v>-12183.43</v>
          </cell>
        </row>
        <row r="360">
          <cell r="I360">
            <v>-23037.5</v>
          </cell>
        </row>
        <row r="361">
          <cell r="I361">
            <v>0</v>
          </cell>
        </row>
        <row r="362">
          <cell r="I362">
            <v>-2881.67</v>
          </cell>
        </row>
        <row r="363">
          <cell r="I363">
            <v>-6038.13</v>
          </cell>
        </row>
        <row r="364">
          <cell r="I364">
            <v>-1100.0999999999999</v>
          </cell>
        </row>
        <row r="365">
          <cell r="I365">
            <v>-3488.4</v>
          </cell>
        </row>
        <row r="366">
          <cell r="I366">
            <v>-12255</v>
          </cell>
        </row>
        <row r="367">
          <cell r="I367">
            <v>-3006.75</v>
          </cell>
        </row>
        <row r="368">
          <cell r="I368">
            <v>-5304.17</v>
          </cell>
        </row>
        <row r="369">
          <cell r="I369">
            <v>-482.92</v>
          </cell>
        </row>
        <row r="370">
          <cell r="I370">
            <v>-10070</v>
          </cell>
        </row>
        <row r="371">
          <cell r="I371">
            <v>-12300.63</v>
          </cell>
        </row>
        <row r="372">
          <cell r="I372">
            <v>-1650.47</v>
          </cell>
        </row>
        <row r="373">
          <cell r="I373">
            <v>-2549.4299999999998</v>
          </cell>
        </row>
        <row r="374">
          <cell r="I374">
            <v>-6725.48</v>
          </cell>
        </row>
        <row r="375">
          <cell r="I375">
            <v>-6725.48</v>
          </cell>
        </row>
        <row r="376">
          <cell r="I376">
            <v>-4904.03</v>
          </cell>
        </row>
        <row r="377">
          <cell r="I377">
            <v>-8187.6</v>
          </cell>
        </row>
        <row r="378">
          <cell r="I378">
            <v>-26114.16</v>
          </cell>
        </row>
        <row r="379">
          <cell r="I379">
            <v>-12146.12</v>
          </cell>
        </row>
        <row r="380">
          <cell r="I380">
            <v>-264.18</v>
          </cell>
        </row>
        <row r="381">
          <cell r="I381">
            <v>-1612.38</v>
          </cell>
        </row>
        <row r="382">
          <cell r="I382">
            <v>-3279.45</v>
          </cell>
        </row>
        <row r="383">
          <cell r="I383">
            <v>-1639.73</v>
          </cell>
        </row>
        <row r="384">
          <cell r="I384">
            <v>-1639.73</v>
          </cell>
        </row>
        <row r="385">
          <cell r="I385">
            <v>-1639.73</v>
          </cell>
        </row>
        <row r="386">
          <cell r="I386">
            <v>-1639.73</v>
          </cell>
        </row>
        <row r="387">
          <cell r="I387">
            <v>-908.04</v>
          </cell>
        </row>
        <row r="388">
          <cell r="I388">
            <v>-612.16</v>
          </cell>
        </row>
        <row r="389">
          <cell r="I389">
            <v>-371.67</v>
          </cell>
        </row>
        <row r="390">
          <cell r="I390">
            <v>-196.77</v>
          </cell>
        </row>
        <row r="391">
          <cell r="I391">
            <v>-196.77</v>
          </cell>
        </row>
        <row r="392">
          <cell r="I392">
            <v>-30.51</v>
          </cell>
        </row>
        <row r="393">
          <cell r="I393">
            <v>-12.87</v>
          </cell>
        </row>
        <row r="399">
          <cell r="G399">
            <v>-12350</v>
          </cell>
        </row>
        <row r="400">
          <cell r="G400">
            <v>-11756.25</v>
          </cell>
        </row>
        <row r="417">
          <cell r="G417">
            <v>-10592.43</v>
          </cell>
        </row>
        <row r="419">
          <cell r="G419">
            <v>-7362.26</v>
          </cell>
        </row>
        <row r="421">
          <cell r="G421">
            <v>-4368.66</v>
          </cell>
          <cell r="I421">
            <v>0</v>
          </cell>
        </row>
        <row r="422">
          <cell r="G422">
            <v>-33238.839999999997</v>
          </cell>
        </row>
        <row r="424">
          <cell r="G424">
            <v>-10873.46</v>
          </cell>
        </row>
        <row r="426">
          <cell r="G426">
            <v>-5307.19</v>
          </cell>
        </row>
        <row r="427">
          <cell r="G427">
            <v>-21365.58</v>
          </cell>
          <cell r="I427">
            <v>-117.72</v>
          </cell>
        </row>
        <row r="430">
          <cell r="G430">
            <v>-4638.08</v>
          </cell>
          <cell r="I430">
            <v>-111.92</v>
          </cell>
        </row>
        <row r="432">
          <cell r="G432">
            <v>-4627.67</v>
          </cell>
          <cell r="I432">
            <v>-122.33</v>
          </cell>
        </row>
        <row r="435">
          <cell r="G435">
            <v>-180415.45</v>
          </cell>
          <cell r="I435">
            <v>0</v>
          </cell>
        </row>
        <row r="437">
          <cell r="G437">
            <v>-4617.26</v>
          </cell>
          <cell r="I437">
            <v>-132.74</v>
          </cell>
        </row>
        <row r="438">
          <cell r="G438">
            <v>-45155.01</v>
          </cell>
          <cell r="I438">
            <v>-1962.14</v>
          </cell>
        </row>
        <row r="441">
          <cell r="G441">
            <v>-13317.33</v>
          </cell>
          <cell r="I441">
            <v>-837.67</v>
          </cell>
        </row>
        <row r="442">
          <cell r="G442">
            <v>-27889.83</v>
          </cell>
          <cell r="I442">
            <v>-2533.92</v>
          </cell>
        </row>
        <row r="443">
          <cell r="I443">
            <v>-1836.49</v>
          </cell>
        </row>
        <row r="444">
          <cell r="I444">
            <v>-5753.8</v>
          </cell>
        </row>
        <row r="445">
          <cell r="G445">
            <v>-381625.38</v>
          </cell>
          <cell r="I445">
            <v>-95668.45</v>
          </cell>
        </row>
        <row r="447">
          <cell r="G447">
            <v>-88720.74</v>
          </cell>
          <cell r="I447">
            <v>-22302.39</v>
          </cell>
        </row>
        <row r="449">
          <cell r="G449">
            <v>-264879.07</v>
          </cell>
          <cell r="I449">
            <v>-66907.17</v>
          </cell>
        </row>
        <row r="451">
          <cell r="G451">
            <v>-52765.82</v>
          </cell>
          <cell r="I451">
            <v>-13374.67</v>
          </cell>
        </row>
        <row r="453">
          <cell r="G453">
            <v>-4886.83</v>
          </cell>
          <cell r="I453">
            <v>-1282.31</v>
          </cell>
        </row>
        <row r="455">
          <cell r="I455">
            <v>-14320.87</v>
          </cell>
        </row>
        <row r="457">
          <cell r="G457">
            <v>-12604.76</v>
          </cell>
          <cell r="I457">
            <v>-3572</v>
          </cell>
        </row>
        <row r="458">
          <cell r="G458">
            <v>-3318.81</v>
          </cell>
          <cell r="I458">
            <v>-940.5</v>
          </cell>
        </row>
        <row r="461">
          <cell r="G461">
            <v>-3563.05</v>
          </cell>
          <cell r="I461">
            <v>-1178</v>
          </cell>
        </row>
        <row r="463">
          <cell r="G463">
            <v>-23312.17</v>
          </cell>
          <cell r="I463">
            <v>-7799.13</v>
          </cell>
        </row>
        <row r="465">
          <cell r="G465">
            <v>-13589.76</v>
          </cell>
          <cell r="I465">
            <v>-7199.22</v>
          </cell>
        </row>
        <row r="468">
          <cell r="G468">
            <v>-2093.38</v>
          </cell>
          <cell r="I468">
            <v>-1995</v>
          </cell>
        </row>
        <row r="472">
          <cell r="G472">
            <v>-1482</v>
          </cell>
          <cell r="I472">
            <v>-1482</v>
          </cell>
        </row>
        <row r="473">
          <cell r="G473">
            <v>-2660</v>
          </cell>
          <cell r="I473">
            <v>-2660</v>
          </cell>
        </row>
        <row r="474">
          <cell r="G474">
            <v>-3933</v>
          </cell>
          <cell r="I474">
            <v>-3933</v>
          </cell>
        </row>
        <row r="475">
          <cell r="I475">
            <v>-2914.6</v>
          </cell>
        </row>
        <row r="476">
          <cell r="I476">
            <v>-228</v>
          </cell>
        </row>
        <row r="477">
          <cell r="I477">
            <v>-4830.51</v>
          </cell>
        </row>
        <row r="478">
          <cell r="I478">
            <v>-3040</v>
          </cell>
        </row>
        <row r="497">
          <cell r="I497">
            <v>-27141.5</v>
          </cell>
        </row>
        <row r="498">
          <cell r="I498">
            <v>-8839.99</v>
          </cell>
        </row>
        <row r="511">
          <cell r="G511">
            <v>-504932</v>
          </cell>
          <cell r="I511">
            <v>-380000</v>
          </cell>
        </row>
        <row r="512">
          <cell r="I512">
            <v>-9377.5</v>
          </cell>
        </row>
        <row r="513">
          <cell r="I513">
            <v>-4860</v>
          </cell>
        </row>
        <row r="514">
          <cell r="I514">
            <v>-9409</v>
          </cell>
        </row>
        <row r="515">
          <cell r="I515">
            <v>-212530.05</v>
          </cell>
        </row>
        <row r="516">
          <cell r="I516">
            <v>-100000.01</v>
          </cell>
        </row>
        <row r="517">
          <cell r="I517">
            <v>-1627.4</v>
          </cell>
        </row>
        <row r="521">
          <cell r="G521">
            <v>-16870</v>
          </cell>
          <cell r="I521">
            <v>-2800</v>
          </cell>
        </row>
        <row r="604">
          <cell r="I604">
            <v>-4852.6000000000004</v>
          </cell>
        </row>
        <row r="605">
          <cell r="I605">
            <v>-5327.6</v>
          </cell>
        </row>
        <row r="611">
          <cell r="I611">
            <v>-27886967.670000002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4"/>
    </sheetNames>
    <sheetDataSet>
      <sheetData sheetId="0">
        <row r="2">
          <cell r="I2">
            <v>-152</v>
          </cell>
        </row>
        <row r="327">
          <cell r="I327">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12 Fixed Assets 20-21"/>
      <sheetName val="DEP 2020-21"/>
      <sheetName val="DEP ADD 2020-21"/>
      <sheetName val="Dep additional for  Expansion"/>
      <sheetName val="Note 12 Fixed Assets 18-19 (2)"/>
      <sheetName val="DEP 2018-19"/>
      <sheetName val="DEP ADD 2018-19"/>
    </sheetNames>
    <sheetDataSet>
      <sheetData sheetId="0">
        <row r="28">
          <cell r="H28">
            <v>251335812.54770851</v>
          </cell>
          <cell r="L28">
            <v>7003235.4471652508</v>
          </cell>
          <cell r="M28">
            <v>244332577.10054344</v>
          </cell>
        </row>
      </sheetData>
      <sheetData sheetId="1">
        <row r="358">
          <cell r="C358">
            <v>187834478</v>
          </cell>
          <cell r="R358">
            <v>121892010.92361955</v>
          </cell>
        </row>
        <row r="366">
          <cell r="C366">
            <v>6381386</v>
          </cell>
          <cell r="R366">
            <v>4547607.6830611993</v>
          </cell>
        </row>
      </sheetData>
      <sheetData sheetId="2">
        <row r="83">
          <cell r="I83">
            <v>176293.99853936073</v>
          </cell>
          <cell r="K83">
            <v>-176294.02000000005</v>
          </cell>
          <cell r="L83">
            <v>0</v>
          </cell>
        </row>
      </sheetData>
      <sheetData sheetId="3">
        <row r="214">
          <cell r="I214">
            <v>5210659.0409180801</v>
          </cell>
          <cell r="J214">
            <v>246125152.84679061</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Oct-March 21"/>
      <sheetName val="CWIP"/>
      <sheetName val="Reconciliation"/>
      <sheetName val="New Project PO Based Report"/>
      <sheetName val="Non Project Material "/>
      <sheetName val="Sheet1"/>
      <sheetName val="Sheet2"/>
      <sheetName val="Sheet4"/>
      <sheetName val="Working"/>
      <sheetName val="Sheet5"/>
      <sheetName val="Sheet3"/>
    </sheetNames>
    <sheetDataSet>
      <sheetData sheetId="0" refreshError="1">
        <row r="1">
          <cell r="A1" t="str">
            <v>Vendor</v>
          </cell>
          <cell r="B1" t="str">
            <v>Vendor Name</v>
          </cell>
          <cell r="C1" t="str">
            <v>Total</v>
          </cell>
        </row>
        <row r="2">
          <cell r="A2">
            <v>3000000528</v>
          </cell>
          <cell r="B2" t="str">
            <v>A.M.CONSTRUCTOR</v>
          </cell>
          <cell r="C2">
            <v>1158143.6300000001</v>
          </cell>
        </row>
        <row r="3">
          <cell r="A3">
            <v>1000001487</v>
          </cell>
          <cell r="B3" t="str">
            <v>ABHIMANYU SINGH ENTERPRISE</v>
          </cell>
          <cell r="C3">
            <v>124035.98000000003</v>
          </cell>
        </row>
        <row r="4">
          <cell r="A4">
            <v>1000000021</v>
          </cell>
          <cell r="B4" t="str">
            <v>ADYA SHAKTI SERVICES</v>
          </cell>
          <cell r="C4">
            <v>1314860</v>
          </cell>
        </row>
        <row r="5">
          <cell r="A5">
            <v>1000002633</v>
          </cell>
          <cell r="B5" t="str">
            <v>ALLIED INFRADEVELOPMENT PRIVATE LIM</v>
          </cell>
          <cell r="C5">
            <v>209018.62999999998</v>
          </cell>
        </row>
        <row r="6">
          <cell r="A6">
            <v>1000002813</v>
          </cell>
          <cell r="B6" t="str">
            <v>Apurba Popular Stores</v>
          </cell>
          <cell r="C6">
            <v>487459.32999999996</v>
          </cell>
        </row>
        <row r="7">
          <cell r="A7">
            <v>3000000156</v>
          </cell>
          <cell r="B7" t="str">
            <v>Arcon Project Pvt. Ltd.</v>
          </cell>
          <cell r="C7">
            <v>76096.77</v>
          </cell>
        </row>
        <row r="8">
          <cell r="A8">
            <v>3000000543</v>
          </cell>
          <cell r="B8" t="str">
            <v>Associated Road Carriers Limited</v>
          </cell>
          <cell r="C8">
            <v>689500</v>
          </cell>
        </row>
        <row r="9">
          <cell r="A9">
            <v>1000001506</v>
          </cell>
          <cell r="B9" t="str">
            <v>BAIRAGYA CONSTRUCTION PVT. LTD.</v>
          </cell>
          <cell r="C9">
            <v>15750</v>
          </cell>
        </row>
        <row r="10">
          <cell r="A10">
            <v>61110000</v>
          </cell>
          <cell r="B10" t="str">
            <v>Bank Charges</v>
          </cell>
          <cell r="C10">
            <v>142072</v>
          </cell>
        </row>
        <row r="11">
          <cell r="A11">
            <v>1000000095</v>
          </cell>
          <cell r="B11" t="str">
            <v>BENGAL MACHINERY CORPORATION</v>
          </cell>
          <cell r="C11">
            <v>8500</v>
          </cell>
        </row>
        <row r="12">
          <cell r="A12">
            <v>1000000114</v>
          </cell>
          <cell r="B12" t="str">
            <v>BOMBAY VARIETY STORES</v>
          </cell>
          <cell r="C12">
            <v>51406.26</v>
          </cell>
        </row>
        <row r="13">
          <cell r="A13">
            <v>3000000268</v>
          </cell>
          <cell r="B13" t="str">
            <v>C.P Infrastructure</v>
          </cell>
          <cell r="C13">
            <v>180000</v>
          </cell>
        </row>
        <row r="14">
          <cell r="A14">
            <v>3000000017</v>
          </cell>
          <cell r="B14" t="str">
            <v>CALCUTTA TRANSPORT COMPANY</v>
          </cell>
          <cell r="C14">
            <v>139000</v>
          </cell>
        </row>
        <row r="15">
          <cell r="A15">
            <v>1000002768</v>
          </cell>
          <cell r="B15" t="str">
            <v>Citi Shine Sales Corporation</v>
          </cell>
          <cell r="C15">
            <v>65800</v>
          </cell>
        </row>
        <row r="16">
          <cell r="A16">
            <v>3000000355</v>
          </cell>
          <cell r="B16" t="str">
            <v>CONCAST (INDIA) LIMITED - MUMBAI</v>
          </cell>
          <cell r="C16">
            <v>36000</v>
          </cell>
        </row>
        <row r="17">
          <cell r="A17">
            <v>3000000679</v>
          </cell>
          <cell r="B17" t="str">
            <v>DASCON ENTERPRISES</v>
          </cell>
          <cell r="C17">
            <v>232258.75</v>
          </cell>
        </row>
        <row r="18">
          <cell r="A18">
            <v>3000000029</v>
          </cell>
          <cell r="B18" t="str">
            <v>DURGAPUR MECHANICAL ENTERPRISE</v>
          </cell>
          <cell r="C18">
            <v>40000</v>
          </cell>
        </row>
        <row r="19">
          <cell r="A19">
            <v>1000000228</v>
          </cell>
          <cell r="B19" t="str">
            <v>FIRE SAFETY &amp; CARE</v>
          </cell>
          <cell r="C19">
            <v>6256</v>
          </cell>
        </row>
        <row r="20">
          <cell r="A20">
            <v>1000000234</v>
          </cell>
          <cell r="B20" t="str">
            <v>G C BHALA &amp; COMPANY</v>
          </cell>
          <cell r="C20">
            <v>16759.8</v>
          </cell>
        </row>
        <row r="21">
          <cell r="A21">
            <v>3000000044</v>
          </cell>
          <cell r="B21" t="str">
            <v>GATI KINTETSU EXPRESS PVT. LTD.</v>
          </cell>
          <cell r="C21">
            <v>35569</v>
          </cell>
        </row>
        <row r="22">
          <cell r="A22">
            <v>3000000423</v>
          </cell>
          <cell r="B22" t="str">
            <v>GAYATRI DHARA</v>
          </cell>
          <cell r="C22">
            <v>153725.54</v>
          </cell>
        </row>
        <row r="23">
          <cell r="A23">
            <v>3000000321</v>
          </cell>
          <cell r="B23" t="str">
            <v>GUJRAL CONSTRUCTION</v>
          </cell>
          <cell r="C23">
            <v>117864</v>
          </cell>
        </row>
        <row r="24">
          <cell r="A24">
            <v>1000000277</v>
          </cell>
          <cell r="B24" t="str">
            <v>HIND HARDWARE STORES</v>
          </cell>
          <cell r="C24">
            <v>40820</v>
          </cell>
        </row>
        <row r="25">
          <cell r="A25">
            <v>1000002752</v>
          </cell>
          <cell r="B25" t="str">
            <v>J M Enterprise</v>
          </cell>
          <cell r="C25">
            <v>46000.01</v>
          </cell>
        </row>
        <row r="26">
          <cell r="A26">
            <v>3000000052</v>
          </cell>
          <cell r="B26" t="str">
            <v>JAY MAA KALI TRANSPORT</v>
          </cell>
          <cell r="C26">
            <v>19000</v>
          </cell>
        </row>
        <row r="27">
          <cell r="A27">
            <v>1000001737</v>
          </cell>
          <cell r="B27" t="str">
            <v>JSW CEMENT LTD</v>
          </cell>
          <cell r="C27">
            <v>260542.12000000005</v>
          </cell>
        </row>
        <row r="28">
          <cell r="A28">
            <v>1000002064</v>
          </cell>
          <cell r="B28" t="str">
            <v>KAMAL ENTERPRISES</v>
          </cell>
          <cell r="C28">
            <v>197182</v>
          </cell>
        </row>
        <row r="29">
          <cell r="A29">
            <v>3000000800</v>
          </cell>
          <cell r="B29" t="str">
            <v>LAA SUPPLY SOLUTION</v>
          </cell>
          <cell r="C29">
            <v>14000</v>
          </cell>
        </row>
        <row r="30">
          <cell r="A30">
            <v>1000001478</v>
          </cell>
          <cell r="B30" t="str">
            <v>Maa bhairabi sales corporation</v>
          </cell>
          <cell r="C30">
            <v>6600</v>
          </cell>
        </row>
        <row r="31">
          <cell r="A31">
            <v>1000002809</v>
          </cell>
          <cell r="B31" t="str">
            <v>Meghdoot Furniture LLP</v>
          </cell>
          <cell r="C31">
            <v>86000</v>
          </cell>
        </row>
        <row r="32">
          <cell r="A32">
            <v>3000000627</v>
          </cell>
          <cell r="B32" t="str">
            <v>MOUNTAIN ENTERPRISES</v>
          </cell>
          <cell r="C32">
            <v>50000</v>
          </cell>
        </row>
        <row r="33">
          <cell r="A33">
            <v>3000000731</v>
          </cell>
          <cell r="B33" t="str">
            <v>Other Miscelleneous Items</v>
          </cell>
          <cell r="C33">
            <v>27000</v>
          </cell>
        </row>
        <row r="34">
          <cell r="A34">
            <v>3000000688</v>
          </cell>
          <cell r="B34" t="str">
            <v>Other Miscelleneous Items</v>
          </cell>
          <cell r="C34">
            <v>68000</v>
          </cell>
        </row>
        <row r="35">
          <cell r="A35">
            <v>3000000143</v>
          </cell>
          <cell r="B35" t="str">
            <v>Other Miscelleneous Items</v>
          </cell>
          <cell r="C35">
            <v>49594</v>
          </cell>
        </row>
        <row r="36">
          <cell r="A36">
            <v>1000001718</v>
          </cell>
          <cell r="B36" t="str">
            <v>Other Miscelleneous Items</v>
          </cell>
          <cell r="C36">
            <v>325518</v>
          </cell>
        </row>
        <row r="37">
          <cell r="A37">
            <v>1000001105</v>
          </cell>
          <cell r="B37" t="str">
            <v>Other Miscelleneous Items</v>
          </cell>
          <cell r="C37">
            <v>8000</v>
          </cell>
        </row>
        <row r="38">
          <cell r="B38" t="str">
            <v>Other Miscelleneous Items</v>
          </cell>
          <cell r="C38">
            <v>300846.37999999995</v>
          </cell>
        </row>
        <row r="39">
          <cell r="A39">
            <v>1000002057</v>
          </cell>
          <cell r="B39" t="str">
            <v>PAUL ENTERPRISE</v>
          </cell>
          <cell r="C39">
            <v>152800</v>
          </cell>
        </row>
        <row r="40">
          <cell r="A40">
            <v>1000002796</v>
          </cell>
          <cell r="B40" t="str">
            <v>Power Tech India</v>
          </cell>
          <cell r="C40">
            <v>70000</v>
          </cell>
        </row>
        <row r="41">
          <cell r="A41">
            <v>3000000516</v>
          </cell>
          <cell r="B41" t="str">
            <v>PRAGYA ENTERPRISE</v>
          </cell>
          <cell r="C41">
            <v>468900</v>
          </cell>
        </row>
        <row r="42">
          <cell r="A42">
            <v>3000000599</v>
          </cell>
          <cell r="B42" t="str">
            <v>PSP Road Carriers</v>
          </cell>
          <cell r="C42">
            <v>21000</v>
          </cell>
        </row>
        <row r="43">
          <cell r="A43">
            <v>1000001741</v>
          </cell>
          <cell r="B43" t="str">
            <v>R.R ENTERPRISES</v>
          </cell>
          <cell r="C43">
            <v>550400.01</v>
          </cell>
        </row>
        <row r="44">
          <cell r="A44">
            <v>3000000481</v>
          </cell>
          <cell r="B44" t="str">
            <v>RAMJEE PRASAD GUPTA</v>
          </cell>
          <cell r="C44">
            <v>277500</v>
          </cell>
        </row>
        <row r="45">
          <cell r="A45">
            <v>3000000299</v>
          </cell>
          <cell r="B45" t="str">
            <v>RELIABLE ENTERPRISE</v>
          </cell>
          <cell r="C45">
            <v>2377369.9800000004</v>
          </cell>
        </row>
        <row r="46">
          <cell r="A46">
            <v>1000000533</v>
          </cell>
          <cell r="B46" t="str">
            <v>RELIABLE SUPPLIERS</v>
          </cell>
          <cell r="C46">
            <v>184300</v>
          </cell>
        </row>
        <row r="47">
          <cell r="A47">
            <v>3000000531</v>
          </cell>
          <cell r="B47" t="str">
            <v>ROLTA</v>
          </cell>
          <cell r="C47">
            <v>60000</v>
          </cell>
        </row>
        <row r="48">
          <cell r="A48">
            <v>3000000629</v>
          </cell>
          <cell r="B48" t="str">
            <v>RUDRAKSHA BUSINESS SOLUTION</v>
          </cell>
          <cell r="C48">
            <v>400000</v>
          </cell>
        </row>
        <row r="49">
          <cell r="A49">
            <v>1000002646</v>
          </cell>
          <cell r="B49" t="str">
            <v>RUDRAKSHA BUSINESS SOLUTION</v>
          </cell>
          <cell r="C49">
            <v>296700</v>
          </cell>
        </row>
        <row r="50">
          <cell r="A50">
            <v>1000001849</v>
          </cell>
          <cell r="B50" t="str">
            <v>RUHR ISPAT PVT LTD</v>
          </cell>
          <cell r="C50">
            <v>93789</v>
          </cell>
        </row>
        <row r="51">
          <cell r="A51">
            <v>1000000562</v>
          </cell>
          <cell r="B51" t="str">
            <v>S.M.ELECTRIC TRADING CO.PVT.LTD.</v>
          </cell>
          <cell r="C51">
            <v>726857.32000000007</v>
          </cell>
        </row>
        <row r="52">
          <cell r="A52">
            <v>1000000570</v>
          </cell>
          <cell r="B52" t="str">
            <v>SAHAL TRADING CORPORATION</v>
          </cell>
          <cell r="C52">
            <v>19180</v>
          </cell>
        </row>
        <row r="53">
          <cell r="A53">
            <v>3000000682</v>
          </cell>
          <cell r="B53" t="str">
            <v>Sangam Road Carriers (Pune)</v>
          </cell>
          <cell r="C53">
            <v>104000</v>
          </cell>
        </row>
        <row r="54">
          <cell r="A54">
            <v>1000000585</v>
          </cell>
          <cell r="B54" t="str">
            <v>SATABDI MONOLITHICS INDUSTRIES PVT.</v>
          </cell>
          <cell r="C54">
            <v>90000</v>
          </cell>
        </row>
        <row r="55">
          <cell r="A55">
            <v>3000000332</v>
          </cell>
          <cell r="B55" t="str">
            <v>SATYAM INFRA PROJECT</v>
          </cell>
          <cell r="C55">
            <v>1373725.7600000002</v>
          </cell>
        </row>
        <row r="56">
          <cell r="A56">
            <v>3000000428</v>
          </cell>
          <cell r="B56" t="str">
            <v>SCOT Enterprise</v>
          </cell>
          <cell r="C56">
            <v>540124</v>
          </cell>
        </row>
        <row r="57">
          <cell r="A57">
            <v>1000000598</v>
          </cell>
          <cell r="B57" t="str">
            <v>SHAKTIPADA GHOSH [CREDITOR NEW FURN</v>
          </cell>
          <cell r="C57">
            <v>215736</v>
          </cell>
        </row>
        <row r="58">
          <cell r="A58">
            <v>1000000599</v>
          </cell>
          <cell r="B58" t="str">
            <v>SHANTILAL ENTERPRISES (DURGAPUR) PV</v>
          </cell>
          <cell r="C58">
            <v>62100.480000000003</v>
          </cell>
        </row>
        <row r="59">
          <cell r="A59">
            <v>1000002676</v>
          </cell>
          <cell r="B59" t="str">
            <v>SHREE  PARASHNATH RE- ROLLING MILLS</v>
          </cell>
          <cell r="C59">
            <v>1079854.6700000002</v>
          </cell>
        </row>
        <row r="60">
          <cell r="A60">
            <v>1000002771</v>
          </cell>
          <cell r="B60" t="str">
            <v>SHREE EQUIPMENTS</v>
          </cell>
          <cell r="C60">
            <v>439070</v>
          </cell>
        </row>
        <row r="61">
          <cell r="A61">
            <v>1000000620</v>
          </cell>
          <cell r="B61" t="str">
            <v>SHREE KHAITAN TRADERS</v>
          </cell>
          <cell r="C61">
            <v>4520</v>
          </cell>
        </row>
        <row r="62">
          <cell r="A62">
            <v>1000001700</v>
          </cell>
          <cell r="B62" t="str">
            <v>SHREE SHANKAR ENTERPRISE</v>
          </cell>
          <cell r="C62">
            <v>105042.93</v>
          </cell>
        </row>
        <row r="63">
          <cell r="A63">
            <v>1000002004</v>
          </cell>
          <cell r="B63" t="str">
            <v>Steel Centre</v>
          </cell>
          <cell r="C63">
            <v>907753.41</v>
          </cell>
        </row>
        <row r="64">
          <cell r="A64">
            <v>1000000677</v>
          </cell>
          <cell r="B64" t="str">
            <v>STEEL CENTRE (DURGAPUR)</v>
          </cell>
          <cell r="C64">
            <v>201030.51</v>
          </cell>
        </row>
        <row r="65">
          <cell r="A65">
            <v>3000000766</v>
          </cell>
          <cell r="B65" t="str">
            <v>SUMAN  ENTERPRISE</v>
          </cell>
          <cell r="C65">
            <v>322443.21999999997</v>
          </cell>
        </row>
        <row r="66">
          <cell r="A66">
            <v>3000000548</v>
          </cell>
          <cell r="B66" t="str">
            <v>TCI FREIGHT</v>
          </cell>
          <cell r="C66">
            <v>18500</v>
          </cell>
        </row>
        <row r="67">
          <cell r="A67">
            <v>3000000940</v>
          </cell>
          <cell r="B67" t="str">
            <v>TECHNO PROJECT</v>
          </cell>
          <cell r="C67">
            <v>311318</v>
          </cell>
        </row>
        <row r="68">
          <cell r="A68">
            <v>3000000716</v>
          </cell>
          <cell r="B68" t="str">
            <v>TRUVOLT ENTGINEERING CO PVT LTD</v>
          </cell>
          <cell r="C68">
            <v>1530000</v>
          </cell>
        </row>
        <row r="69">
          <cell r="A69">
            <v>1000001492</v>
          </cell>
          <cell r="B69" t="str">
            <v>TRUVOLT ENTGINEERING CO PVT LTD</v>
          </cell>
          <cell r="C69">
            <v>1171669</v>
          </cell>
        </row>
        <row r="70">
          <cell r="A70">
            <v>3000000680</v>
          </cell>
          <cell r="B70" t="str">
            <v>WB Electricity Distribution Co.Ltd</v>
          </cell>
          <cell r="C70">
            <v>421176</v>
          </cell>
        </row>
        <row r="71">
          <cell r="C71">
            <v>21396038.489999998</v>
          </cell>
        </row>
        <row r="72">
          <cell r="C72">
            <v>21396038.439999998</v>
          </cell>
        </row>
        <row r="73">
          <cell r="C73">
            <v>-5.000000074505806E-2</v>
          </cell>
        </row>
      </sheetData>
      <sheetData sheetId="1" refreshError="1"/>
      <sheetData sheetId="2" refreshError="1"/>
      <sheetData sheetId="3" refreshError="1"/>
      <sheetData sheetId="4" refreshError="1"/>
      <sheetData sheetId="5" refreshError="1">
        <row r="210">
          <cell r="H210">
            <v>1008402.0600000011</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1"/>
  <sheetViews>
    <sheetView topLeftCell="A472" workbookViewId="0">
      <selection activeCell="A14" sqref="A14:XFD14"/>
    </sheetView>
  </sheetViews>
  <sheetFormatPr defaultColWidth="9.140625" defaultRowHeight="15"/>
  <cols>
    <col min="1" max="1" width="25.5703125" style="75" customWidth="1"/>
    <col min="2" max="2" width="12.7109375" style="75" customWidth="1"/>
    <col min="3" max="3" width="13.7109375" style="75" bestFit="1" customWidth="1"/>
    <col min="4" max="4" width="7.140625" style="75" hidden="1" customWidth="1"/>
    <col min="5" max="5" width="6" style="75" hidden="1" customWidth="1"/>
    <col min="6" max="6" width="9.85546875" style="75" hidden="1" customWidth="1"/>
    <col min="7" max="7" width="11.7109375" style="225" customWidth="1"/>
    <col min="8" max="10" width="9" style="75" hidden="1" customWidth="1"/>
    <col min="11" max="11" width="11.140625" style="75" customWidth="1"/>
    <col min="12" max="12" width="7.5703125" style="225" customWidth="1"/>
    <col min="13" max="13" width="16.42578125" style="225" bestFit="1" customWidth="1"/>
    <col min="14" max="14" width="11.28515625" style="105" customWidth="1"/>
    <col min="15" max="15" width="12.42578125" style="225" customWidth="1"/>
    <col min="16" max="16" width="15.85546875" style="225" customWidth="1"/>
    <col min="17" max="17" width="11.7109375" style="105" customWidth="1"/>
    <col min="18" max="18" width="12.85546875" style="105" customWidth="1"/>
    <col min="19" max="19" width="21.42578125" style="75" hidden="1" customWidth="1"/>
    <col min="20" max="20" width="18" style="76" hidden="1" customWidth="1"/>
    <col min="21" max="21" width="27.140625" style="75" hidden="1" customWidth="1"/>
    <col min="22" max="23" width="12.5703125" style="75" hidden="1" customWidth="1"/>
    <col min="24" max="24" width="0" style="75" hidden="1" customWidth="1"/>
    <col min="25" max="16384" width="9.140625" style="75"/>
  </cols>
  <sheetData>
    <row r="1" spans="1:25" ht="68.25" customHeight="1">
      <c r="A1" s="65" t="s">
        <v>37</v>
      </c>
      <c r="B1" s="66" t="s">
        <v>38</v>
      </c>
      <c r="C1" s="67" t="s">
        <v>39</v>
      </c>
      <c r="D1" s="67" t="s">
        <v>40</v>
      </c>
      <c r="E1" s="67" t="s">
        <v>41</v>
      </c>
      <c r="F1" s="67" t="s">
        <v>42</v>
      </c>
      <c r="G1" s="68" t="s">
        <v>43</v>
      </c>
      <c r="H1" s="69" t="s">
        <v>44</v>
      </c>
      <c r="I1" s="70" t="s">
        <v>45</v>
      </c>
      <c r="J1" s="71" t="s">
        <v>46</v>
      </c>
      <c r="K1" s="72" t="s">
        <v>47</v>
      </c>
      <c r="L1" s="73" t="s">
        <v>48</v>
      </c>
      <c r="M1" s="73" t="s">
        <v>49</v>
      </c>
      <c r="N1" s="74" t="s">
        <v>50</v>
      </c>
      <c r="O1" s="73" t="s">
        <v>51</v>
      </c>
      <c r="P1" s="73" t="s">
        <v>52</v>
      </c>
      <c r="Q1" s="74" t="s">
        <v>53</v>
      </c>
      <c r="R1" s="74" t="s">
        <v>54</v>
      </c>
      <c r="S1" s="75" t="s">
        <v>55</v>
      </c>
      <c r="T1" s="76" t="s">
        <v>56</v>
      </c>
      <c r="V1" s="75" t="s">
        <v>57</v>
      </c>
      <c r="W1" s="75" t="s">
        <v>58</v>
      </c>
    </row>
    <row r="2" spans="1:25" ht="16.5">
      <c r="A2" s="77"/>
      <c r="B2" s="78"/>
      <c r="C2" s="79"/>
      <c r="D2" s="79"/>
      <c r="E2" s="79"/>
      <c r="F2" s="79"/>
      <c r="G2" s="80"/>
      <c r="H2" s="81"/>
      <c r="I2" s="82"/>
      <c r="J2" s="83"/>
      <c r="K2" s="84">
        <v>43921</v>
      </c>
      <c r="L2" s="85"/>
      <c r="M2" s="85"/>
      <c r="N2" s="86"/>
      <c r="O2" s="85"/>
      <c r="P2" s="85"/>
      <c r="Q2" s="86"/>
      <c r="R2" s="86"/>
    </row>
    <row r="3" spans="1:25" ht="16.5">
      <c r="A3" s="87" t="s">
        <v>59</v>
      </c>
      <c r="B3" s="88"/>
      <c r="C3" s="89"/>
      <c r="D3" s="89"/>
      <c r="E3" s="89"/>
      <c r="F3" s="89"/>
      <c r="G3" s="90"/>
      <c r="H3" s="91"/>
      <c r="I3" s="92"/>
      <c r="J3" s="93"/>
      <c r="K3" s="94"/>
      <c r="L3" s="95"/>
      <c r="M3" s="95"/>
      <c r="N3" s="96"/>
      <c r="O3" s="95">
        <v>10</v>
      </c>
      <c r="P3" s="95"/>
      <c r="Q3" s="96"/>
      <c r="R3" s="96"/>
      <c r="S3" s="97"/>
      <c r="T3" s="98"/>
    </row>
    <row r="4" spans="1:25">
      <c r="A4" s="99" t="s">
        <v>60</v>
      </c>
      <c r="B4" s="94">
        <v>38677</v>
      </c>
      <c r="C4" s="100">
        <v>1517161</v>
      </c>
      <c r="D4" s="99"/>
      <c r="E4" s="99"/>
      <c r="F4" s="99"/>
      <c r="G4" s="95">
        <f t="shared" ref="G4" si="0">C4*5%</f>
        <v>75858.05</v>
      </c>
      <c r="H4" s="99"/>
      <c r="I4" s="99"/>
      <c r="J4" s="99"/>
      <c r="K4" s="99">
        <f>$K$2-B4</f>
        <v>5244</v>
      </c>
      <c r="L4" s="95">
        <f>K4/365</f>
        <v>14.367123287671232</v>
      </c>
      <c r="M4" s="101">
        <v>1463971.58</v>
      </c>
      <c r="N4" s="96">
        <f>C4-M4</f>
        <v>53189.419999999925</v>
      </c>
      <c r="O4" s="95">
        <f>$O$3-L4</f>
        <v>-4.367123287671232</v>
      </c>
      <c r="P4" s="102"/>
      <c r="Q4" s="96">
        <f t="shared" ref="Q4" si="1">P4/O4</f>
        <v>0</v>
      </c>
      <c r="R4" s="96">
        <f t="shared" ref="R4" si="2">N4-Q4</f>
        <v>53189.419999999925</v>
      </c>
      <c r="S4" s="103">
        <v>0</v>
      </c>
      <c r="T4" s="98">
        <f>+Q4+S4</f>
        <v>0</v>
      </c>
    </row>
    <row r="5" spans="1:25">
      <c r="A5" s="99" t="s">
        <v>61</v>
      </c>
      <c r="B5" s="94">
        <v>39623</v>
      </c>
      <c r="C5" s="100">
        <v>41794</v>
      </c>
      <c r="D5" s="99"/>
      <c r="E5" s="99"/>
      <c r="F5" s="99"/>
      <c r="G5" s="95">
        <f>C5*5%</f>
        <v>2089.7000000000003</v>
      </c>
      <c r="H5" s="99"/>
      <c r="I5" s="99"/>
      <c r="J5" s="99"/>
      <c r="K5" s="99">
        <f>$K$2-B5</f>
        <v>4298</v>
      </c>
      <c r="L5" s="95">
        <f>K5/365</f>
        <v>11.775342465753425</v>
      </c>
      <c r="M5" s="101">
        <v>39704.300000000003</v>
      </c>
      <c r="N5" s="96">
        <f>C5-M5</f>
        <v>2089.6999999999971</v>
      </c>
      <c r="O5" s="95">
        <f>$O$3-L5</f>
        <v>-1.7753424657534254</v>
      </c>
      <c r="P5" s="95">
        <f>N5-G5</f>
        <v>0</v>
      </c>
      <c r="Q5" s="96">
        <f>P5</f>
        <v>0</v>
      </c>
      <c r="R5" s="96">
        <f>N5-Q5</f>
        <v>2089.6999999999971</v>
      </c>
      <c r="S5" s="103">
        <v>0</v>
      </c>
      <c r="T5" s="104">
        <f t="shared" ref="T5:T11" si="3">-(Q5+S5)</f>
        <v>0</v>
      </c>
    </row>
    <row r="6" spans="1:25">
      <c r="A6" s="99" t="s">
        <v>62</v>
      </c>
      <c r="B6" s="94">
        <v>39747</v>
      </c>
      <c r="C6" s="100">
        <v>649424</v>
      </c>
      <c r="D6" s="99"/>
      <c r="E6" s="99"/>
      <c r="F6" s="99"/>
      <c r="G6" s="95">
        <f>C6*5%</f>
        <v>32471.200000000001</v>
      </c>
      <c r="H6" s="99"/>
      <c r="I6" s="99"/>
      <c r="J6" s="99"/>
      <c r="K6" s="99">
        <f>$K$2-B6</f>
        <v>4174</v>
      </c>
      <c r="L6" s="95">
        <f t="shared" ref="L6" si="4">K6/365</f>
        <v>11.435616438356165</v>
      </c>
      <c r="M6" s="101">
        <v>616952.80000000005</v>
      </c>
      <c r="N6" s="96">
        <f>C6-M6</f>
        <v>32471.199999999953</v>
      </c>
      <c r="O6" s="95">
        <f>$O$3-L6</f>
        <v>-1.4356164383561651</v>
      </c>
      <c r="P6" s="95">
        <f>N6-G6</f>
        <v>-4.7293724492192268E-11</v>
      </c>
      <c r="Q6" s="96">
        <f>P6</f>
        <v>-4.7293724492192268E-11</v>
      </c>
      <c r="R6" s="96">
        <f>N6-Q6</f>
        <v>32471.200000000001</v>
      </c>
      <c r="S6" s="103">
        <v>0</v>
      </c>
      <c r="T6" s="104">
        <f t="shared" si="3"/>
        <v>4.7293724492192268E-11</v>
      </c>
    </row>
    <row r="7" spans="1:25">
      <c r="A7" s="99" t="s">
        <v>63</v>
      </c>
      <c r="B7" s="94">
        <v>39759</v>
      </c>
      <c r="C7" s="100">
        <v>475000</v>
      </c>
      <c r="D7" s="99"/>
      <c r="E7" s="99"/>
      <c r="F7" s="99"/>
      <c r="G7" s="95">
        <f>C7*5%</f>
        <v>23750</v>
      </c>
      <c r="H7" s="99"/>
      <c r="I7" s="99"/>
      <c r="J7" s="99"/>
      <c r="K7" s="99">
        <f>$K$2-B7</f>
        <v>4162</v>
      </c>
      <c r="L7" s="95">
        <f>K7/365</f>
        <v>11.402739726027397</v>
      </c>
      <c r="M7" s="101">
        <v>451250</v>
      </c>
      <c r="N7" s="96">
        <f>C7-M7</f>
        <v>23750</v>
      </c>
      <c r="O7" s="95">
        <f>$O$3-L7</f>
        <v>-1.4027397260273968</v>
      </c>
      <c r="P7" s="95">
        <f>N7-G7</f>
        <v>0</v>
      </c>
      <c r="Q7" s="96">
        <f>P7</f>
        <v>0</v>
      </c>
      <c r="R7" s="96">
        <f>N7-Q7</f>
        <v>23750</v>
      </c>
      <c r="S7" s="103">
        <v>0</v>
      </c>
      <c r="T7" s="104">
        <f t="shared" si="3"/>
        <v>0</v>
      </c>
    </row>
    <row r="8" spans="1:25">
      <c r="A8" s="99" t="s">
        <v>64</v>
      </c>
      <c r="B8" s="94">
        <v>41621</v>
      </c>
      <c r="C8" s="100">
        <v>2360112</v>
      </c>
      <c r="D8" s="99"/>
      <c r="E8" s="99"/>
      <c r="F8" s="99"/>
      <c r="G8" s="95">
        <f>C8*5%</f>
        <v>118005.6</v>
      </c>
      <c r="H8" s="99"/>
      <c r="I8" s="99"/>
      <c r="J8" s="99"/>
      <c r="K8" s="99">
        <f>$K$2-B8</f>
        <v>2300</v>
      </c>
      <c r="L8" s="95">
        <f>K8/365</f>
        <v>6.3013698630136989</v>
      </c>
      <c r="M8" s="101">
        <v>1411844.9</v>
      </c>
      <c r="N8" s="96">
        <f>C8-M8</f>
        <v>948267.10000000009</v>
      </c>
      <c r="O8" s="95">
        <f>$O$3-L8</f>
        <v>3.6986301369863011</v>
      </c>
      <c r="P8" s="95">
        <f>N8-G8</f>
        <v>830261.50000000012</v>
      </c>
      <c r="Q8" s="96">
        <f>P8/O8</f>
        <v>224478.1092592593</v>
      </c>
      <c r="R8" s="96">
        <f>N8-Q8</f>
        <v>723788.99074074079</v>
      </c>
      <c r="S8" s="103">
        <v>-224210.64</v>
      </c>
      <c r="T8" s="104">
        <f t="shared" si="3"/>
        <v>-267.46925925929099</v>
      </c>
      <c r="V8" s="75">
        <f>+(C8-G8-M8)/O8</f>
        <v>224478.10925925928</v>
      </c>
      <c r="W8" s="75">
        <f>+(C8-G8)/O$3</f>
        <v>224210.63999999998</v>
      </c>
      <c r="X8" s="105">
        <f>+Q8-V8</f>
        <v>0</v>
      </c>
      <c r="Y8" s="105">
        <f>+W8+S8</f>
        <v>0</v>
      </c>
    </row>
    <row r="9" spans="1:25">
      <c r="A9" s="106" t="s">
        <v>65</v>
      </c>
      <c r="B9" s="107">
        <v>43556</v>
      </c>
      <c r="C9" s="108">
        <v>65500</v>
      </c>
      <c r="D9" s="99"/>
      <c r="E9" s="99"/>
      <c r="F9" s="99"/>
      <c r="G9" s="95">
        <f t="shared" ref="G9:G11" si="5">C9*5%</f>
        <v>3275</v>
      </c>
      <c r="H9" s="99"/>
      <c r="I9" s="99"/>
      <c r="J9" s="99"/>
      <c r="K9" s="99">
        <f>$K$2-B9+1</f>
        <v>366</v>
      </c>
      <c r="L9" s="95">
        <f t="shared" ref="L9:L11" si="6">K9/365</f>
        <v>1.0027397260273974</v>
      </c>
      <c r="M9" s="101">
        <v>6222.5</v>
      </c>
      <c r="N9" s="96">
        <f t="shared" ref="N9:N11" si="7">C9-M9</f>
        <v>59277.5</v>
      </c>
      <c r="O9" s="95">
        <f t="shared" ref="O9:O11" si="8">$O$3-L9</f>
        <v>8.9972602739726035</v>
      </c>
      <c r="P9" s="95">
        <f>N9-G9</f>
        <v>56002.5</v>
      </c>
      <c r="Q9" s="96">
        <f>P9/O9</f>
        <v>6224.3947929354445</v>
      </c>
      <c r="R9" s="96">
        <f t="shared" ref="R9:R11" si="9">N9-Q9</f>
        <v>53053.105207064553</v>
      </c>
      <c r="S9" s="103">
        <v>-6222.5</v>
      </c>
      <c r="T9" s="104">
        <f t="shared" si="3"/>
        <v>-1.8947929354444568</v>
      </c>
      <c r="V9" s="75">
        <f t="shared" ref="V9:V11" si="10">+(C9-G9-M9)/O9</f>
        <v>6224.3947929354445</v>
      </c>
      <c r="W9" s="75">
        <f t="shared" ref="W9:W11" si="11">+(C9-G9)/O$3</f>
        <v>6222.5</v>
      </c>
      <c r="X9" s="105">
        <f t="shared" ref="X9:X11" si="12">+Q9-V9</f>
        <v>0</v>
      </c>
      <c r="Y9" s="105">
        <f t="shared" ref="Y9:Y11" si="13">+W9+S9</f>
        <v>0</v>
      </c>
    </row>
    <row r="10" spans="1:25">
      <c r="A10" s="106" t="s">
        <v>66</v>
      </c>
      <c r="B10" s="107">
        <v>43718</v>
      </c>
      <c r="C10" s="108">
        <v>1804063</v>
      </c>
      <c r="D10" s="99"/>
      <c r="E10" s="99"/>
      <c r="F10" s="99"/>
      <c r="G10" s="95">
        <f t="shared" si="5"/>
        <v>90203.150000000009</v>
      </c>
      <c r="H10" s="99"/>
      <c r="I10" s="99"/>
      <c r="J10" s="99"/>
      <c r="K10" s="99">
        <f>$K$2-B10+1</f>
        <v>204</v>
      </c>
      <c r="L10" s="95">
        <f t="shared" si="6"/>
        <v>0.55890410958904113</v>
      </c>
      <c r="M10" s="101">
        <v>95526.61</v>
      </c>
      <c r="N10" s="96">
        <f t="shared" si="7"/>
        <v>1708536.39</v>
      </c>
      <c r="O10" s="95">
        <f t="shared" si="8"/>
        <v>9.4410958904109581</v>
      </c>
      <c r="P10" s="95">
        <f t="shared" ref="P10:P11" si="14">N10-G10</f>
        <v>1618333.24</v>
      </c>
      <c r="Q10" s="96">
        <f>P10/O10</f>
        <v>171413.70650029019</v>
      </c>
      <c r="R10" s="96">
        <f t="shared" si="9"/>
        <v>1537122.6834997097</v>
      </c>
      <c r="S10" s="103">
        <v>-171385.99</v>
      </c>
      <c r="T10" s="104">
        <f t="shared" si="3"/>
        <v>-27.71650029020384</v>
      </c>
      <c r="V10" s="75">
        <f t="shared" si="10"/>
        <v>171413.70650029019</v>
      </c>
      <c r="W10" s="75">
        <f t="shared" si="11"/>
        <v>171385.98500000002</v>
      </c>
      <c r="X10" s="105">
        <f t="shared" si="12"/>
        <v>0</v>
      </c>
      <c r="Y10" s="105">
        <f t="shared" si="13"/>
        <v>-4.9999999755527824E-3</v>
      </c>
    </row>
    <row r="11" spans="1:25">
      <c r="A11" s="106" t="s">
        <v>67</v>
      </c>
      <c r="B11" s="107">
        <v>43799</v>
      </c>
      <c r="C11" s="108">
        <v>41945.31</v>
      </c>
      <c r="D11" s="99"/>
      <c r="E11" s="99"/>
      <c r="F11" s="99"/>
      <c r="G11" s="95">
        <f t="shared" si="5"/>
        <v>2097.2655</v>
      </c>
      <c r="H11" s="99"/>
      <c r="I11" s="99"/>
      <c r="J11" s="99"/>
      <c r="K11" s="99">
        <f>$K$2-B11+1</f>
        <v>123</v>
      </c>
      <c r="L11" s="95">
        <f t="shared" si="6"/>
        <v>0.33698630136986302</v>
      </c>
      <c r="M11" s="101">
        <v>1339.16</v>
      </c>
      <c r="N11" s="96">
        <f t="shared" si="7"/>
        <v>40606.149999999994</v>
      </c>
      <c r="O11" s="95">
        <f t="shared" si="8"/>
        <v>9.6630136986301363</v>
      </c>
      <c r="P11" s="95">
        <f t="shared" si="14"/>
        <v>38508.884499999993</v>
      </c>
      <c r="Q11" s="96">
        <f>P11/O11</f>
        <v>3985.1836808902744</v>
      </c>
      <c r="R11" s="96">
        <f t="shared" si="9"/>
        <v>36620.966319109721</v>
      </c>
      <c r="S11" s="103">
        <v>-3984.8</v>
      </c>
      <c r="T11" s="104">
        <f t="shared" si="3"/>
        <v>-0.38368089027426322</v>
      </c>
      <c r="V11" s="75">
        <f t="shared" si="10"/>
        <v>3985.1836808902744</v>
      </c>
      <c r="W11" s="75">
        <f t="shared" si="11"/>
        <v>3984.8044499999996</v>
      </c>
      <c r="X11" s="105">
        <f t="shared" si="12"/>
        <v>0</v>
      </c>
      <c r="Y11" s="105">
        <f t="shared" si="13"/>
        <v>4.4499999994513928E-3</v>
      </c>
    </row>
    <row r="12" spans="1:25" ht="16.5">
      <c r="A12" s="87" t="s">
        <v>68</v>
      </c>
      <c r="B12" s="99"/>
      <c r="C12" s="109">
        <f>SUM(C4:C11)</f>
        <v>6954999.3099999996</v>
      </c>
      <c r="D12" s="99"/>
      <c r="E12" s="99"/>
      <c r="F12" s="99"/>
      <c r="G12" s="95"/>
      <c r="H12" s="99"/>
      <c r="I12" s="99"/>
      <c r="J12" s="99"/>
      <c r="K12" s="99"/>
      <c r="L12" s="95"/>
      <c r="M12" s="110">
        <f>SUM(M4:M11)</f>
        <v>4086811.85</v>
      </c>
      <c r="N12" s="111">
        <f>SUM(N4:N11)</f>
        <v>2868187.4599999995</v>
      </c>
      <c r="O12" s="95"/>
      <c r="P12" s="95"/>
      <c r="Q12" s="111">
        <f>SUM(Q4:Q11)</f>
        <v>406101.39423337515</v>
      </c>
      <c r="R12" s="111">
        <f>SUM(R4:R11)</f>
        <v>2462086.0657666246</v>
      </c>
      <c r="S12" s="112"/>
      <c r="T12" s="112"/>
      <c r="U12" s="113">
        <f>-SUM(S4:S11)</f>
        <v>405803.93</v>
      </c>
    </row>
    <row r="13" spans="1:25" ht="16.5">
      <c r="A13" s="114"/>
      <c r="B13" s="115"/>
      <c r="C13" s="116"/>
      <c r="D13" s="115"/>
      <c r="E13" s="115"/>
      <c r="F13" s="115"/>
      <c r="G13" s="85"/>
      <c r="H13" s="115"/>
      <c r="I13" s="115"/>
      <c r="J13" s="115"/>
      <c r="K13" s="115"/>
      <c r="L13" s="85"/>
      <c r="M13" s="85"/>
      <c r="N13" s="86"/>
      <c r="O13" s="85"/>
      <c r="P13" s="85"/>
      <c r="Q13" s="117"/>
      <c r="R13" s="117"/>
      <c r="S13" s="104"/>
      <c r="T13" s="104"/>
    </row>
    <row r="14" spans="1:25" ht="16.5">
      <c r="A14" s="114" t="s">
        <v>15</v>
      </c>
      <c r="B14" s="115"/>
      <c r="C14" s="115"/>
      <c r="D14" s="115"/>
      <c r="E14" s="115"/>
      <c r="F14" s="115"/>
      <c r="G14" s="85"/>
      <c r="H14" s="115"/>
      <c r="I14" s="115"/>
      <c r="J14" s="115"/>
      <c r="K14" s="115"/>
      <c r="L14" s="85"/>
      <c r="M14" s="85"/>
      <c r="N14" s="86"/>
      <c r="O14" s="118">
        <v>20</v>
      </c>
      <c r="P14" s="85"/>
      <c r="Q14" s="86"/>
      <c r="R14" s="86"/>
      <c r="S14" s="104"/>
      <c r="T14" s="104"/>
    </row>
    <row r="15" spans="1:25">
      <c r="A15" s="99" t="s">
        <v>69</v>
      </c>
      <c r="B15" s="94">
        <v>38483</v>
      </c>
      <c r="C15" s="100">
        <v>17014</v>
      </c>
      <c r="D15" s="99"/>
      <c r="E15" s="99"/>
      <c r="F15" s="99"/>
      <c r="G15" s="95">
        <f t="shared" ref="G15:G78" si="15">C15*5%</f>
        <v>850.7</v>
      </c>
      <c r="H15" s="99"/>
      <c r="I15" s="99"/>
      <c r="J15" s="99"/>
      <c r="K15" s="99">
        <f t="shared" ref="K15:K78" si="16">$K$2-B15</f>
        <v>5438</v>
      </c>
      <c r="L15" s="95">
        <f t="shared" ref="L15:L78" si="17">K15/365</f>
        <v>14.898630136986302</v>
      </c>
      <c r="M15" s="101">
        <v>12036.86</v>
      </c>
      <c r="N15" s="96">
        <f t="shared" ref="N15:N78" si="18">C15-M15</f>
        <v>4977.1399999999994</v>
      </c>
      <c r="O15" s="119">
        <f t="shared" ref="O15:O78" si="19">$O$14-L15</f>
        <v>5.1013698630136979</v>
      </c>
      <c r="P15" s="95">
        <f t="shared" ref="P15:P78" si="20">N15-G15</f>
        <v>4126.4399999999996</v>
      </c>
      <c r="Q15" s="96">
        <f>+(C15-G15)/$O$14</f>
        <v>808.16499999999996</v>
      </c>
      <c r="R15" s="96">
        <f t="shared" ref="R15:R78" si="21">N15-Q15</f>
        <v>4168.9749999999995</v>
      </c>
      <c r="S15" s="101">
        <v>-808.17</v>
      </c>
      <c r="T15" s="104">
        <f t="shared" ref="T15:T78" si="22">-(Q15+S15)</f>
        <v>4.9999999999954525E-3</v>
      </c>
      <c r="V15" s="75">
        <v>0</v>
      </c>
      <c r="W15" s="75">
        <v>0</v>
      </c>
      <c r="X15" s="105">
        <f>+Q15-V15</f>
        <v>808.16499999999996</v>
      </c>
      <c r="Y15" s="105">
        <f>+W15+S15</f>
        <v>-808.17</v>
      </c>
    </row>
    <row r="16" spans="1:25">
      <c r="A16" s="99" t="s">
        <v>70</v>
      </c>
      <c r="B16" s="94">
        <v>39539</v>
      </c>
      <c r="C16" s="100">
        <v>254988</v>
      </c>
      <c r="D16" s="99"/>
      <c r="E16" s="99"/>
      <c r="F16" s="99"/>
      <c r="G16" s="95">
        <f t="shared" si="15"/>
        <v>12749.400000000001</v>
      </c>
      <c r="H16" s="99"/>
      <c r="I16" s="99"/>
      <c r="J16" s="99"/>
      <c r="K16" s="99">
        <f t="shared" si="16"/>
        <v>4382</v>
      </c>
      <c r="L16" s="95">
        <f t="shared" si="17"/>
        <v>12.005479452054795</v>
      </c>
      <c r="M16" s="101">
        <v>145351.46</v>
      </c>
      <c r="N16" s="96">
        <f t="shared" si="18"/>
        <v>109636.54000000001</v>
      </c>
      <c r="O16" s="119">
        <f t="shared" si="19"/>
        <v>7.9945205479452053</v>
      </c>
      <c r="P16" s="95">
        <f t="shared" si="20"/>
        <v>96887.140000000014</v>
      </c>
      <c r="Q16" s="96">
        <f>+(C16-G16)/$O$14</f>
        <v>12111.93</v>
      </c>
      <c r="R16" s="96">
        <f t="shared" si="21"/>
        <v>97524.610000000015</v>
      </c>
      <c r="S16" s="101">
        <v>-12111.93</v>
      </c>
      <c r="T16" s="104">
        <f t="shared" si="22"/>
        <v>0</v>
      </c>
    </row>
    <row r="17" spans="1:25">
      <c r="A17" s="99" t="s">
        <v>71</v>
      </c>
      <c r="B17" s="94">
        <v>39539</v>
      </c>
      <c r="C17" s="100">
        <v>25000</v>
      </c>
      <c r="D17" s="99"/>
      <c r="E17" s="99"/>
      <c r="F17" s="99"/>
      <c r="G17" s="95">
        <f t="shared" si="15"/>
        <v>1250</v>
      </c>
      <c r="H17" s="99"/>
      <c r="I17" s="99"/>
      <c r="J17" s="99"/>
      <c r="K17" s="99">
        <f t="shared" si="16"/>
        <v>4382</v>
      </c>
      <c r="L17" s="95">
        <f t="shared" si="17"/>
        <v>12.005479452054795</v>
      </c>
      <c r="M17" s="101">
        <v>14250.81</v>
      </c>
      <c r="N17" s="96">
        <f t="shared" si="18"/>
        <v>10749.19</v>
      </c>
      <c r="O17" s="119">
        <f t="shared" si="19"/>
        <v>7.9945205479452053</v>
      </c>
      <c r="P17" s="95">
        <f t="shared" si="20"/>
        <v>9499.19</v>
      </c>
      <c r="Q17" s="96">
        <f>P17/O17</f>
        <v>1188.2125942426321</v>
      </c>
      <c r="R17" s="96">
        <f t="shared" si="21"/>
        <v>9560.9774057573686</v>
      </c>
      <c r="S17" s="101">
        <v>-1187.5</v>
      </c>
      <c r="T17" s="104">
        <f t="shared" si="22"/>
        <v>-0.71259424263212168</v>
      </c>
    </row>
    <row r="18" spans="1:25">
      <c r="A18" s="99" t="s">
        <v>72</v>
      </c>
      <c r="B18" s="94">
        <v>39539</v>
      </c>
      <c r="C18" s="100">
        <v>12611084</v>
      </c>
      <c r="D18" s="99"/>
      <c r="E18" s="99"/>
      <c r="F18" s="99"/>
      <c r="G18" s="95">
        <f t="shared" si="15"/>
        <v>630554.20000000007</v>
      </c>
      <c r="H18" s="99"/>
      <c r="I18" s="99"/>
      <c r="J18" s="99"/>
      <c r="K18" s="99">
        <f t="shared" si="16"/>
        <v>4382</v>
      </c>
      <c r="L18" s="95">
        <f t="shared" si="17"/>
        <v>12.005479452054795</v>
      </c>
      <c r="M18" s="101">
        <v>7270114.21</v>
      </c>
      <c r="N18" s="96">
        <f t="shared" si="18"/>
        <v>5340969.79</v>
      </c>
      <c r="O18" s="119">
        <f t="shared" si="19"/>
        <v>7.9945205479452053</v>
      </c>
      <c r="P18" s="95">
        <f t="shared" si="20"/>
        <v>4710415.59</v>
      </c>
      <c r="Q18" s="96">
        <f>P18/O18</f>
        <v>589205.51417066483</v>
      </c>
      <c r="R18" s="96">
        <f t="shared" si="21"/>
        <v>4751764.2758293357</v>
      </c>
      <c r="S18" s="101">
        <v>-599026.49</v>
      </c>
      <c r="T18" s="120">
        <f t="shared" si="22"/>
        <v>9820.9758293351624</v>
      </c>
      <c r="X18" s="105"/>
      <c r="Y18" s="105"/>
    </row>
    <row r="19" spans="1:25">
      <c r="A19" s="99" t="s">
        <v>73</v>
      </c>
      <c r="B19" s="94">
        <v>39539</v>
      </c>
      <c r="C19" s="100">
        <v>724870</v>
      </c>
      <c r="D19" s="99"/>
      <c r="E19" s="99"/>
      <c r="F19" s="99"/>
      <c r="G19" s="95">
        <f t="shared" si="15"/>
        <v>36243.5</v>
      </c>
      <c r="H19" s="99"/>
      <c r="I19" s="99"/>
      <c r="J19" s="99"/>
      <c r="K19" s="99">
        <f t="shared" si="16"/>
        <v>4382</v>
      </c>
      <c r="L19" s="95">
        <f t="shared" si="17"/>
        <v>12.005479452054795</v>
      </c>
      <c r="M19" s="101">
        <v>413199.49</v>
      </c>
      <c r="N19" s="96">
        <f t="shared" si="18"/>
        <v>311670.51</v>
      </c>
      <c r="O19" s="119">
        <f t="shared" si="19"/>
        <v>7.9945205479452053</v>
      </c>
      <c r="P19" s="95">
        <f t="shared" si="20"/>
        <v>275427.01</v>
      </c>
      <c r="Q19" s="96">
        <f>+(C19-G19)/$O$14</f>
        <v>34431.324999999997</v>
      </c>
      <c r="R19" s="96">
        <f t="shared" si="21"/>
        <v>277239.185</v>
      </c>
      <c r="S19" s="101">
        <v>-34431.33</v>
      </c>
      <c r="T19" s="104">
        <f t="shared" si="22"/>
        <v>5.0000000046566129E-3</v>
      </c>
    </row>
    <row r="20" spans="1:25">
      <c r="A20" s="99" t="s">
        <v>74</v>
      </c>
      <c r="B20" s="94">
        <v>39539</v>
      </c>
      <c r="C20" s="100">
        <v>1505200</v>
      </c>
      <c r="D20" s="99"/>
      <c r="E20" s="99"/>
      <c r="F20" s="99"/>
      <c r="G20" s="95">
        <f t="shared" si="15"/>
        <v>75260</v>
      </c>
      <c r="H20" s="99"/>
      <c r="I20" s="99"/>
      <c r="J20" s="99"/>
      <c r="K20" s="99">
        <f t="shared" si="16"/>
        <v>4382</v>
      </c>
      <c r="L20" s="95">
        <f t="shared" si="17"/>
        <v>12.005479452054795</v>
      </c>
      <c r="M20" s="101">
        <v>858012.98</v>
      </c>
      <c r="N20" s="96">
        <f t="shared" si="18"/>
        <v>647187.02</v>
      </c>
      <c r="O20" s="119">
        <f t="shared" si="19"/>
        <v>7.9945205479452053</v>
      </c>
      <c r="P20" s="95">
        <f t="shared" si="20"/>
        <v>571927.02</v>
      </c>
      <c r="Q20" s="96">
        <f>+(C20-G20)/$O$14</f>
        <v>71497</v>
      </c>
      <c r="R20" s="96">
        <f t="shared" si="21"/>
        <v>575690.02</v>
      </c>
      <c r="S20" s="101">
        <v>-71497</v>
      </c>
      <c r="T20" s="104">
        <f t="shared" si="22"/>
        <v>0</v>
      </c>
    </row>
    <row r="21" spans="1:25">
      <c r="A21" s="99" t="s">
        <v>75</v>
      </c>
      <c r="B21" s="94">
        <v>39539</v>
      </c>
      <c r="C21" s="100">
        <v>10624508</v>
      </c>
      <c r="D21" s="99"/>
      <c r="E21" s="99"/>
      <c r="F21" s="99"/>
      <c r="G21" s="95">
        <f t="shared" si="15"/>
        <v>531225.4</v>
      </c>
      <c r="H21" s="99"/>
      <c r="I21" s="99"/>
      <c r="J21" s="99"/>
      <c r="K21" s="99">
        <f t="shared" si="16"/>
        <v>4382</v>
      </c>
      <c r="L21" s="95">
        <f t="shared" si="17"/>
        <v>12.005479452054795</v>
      </c>
      <c r="M21" s="101">
        <v>6056315.2999999998</v>
      </c>
      <c r="N21" s="96">
        <f t="shared" si="18"/>
        <v>4568192.7</v>
      </c>
      <c r="O21" s="119">
        <f t="shared" si="19"/>
        <v>7.9945205479452053</v>
      </c>
      <c r="P21" s="95">
        <f t="shared" si="20"/>
        <v>4036967.3000000003</v>
      </c>
      <c r="Q21" s="96">
        <f t="shared" ref="Q21:Q41" si="23">P21/O21</f>
        <v>504966.78015764226</v>
      </c>
      <c r="R21" s="96">
        <f t="shared" si="21"/>
        <v>4063225.9198423577</v>
      </c>
      <c r="S21" s="101">
        <v>-504664.13</v>
      </c>
      <c r="T21" s="120">
        <f t="shared" si="22"/>
        <v>-302.65015764225973</v>
      </c>
    </row>
    <row r="22" spans="1:25">
      <c r="A22" s="99" t="s">
        <v>76</v>
      </c>
      <c r="B22" s="94">
        <v>39539</v>
      </c>
      <c r="C22" s="100">
        <v>10789</v>
      </c>
      <c r="D22" s="99"/>
      <c r="E22" s="99"/>
      <c r="F22" s="99"/>
      <c r="G22" s="95">
        <f t="shared" si="15"/>
        <v>539.45000000000005</v>
      </c>
      <c r="H22" s="99"/>
      <c r="I22" s="99"/>
      <c r="J22" s="99"/>
      <c r="K22" s="99">
        <f t="shared" si="16"/>
        <v>4382</v>
      </c>
      <c r="L22" s="95">
        <f t="shared" si="17"/>
        <v>12.005479452054795</v>
      </c>
      <c r="M22" s="101">
        <v>6150.08</v>
      </c>
      <c r="N22" s="96">
        <f t="shared" si="18"/>
        <v>4638.92</v>
      </c>
      <c r="O22" s="119">
        <f t="shared" si="19"/>
        <v>7.9945205479452053</v>
      </c>
      <c r="P22" s="95">
        <f t="shared" si="20"/>
        <v>4099.47</v>
      </c>
      <c r="Q22" s="96">
        <f t="shared" si="23"/>
        <v>512.78497258396169</v>
      </c>
      <c r="R22" s="96">
        <f t="shared" si="21"/>
        <v>4126.1350274160386</v>
      </c>
      <c r="S22" s="101">
        <v>-512.48</v>
      </c>
      <c r="T22" s="104">
        <f t="shared" si="22"/>
        <v>-0.30497258396167126</v>
      </c>
    </row>
    <row r="23" spans="1:25">
      <c r="A23" s="99" t="s">
        <v>77</v>
      </c>
      <c r="B23" s="94">
        <v>39539</v>
      </c>
      <c r="C23" s="100">
        <v>13027510</v>
      </c>
      <c r="D23" s="99"/>
      <c r="E23" s="99"/>
      <c r="F23" s="99"/>
      <c r="G23" s="95">
        <f t="shared" si="15"/>
        <v>651375.5</v>
      </c>
      <c r="H23" s="99"/>
      <c r="I23" s="99"/>
      <c r="J23" s="99"/>
      <c r="K23" s="99">
        <f t="shared" si="16"/>
        <v>4382</v>
      </c>
      <c r="L23" s="95">
        <f t="shared" si="17"/>
        <v>12.005479452054795</v>
      </c>
      <c r="M23" s="101">
        <v>7426104.6399999997</v>
      </c>
      <c r="N23" s="96">
        <f t="shared" si="18"/>
        <v>5601405.3600000003</v>
      </c>
      <c r="O23" s="119">
        <f t="shared" si="19"/>
        <v>7.9945205479452053</v>
      </c>
      <c r="P23" s="95">
        <f t="shared" si="20"/>
        <v>4950029.8600000003</v>
      </c>
      <c r="Q23" s="96">
        <f t="shared" si="23"/>
        <v>619177.82690198778</v>
      </c>
      <c r="R23" s="96">
        <f t="shared" si="21"/>
        <v>4982227.5330980122</v>
      </c>
      <c r="S23" s="101">
        <v>-618806.73</v>
      </c>
      <c r="T23" s="120">
        <f t="shared" si="22"/>
        <v>-371.09690198779572</v>
      </c>
      <c r="U23" s="115"/>
    </row>
    <row r="24" spans="1:25">
      <c r="A24" s="99" t="s">
        <v>78</v>
      </c>
      <c r="B24" s="94">
        <v>39539</v>
      </c>
      <c r="C24" s="100">
        <v>756090</v>
      </c>
      <c r="D24" s="99"/>
      <c r="E24" s="99"/>
      <c r="F24" s="99"/>
      <c r="G24" s="95">
        <f t="shared" si="15"/>
        <v>37804.5</v>
      </c>
      <c r="H24" s="99"/>
      <c r="I24" s="99"/>
      <c r="J24" s="99">
        <f>J39+J37+J20</f>
        <v>0</v>
      </c>
      <c r="K24" s="99">
        <f t="shared" si="16"/>
        <v>4382</v>
      </c>
      <c r="L24" s="95">
        <f t="shared" si="17"/>
        <v>12.005479452054795</v>
      </c>
      <c r="M24" s="101">
        <v>430995.91</v>
      </c>
      <c r="N24" s="96">
        <f t="shared" si="18"/>
        <v>325094.09000000003</v>
      </c>
      <c r="O24" s="119">
        <f t="shared" si="19"/>
        <v>7.9945205479452053</v>
      </c>
      <c r="P24" s="95">
        <f t="shared" si="20"/>
        <v>287289.59000000003</v>
      </c>
      <c r="Q24" s="96">
        <f t="shared" si="23"/>
        <v>35935.812320082252</v>
      </c>
      <c r="R24" s="96">
        <f t="shared" si="21"/>
        <v>289158.27767991775</v>
      </c>
      <c r="S24" s="101">
        <v>-35914.28</v>
      </c>
      <c r="T24" s="120">
        <f t="shared" si="22"/>
        <v>-21.532320082253136</v>
      </c>
    </row>
    <row r="25" spans="1:25">
      <c r="A25" s="99" t="s">
        <v>79</v>
      </c>
      <c r="B25" s="94">
        <v>39539</v>
      </c>
      <c r="C25" s="100">
        <v>175900</v>
      </c>
      <c r="D25" s="99"/>
      <c r="E25" s="99"/>
      <c r="F25" s="99"/>
      <c r="G25" s="95">
        <f t="shared" si="15"/>
        <v>8795</v>
      </c>
      <c r="H25" s="99"/>
      <c r="I25" s="99"/>
      <c r="J25" s="99"/>
      <c r="K25" s="99">
        <f t="shared" si="16"/>
        <v>4382</v>
      </c>
      <c r="L25" s="95">
        <f t="shared" si="17"/>
        <v>12.005479452054795</v>
      </c>
      <c r="M25" s="101">
        <v>100268.72</v>
      </c>
      <c r="N25" s="96">
        <f t="shared" si="18"/>
        <v>75631.28</v>
      </c>
      <c r="O25" s="119">
        <f t="shared" si="19"/>
        <v>7.9945205479452053</v>
      </c>
      <c r="P25" s="95">
        <f t="shared" si="20"/>
        <v>66836.28</v>
      </c>
      <c r="Q25" s="96">
        <f t="shared" si="23"/>
        <v>8360.2612063056895</v>
      </c>
      <c r="R25" s="96">
        <f t="shared" si="21"/>
        <v>67271.018793694311</v>
      </c>
      <c r="S25" s="101">
        <v>-8355.25</v>
      </c>
      <c r="T25" s="120">
        <f t="shared" si="22"/>
        <v>-5.011206305689484</v>
      </c>
    </row>
    <row r="26" spans="1:25">
      <c r="A26" s="99" t="s">
        <v>80</v>
      </c>
      <c r="B26" s="94">
        <v>39539</v>
      </c>
      <c r="C26" s="100">
        <v>242000</v>
      </c>
      <c r="D26" s="99"/>
      <c r="E26" s="99"/>
      <c r="F26" s="99"/>
      <c r="G26" s="95">
        <f t="shared" si="15"/>
        <v>12100</v>
      </c>
      <c r="H26" s="99"/>
      <c r="I26" s="99"/>
      <c r="J26" s="99"/>
      <c r="K26" s="99">
        <f t="shared" si="16"/>
        <v>4382</v>
      </c>
      <c r="L26" s="95">
        <f t="shared" si="17"/>
        <v>12.005479452054795</v>
      </c>
      <c r="M26" s="101">
        <v>137947.88</v>
      </c>
      <c r="N26" s="96">
        <f t="shared" si="18"/>
        <v>104052.12</v>
      </c>
      <c r="O26" s="119">
        <f t="shared" si="19"/>
        <v>7.9945205479452053</v>
      </c>
      <c r="P26" s="95">
        <f t="shared" si="20"/>
        <v>91952.12</v>
      </c>
      <c r="Q26" s="96">
        <f t="shared" si="23"/>
        <v>11501.893008910212</v>
      </c>
      <c r="R26" s="96">
        <f t="shared" si="21"/>
        <v>92550.226991089788</v>
      </c>
      <c r="S26" s="101">
        <v>-11495</v>
      </c>
      <c r="T26" s="104">
        <f t="shared" si="22"/>
        <v>-6.893008910212302</v>
      </c>
      <c r="U26" s="115"/>
    </row>
    <row r="27" spans="1:25">
      <c r="A27" s="121" t="s">
        <v>81</v>
      </c>
      <c r="B27" s="122">
        <v>39539</v>
      </c>
      <c r="C27" s="100">
        <v>251594</v>
      </c>
      <c r="D27" s="121"/>
      <c r="E27" s="121"/>
      <c r="F27" s="121"/>
      <c r="G27" s="123">
        <f t="shared" si="15"/>
        <v>12579.7</v>
      </c>
      <c r="H27" s="121"/>
      <c r="I27" s="121"/>
      <c r="J27" s="121"/>
      <c r="K27" s="121">
        <f t="shared" si="16"/>
        <v>4382</v>
      </c>
      <c r="L27" s="123">
        <f t="shared" si="17"/>
        <v>12.005479452054795</v>
      </c>
      <c r="M27" s="124">
        <v>143419.49638730302</v>
      </c>
      <c r="N27" s="125">
        <f t="shared" si="18"/>
        <v>108174.50361269698</v>
      </c>
      <c r="O27" s="126">
        <f t="shared" si="19"/>
        <v>7.9945205479452053</v>
      </c>
      <c r="P27" s="123">
        <f t="shared" si="20"/>
        <v>95594.803612696982</v>
      </c>
      <c r="Q27" s="125">
        <f t="shared" si="23"/>
        <v>11957.540547852775</v>
      </c>
      <c r="R27" s="125">
        <f t="shared" si="21"/>
        <v>96216.963064844196</v>
      </c>
      <c r="S27" s="127">
        <f>+[1]Sheet1!$I$33+Q28</f>
        <v>-11948.831984166909</v>
      </c>
      <c r="T27" s="104">
        <f t="shared" si="22"/>
        <v>-8.7085636858664657</v>
      </c>
      <c r="U27" s="115"/>
    </row>
    <row r="28" spans="1:25">
      <c r="A28" s="121" t="s">
        <v>81</v>
      </c>
      <c r="B28" s="122">
        <v>39539</v>
      </c>
      <c r="C28" s="100">
        <v>69317</v>
      </c>
      <c r="D28" s="121"/>
      <c r="E28" s="121"/>
      <c r="F28" s="121"/>
      <c r="G28" s="123">
        <f t="shared" si="15"/>
        <v>3465.8500000000004</v>
      </c>
      <c r="H28" s="121"/>
      <c r="I28" s="121"/>
      <c r="J28" s="121"/>
      <c r="K28" s="121">
        <f t="shared" si="16"/>
        <v>4382</v>
      </c>
      <c r="L28" s="123">
        <f t="shared" si="17"/>
        <v>12.005479452054795</v>
      </c>
      <c r="M28" s="124">
        <v>39513.697588490526</v>
      </c>
      <c r="N28" s="125">
        <f t="shared" si="18"/>
        <v>29803.302411509474</v>
      </c>
      <c r="O28" s="126">
        <f t="shared" si="19"/>
        <v>7.9945205479452053</v>
      </c>
      <c r="P28" s="123">
        <f t="shared" si="20"/>
        <v>26337.452411509475</v>
      </c>
      <c r="Q28" s="125">
        <f t="shared" si="23"/>
        <v>3294.438015833091</v>
      </c>
      <c r="R28" s="125">
        <f t="shared" si="21"/>
        <v>26508.864395676384</v>
      </c>
      <c r="S28" s="127">
        <f>+[1]Sheet1!$I$33-S27</f>
        <v>-3294.4380158330914</v>
      </c>
      <c r="T28" s="104">
        <f t="shared" si="22"/>
        <v>4.5474735088646412E-13</v>
      </c>
      <c r="U28" s="115"/>
    </row>
    <row r="29" spans="1:25">
      <c r="A29" s="99" t="s">
        <v>82</v>
      </c>
      <c r="B29" s="94">
        <v>39539</v>
      </c>
      <c r="C29" s="100">
        <v>1330972</v>
      </c>
      <c r="D29" s="99"/>
      <c r="E29" s="99"/>
      <c r="F29" s="99"/>
      <c r="G29" s="95">
        <f t="shared" si="15"/>
        <v>66548.600000000006</v>
      </c>
      <c r="H29" s="99"/>
      <c r="I29" s="99"/>
      <c r="J29" s="99"/>
      <c r="K29" s="99">
        <f t="shared" si="16"/>
        <v>4382</v>
      </c>
      <c r="L29" s="95">
        <f t="shared" si="17"/>
        <v>12.005479452054795</v>
      </c>
      <c r="M29" s="101">
        <v>758697.35</v>
      </c>
      <c r="N29" s="96">
        <f t="shared" si="18"/>
        <v>572274.65</v>
      </c>
      <c r="O29" s="119">
        <f t="shared" si="19"/>
        <v>7.9945205479452053</v>
      </c>
      <c r="P29" s="95">
        <f t="shared" si="20"/>
        <v>505726.05000000005</v>
      </c>
      <c r="Q29" s="96">
        <f t="shared" si="23"/>
        <v>63259.084389993157</v>
      </c>
      <c r="R29" s="96">
        <f t="shared" si="21"/>
        <v>509015.56561000686</v>
      </c>
      <c r="S29" s="101">
        <v>-63221.17</v>
      </c>
      <c r="T29" s="104">
        <f t="shared" si="22"/>
        <v>-37.914389993158693</v>
      </c>
      <c r="U29" s="115"/>
    </row>
    <row r="30" spans="1:25">
      <c r="A30" s="121" t="s">
        <v>83</v>
      </c>
      <c r="B30" s="122">
        <v>39539</v>
      </c>
      <c r="C30" s="100">
        <v>2637196</v>
      </c>
      <c r="D30" s="121"/>
      <c r="E30" s="121"/>
      <c r="F30" s="121"/>
      <c r="G30" s="123">
        <f t="shared" si="15"/>
        <v>131859.80000000002</v>
      </c>
      <c r="H30" s="121"/>
      <c r="I30" s="121"/>
      <c r="J30" s="121"/>
      <c r="K30" s="121">
        <f t="shared" si="16"/>
        <v>4382</v>
      </c>
      <c r="L30" s="123">
        <f t="shared" si="17"/>
        <v>12.005479452054795</v>
      </c>
      <c r="M30" s="124">
        <v>1503316.1450376795</v>
      </c>
      <c r="N30" s="125">
        <f t="shared" si="18"/>
        <v>1133879.8549623205</v>
      </c>
      <c r="O30" s="126">
        <f t="shared" si="19"/>
        <v>7.9945205479452053</v>
      </c>
      <c r="P30" s="123">
        <f t="shared" si="20"/>
        <v>1002020.0549623205</v>
      </c>
      <c r="Q30" s="125">
        <f t="shared" si="23"/>
        <v>125338.35505868643</v>
      </c>
      <c r="R30" s="125">
        <f t="shared" si="21"/>
        <v>1008541.4999036341</v>
      </c>
      <c r="S30" s="127">
        <f>+[1]Sheet1!$I$35+Q31</f>
        <v>-125258.42257717492</v>
      </c>
      <c r="T30" s="104">
        <f t="shared" si="22"/>
        <v>-79.932481511510559</v>
      </c>
      <c r="U30" s="115"/>
    </row>
    <row r="31" spans="1:25">
      <c r="A31" s="121" t="s">
        <v>84</v>
      </c>
      <c r="B31" s="122">
        <v>39539</v>
      </c>
      <c r="C31" s="100">
        <v>309350</v>
      </c>
      <c r="D31" s="121"/>
      <c r="E31" s="121"/>
      <c r="F31" s="121"/>
      <c r="G31" s="123">
        <f t="shared" si="15"/>
        <v>15467.5</v>
      </c>
      <c r="H31" s="121"/>
      <c r="I31" s="121"/>
      <c r="J31" s="121"/>
      <c r="K31" s="121">
        <f t="shared" si="16"/>
        <v>4382</v>
      </c>
      <c r="L31" s="123">
        <f t="shared" si="17"/>
        <v>12.005479452054795</v>
      </c>
      <c r="M31" s="124">
        <v>176342.92235670245</v>
      </c>
      <c r="N31" s="125">
        <f t="shared" si="18"/>
        <v>133007.07764329755</v>
      </c>
      <c r="O31" s="126">
        <f t="shared" si="19"/>
        <v>7.9945205479452053</v>
      </c>
      <c r="P31" s="123">
        <f t="shared" si="20"/>
        <v>117539.57764329755</v>
      </c>
      <c r="Q31" s="125">
        <f t="shared" si="23"/>
        <v>14702.517422825089</v>
      </c>
      <c r="R31" s="125">
        <f t="shared" si="21"/>
        <v>118304.56022047247</v>
      </c>
      <c r="S31" s="127">
        <f>+[1]Sheet1!$I$35-S30</f>
        <v>-14702.517422825083</v>
      </c>
      <c r="T31" s="104">
        <f t="shared" si="22"/>
        <v>-5.4569682106375694E-12</v>
      </c>
      <c r="U31" s="115"/>
    </row>
    <row r="32" spans="1:25">
      <c r="A32" s="99" t="s">
        <v>85</v>
      </c>
      <c r="B32" s="94">
        <v>39539</v>
      </c>
      <c r="C32" s="100">
        <v>509548</v>
      </c>
      <c r="D32" s="99"/>
      <c r="E32" s="99"/>
      <c r="F32" s="99"/>
      <c r="G32" s="95">
        <f t="shared" si="15"/>
        <v>25477.4</v>
      </c>
      <c r="H32" s="99"/>
      <c r="I32" s="99"/>
      <c r="J32" s="99"/>
      <c r="K32" s="99">
        <f t="shared" si="16"/>
        <v>4382</v>
      </c>
      <c r="L32" s="95">
        <f t="shared" si="17"/>
        <v>12.005479452054795</v>
      </c>
      <c r="M32" s="101">
        <v>290458.94</v>
      </c>
      <c r="N32" s="96">
        <f t="shared" si="18"/>
        <v>219089.06</v>
      </c>
      <c r="O32" s="119">
        <f t="shared" si="19"/>
        <v>7.9945205479452053</v>
      </c>
      <c r="P32" s="95">
        <f t="shared" si="20"/>
        <v>193611.66</v>
      </c>
      <c r="Q32" s="96">
        <f t="shared" si="23"/>
        <v>24218.045202193283</v>
      </c>
      <c r="R32" s="96">
        <f t="shared" si="21"/>
        <v>194871.01479780671</v>
      </c>
      <c r="S32" s="101">
        <v>-24203.53</v>
      </c>
      <c r="T32" s="104">
        <f t="shared" si="22"/>
        <v>-14.515202193284495</v>
      </c>
      <c r="U32" s="115"/>
    </row>
    <row r="33" spans="1:21">
      <c r="A33" s="99" t="s">
        <v>86</v>
      </c>
      <c r="B33" s="94">
        <v>39571</v>
      </c>
      <c r="C33" s="100">
        <v>256875</v>
      </c>
      <c r="D33" s="99"/>
      <c r="E33" s="99"/>
      <c r="F33" s="99"/>
      <c r="G33" s="95">
        <f t="shared" si="15"/>
        <v>12843.75</v>
      </c>
      <c r="H33" s="99"/>
      <c r="I33" s="99"/>
      <c r="J33" s="99"/>
      <c r="K33" s="99">
        <f t="shared" si="16"/>
        <v>4350</v>
      </c>
      <c r="L33" s="95">
        <f t="shared" si="17"/>
        <v>11.917808219178083</v>
      </c>
      <c r="M33" s="101">
        <v>145357.32</v>
      </c>
      <c r="N33" s="96">
        <f t="shared" si="18"/>
        <v>111517.68</v>
      </c>
      <c r="O33" s="119">
        <f t="shared" si="19"/>
        <v>8.0821917808219172</v>
      </c>
      <c r="P33" s="95">
        <f t="shared" si="20"/>
        <v>98673.93</v>
      </c>
      <c r="Q33" s="96">
        <f t="shared" si="23"/>
        <v>12208.808288135593</v>
      </c>
      <c r="R33" s="96">
        <f t="shared" si="21"/>
        <v>99308.871711864398</v>
      </c>
      <c r="S33" s="101">
        <v>-12201.56</v>
      </c>
      <c r="T33" s="104">
        <f t="shared" si="22"/>
        <v>-7.2482881355936115</v>
      </c>
      <c r="U33" s="115"/>
    </row>
    <row r="34" spans="1:21">
      <c r="A34" s="99" t="s">
        <v>86</v>
      </c>
      <c r="B34" s="94">
        <v>39582</v>
      </c>
      <c r="C34" s="100">
        <v>128625</v>
      </c>
      <c r="D34" s="99"/>
      <c r="E34" s="99">
        <v>20</v>
      </c>
      <c r="F34" s="99"/>
      <c r="G34" s="95">
        <f t="shared" si="15"/>
        <v>6431.25</v>
      </c>
      <c r="H34" s="99"/>
      <c r="I34" s="99"/>
      <c r="J34" s="99"/>
      <c r="K34" s="99">
        <f t="shared" si="16"/>
        <v>4339</v>
      </c>
      <c r="L34" s="95">
        <f t="shared" si="17"/>
        <v>11.887671232876713</v>
      </c>
      <c r="M34" s="101">
        <v>72600.63</v>
      </c>
      <c r="N34" s="96">
        <f t="shared" si="18"/>
        <v>56024.369999999995</v>
      </c>
      <c r="O34" s="119">
        <f t="shared" si="19"/>
        <v>8.1123287671232873</v>
      </c>
      <c r="P34" s="95">
        <f t="shared" si="20"/>
        <v>49593.119999999995</v>
      </c>
      <c r="Q34" s="96">
        <f t="shared" si="23"/>
        <v>6113.3025329280645</v>
      </c>
      <c r="R34" s="96">
        <f t="shared" si="21"/>
        <v>49911.067467071931</v>
      </c>
      <c r="S34" s="101">
        <v>-6109.69</v>
      </c>
      <c r="T34" s="104">
        <f t="shared" si="22"/>
        <v>-3.6125329280648657</v>
      </c>
      <c r="U34" s="115"/>
    </row>
    <row r="35" spans="1:21">
      <c r="A35" s="99" t="s">
        <v>75</v>
      </c>
      <c r="B35" s="94">
        <v>39609</v>
      </c>
      <c r="C35" s="100">
        <v>1572177</v>
      </c>
      <c r="D35" s="99"/>
      <c r="E35" s="99"/>
      <c r="F35" s="99"/>
      <c r="G35" s="95">
        <f t="shared" si="15"/>
        <v>78608.850000000006</v>
      </c>
      <c r="H35" s="99"/>
      <c r="I35" s="99"/>
      <c r="J35" s="99"/>
      <c r="K35" s="99">
        <f t="shared" si="16"/>
        <v>4312</v>
      </c>
      <c r="L35" s="95">
        <f t="shared" si="17"/>
        <v>11.813698630136987</v>
      </c>
      <c r="M35" s="101">
        <v>881869.36</v>
      </c>
      <c r="N35" s="96">
        <f t="shared" si="18"/>
        <v>690307.64</v>
      </c>
      <c r="O35" s="119">
        <f t="shared" si="19"/>
        <v>8.1863013698630134</v>
      </c>
      <c r="P35" s="95">
        <f t="shared" si="20"/>
        <v>611698.79</v>
      </c>
      <c r="Q35" s="96">
        <f t="shared" si="23"/>
        <v>74722.241750334681</v>
      </c>
      <c r="R35" s="96">
        <f t="shared" si="21"/>
        <v>615585.39824966528</v>
      </c>
      <c r="S35" s="101">
        <v>-74678.41</v>
      </c>
      <c r="T35" s="104">
        <f t="shared" si="22"/>
        <v>-43.831750334677054</v>
      </c>
      <c r="U35" s="115"/>
    </row>
    <row r="36" spans="1:21">
      <c r="A36" s="99" t="s">
        <v>83</v>
      </c>
      <c r="B36" s="94">
        <v>39609</v>
      </c>
      <c r="C36" s="100">
        <f>1494084+7304</f>
        <v>1501388</v>
      </c>
      <c r="D36" s="99"/>
      <c r="E36" s="99"/>
      <c r="F36" s="99"/>
      <c r="G36" s="95">
        <f t="shared" si="15"/>
        <v>75069.400000000009</v>
      </c>
      <c r="H36" s="99"/>
      <c r="I36" s="99"/>
      <c r="J36" s="99"/>
      <c r="K36" s="99">
        <f t="shared" si="16"/>
        <v>4312</v>
      </c>
      <c r="L36" s="95">
        <f t="shared" si="17"/>
        <v>11.813698630136987</v>
      </c>
      <c r="M36" s="101">
        <v>842162.22</v>
      </c>
      <c r="N36" s="96">
        <f t="shared" si="18"/>
        <v>659225.78</v>
      </c>
      <c r="O36" s="119">
        <f t="shared" si="19"/>
        <v>8.1863013698630134</v>
      </c>
      <c r="P36" s="95">
        <f t="shared" si="20"/>
        <v>584156.38</v>
      </c>
      <c r="Q36" s="96">
        <f t="shared" si="23"/>
        <v>71357.790729585016</v>
      </c>
      <c r="R36" s="96">
        <f t="shared" si="21"/>
        <v>587867.98927041504</v>
      </c>
      <c r="S36" s="101">
        <v>-71315.929999999993</v>
      </c>
      <c r="T36" s="104">
        <f t="shared" si="22"/>
        <v>-41.860729585023364</v>
      </c>
      <c r="U36" s="115"/>
    </row>
    <row r="37" spans="1:21">
      <c r="A37" s="99" t="s">
        <v>83</v>
      </c>
      <c r="B37" s="94">
        <v>39621</v>
      </c>
      <c r="C37" s="100">
        <v>132000</v>
      </c>
      <c r="D37" s="99"/>
      <c r="E37" s="99"/>
      <c r="F37" s="99"/>
      <c r="G37" s="95">
        <f t="shared" si="15"/>
        <v>6600</v>
      </c>
      <c r="H37" s="99"/>
      <c r="I37" s="99"/>
      <c r="J37" s="99"/>
      <c r="K37" s="99">
        <f t="shared" si="16"/>
        <v>4300</v>
      </c>
      <c r="L37" s="95">
        <f t="shared" si="17"/>
        <v>11.780821917808218</v>
      </c>
      <c r="M37" s="101">
        <v>73835.61</v>
      </c>
      <c r="N37" s="96">
        <f t="shared" si="18"/>
        <v>58164.39</v>
      </c>
      <c r="O37" s="119">
        <f t="shared" si="19"/>
        <v>8.2191780821917817</v>
      </c>
      <c r="P37" s="95">
        <f t="shared" si="20"/>
        <v>51564.39</v>
      </c>
      <c r="Q37" s="96">
        <f t="shared" si="23"/>
        <v>6273.667449999999</v>
      </c>
      <c r="R37" s="96">
        <f t="shared" si="21"/>
        <v>51890.722549999999</v>
      </c>
      <c r="S37" s="101">
        <v>-6270</v>
      </c>
      <c r="T37" s="104">
        <f t="shared" si="22"/>
        <v>-3.6674499999990076</v>
      </c>
      <c r="U37" s="115"/>
    </row>
    <row r="38" spans="1:21">
      <c r="A38" s="99" t="s">
        <v>72</v>
      </c>
      <c r="B38" s="94">
        <v>39660</v>
      </c>
      <c r="C38" s="100">
        <v>2112</v>
      </c>
      <c r="D38" s="99"/>
      <c r="E38" s="99"/>
      <c r="F38" s="99"/>
      <c r="G38" s="95">
        <f t="shared" si="15"/>
        <v>105.60000000000001</v>
      </c>
      <c r="H38" s="99"/>
      <c r="I38" s="99"/>
      <c r="J38" s="99"/>
      <c r="K38" s="99">
        <f t="shared" si="16"/>
        <v>4261</v>
      </c>
      <c r="L38" s="95">
        <f t="shared" si="17"/>
        <v>11.673972602739726</v>
      </c>
      <c r="M38" s="101">
        <v>1170.6500000000001</v>
      </c>
      <c r="N38" s="96">
        <f t="shared" si="18"/>
        <v>941.34999999999991</v>
      </c>
      <c r="O38" s="119">
        <f t="shared" si="19"/>
        <v>8.3260273972602743</v>
      </c>
      <c r="P38" s="95">
        <f t="shared" si="20"/>
        <v>835.74999999999989</v>
      </c>
      <c r="Q38" s="96">
        <f t="shared" si="23"/>
        <v>100.37800263244486</v>
      </c>
      <c r="R38" s="96">
        <f t="shared" si="21"/>
        <v>840.9719973675551</v>
      </c>
      <c r="S38" s="101">
        <v>-100.32</v>
      </c>
      <c r="T38" s="104">
        <f t="shared" si="22"/>
        <v>-5.8002632444868141E-2</v>
      </c>
      <c r="U38" s="115"/>
    </row>
    <row r="39" spans="1:21">
      <c r="A39" s="99" t="s">
        <v>70</v>
      </c>
      <c r="B39" s="94">
        <v>39903</v>
      </c>
      <c r="C39" s="100">
        <v>105782</v>
      </c>
      <c r="D39" s="99"/>
      <c r="E39" s="99"/>
      <c r="F39" s="99"/>
      <c r="G39" s="95">
        <f t="shared" si="15"/>
        <v>5289.1</v>
      </c>
      <c r="H39" s="99"/>
      <c r="I39" s="99"/>
      <c r="J39" s="99"/>
      <c r="K39" s="99">
        <f t="shared" si="16"/>
        <v>4018</v>
      </c>
      <c r="L39" s="95">
        <f t="shared" si="17"/>
        <v>11.008219178082191</v>
      </c>
      <c r="M39" s="101">
        <v>55288.04</v>
      </c>
      <c r="N39" s="96">
        <f t="shared" si="18"/>
        <v>50493.96</v>
      </c>
      <c r="O39" s="119">
        <f t="shared" si="19"/>
        <v>8.9917808219178088</v>
      </c>
      <c r="P39" s="95">
        <f t="shared" si="20"/>
        <v>45204.86</v>
      </c>
      <c r="Q39" s="96">
        <f t="shared" si="23"/>
        <v>5027.3534125533206</v>
      </c>
      <c r="R39" s="96">
        <f t="shared" si="21"/>
        <v>45466.60658744668</v>
      </c>
      <c r="S39" s="101">
        <v>-5024.6499999999996</v>
      </c>
      <c r="T39" s="104">
        <f t="shared" si="22"/>
        <v>-2.703412553320959</v>
      </c>
      <c r="U39" s="115"/>
    </row>
    <row r="40" spans="1:21">
      <c r="A40" s="99" t="s">
        <v>71</v>
      </c>
      <c r="B40" s="94">
        <v>39903</v>
      </c>
      <c r="C40" s="100">
        <v>10371</v>
      </c>
      <c r="D40" s="99"/>
      <c r="E40" s="99"/>
      <c r="F40" s="99"/>
      <c r="G40" s="95">
        <f t="shared" si="15"/>
        <v>518.55000000000007</v>
      </c>
      <c r="H40" s="99"/>
      <c r="I40" s="99"/>
      <c r="J40" s="99"/>
      <c r="K40" s="99">
        <f t="shared" si="16"/>
        <v>4018</v>
      </c>
      <c r="L40" s="95">
        <f t="shared" si="17"/>
        <v>11.008219178082191</v>
      </c>
      <c r="M40" s="101">
        <v>5420.51</v>
      </c>
      <c r="N40" s="96">
        <f t="shared" si="18"/>
        <v>4950.49</v>
      </c>
      <c r="O40" s="119">
        <f t="shared" si="19"/>
        <v>8.9917808219178088</v>
      </c>
      <c r="P40" s="95">
        <f t="shared" si="20"/>
        <v>4431.9399999999996</v>
      </c>
      <c r="Q40" s="96">
        <f t="shared" si="23"/>
        <v>492.88790371724548</v>
      </c>
      <c r="R40" s="96">
        <f t="shared" si="21"/>
        <v>4457.6020962827542</v>
      </c>
      <c r="S40" s="101">
        <v>-492.62</v>
      </c>
      <c r="T40" s="104">
        <f t="shared" si="22"/>
        <v>-0.26790371724547413</v>
      </c>
      <c r="U40" s="115"/>
    </row>
    <row r="41" spans="1:21">
      <c r="A41" s="99" t="s">
        <v>86</v>
      </c>
      <c r="B41" s="94">
        <v>39903</v>
      </c>
      <c r="C41" s="100">
        <v>159926</v>
      </c>
      <c r="D41" s="99"/>
      <c r="E41" s="99"/>
      <c r="F41" s="99"/>
      <c r="G41" s="95">
        <f t="shared" si="15"/>
        <v>7996.3</v>
      </c>
      <c r="H41" s="99"/>
      <c r="I41" s="99"/>
      <c r="J41" s="99"/>
      <c r="K41" s="99">
        <f t="shared" si="16"/>
        <v>4018</v>
      </c>
      <c r="L41" s="95">
        <f t="shared" si="17"/>
        <v>11.008219178082191</v>
      </c>
      <c r="M41" s="101">
        <v>83586.960000000006</v>
      </c>
      <c r="N41" s="96">
        <f t="shared" si="18"/>
        <v>76339.039999999994</v>
      </c>
      <c r="O41" s="119">
        <f t="shared" si="19"/>
        <v>8.9917808219178088</v>
      </c>
      <c r="P41" s="95">
        <f t="shared" si="20"/>
        <v>68342.739999999991</v>
      </c>
      <c r="Q41" s="96">
        <f t="shared" si="23"/>
        <v>7600.5789457647761</v>
      </c>
      <c r="R41" s="96">
        <f t="shared" si="21"/>
        <v>68738.461054235217</v>
      </c>
      <c r="S41" s="101">
        <v>-7596.49</v>
      </c>
      <c r="T41" s="104">
        <f t="shared" si="22"/>
        <v>-4.0889457647763265</v>
      </c>
      <c r="U41" s="115"/>
    </row>
    <row r="42" spans="1:21">
      <c r="A42" s="99" t="s">
        <v>72</v>
      </c>
      <c r="B42" s="94">
        <v>39903</v>
      </c>
      <c r="C42" s="100">
        <v>6950713</v>
      </c>
      <c r="D42" s="99"/>
      <c r="E42" s="99"/>
      <c r="F42" s="99"/>
      <c r="G42" s="95">
        <f t="shared" si="15"/>
        <v>347535.65</v>
      </c>
      <c r="H42" s="99"/>
      <c r="I42" s="99"/>
      <c r="J42" s="99"/>
      <c r="K42" s="99">
        <f t="shared" si="16"/>
        <v>4018</v>
      </c>
      <c r="L42" s="95">
        <f t="shared" si="17"/>
        <v>11.008219178082191</v>
      </c>
      <c r="M42" s="101">
        <v>3632860.92</v>
      </c>
      <c r="N42" s="96">
        <f t="shared" si="18"/>
        <v>3317852.08</v>
      </c>
      <c r="O42" s="119">
        <f t="shared" si="19"/>
        <v>8.9917808219178088</v>
      </c>
      <c r="P42" s="95">
        <f t="shared" si="20"/>
        <v>2970316.43</v>
      </c>
      <c r="Q42" s="96">
        <f>+(C42-G42)/$O$14</f>
        <v>330158.86749999999</v>
      </c>
      <c r="R42" s="96">
        <f t="shared" si="21"/>
        <v>2987693.2124999999</v>
      </c>
      <c r="S42" s="101">
        <v>-330158.87</v>
      </c>
      <c r="T42" s="104">
        <f t="shared" si="22"/>
        <v>2.5000000023283064E-3</v>
      </c>
      <c r="U42" s="115"/>
    </row>
    <row r="43" spans="1:21">
      <c r="A43" s="99" t="s">
        <v>73</v>
      </c>
      <c r="B43" s="94">
        <v>39903</v>
      </c>
      <c r="C43" s="100">
        <v>300714</v>
      </c>
      <c r="D43" s="99"/>
      <c r="E43" s="99"/>
      <c r="F43" s="99"/>
      <c r="G43" s="95">
        <f t="shared" si="15"/>
        <v>15035.7</v>
      </c>
      <c r="H43" s="99"/>
      <c r="I43" s="99"/>
      <c r="J43" s="99"/>
      <c r="K43" s="99">
        <f t="shared" si="16"/>
        <v>4018</v>
      </c>
      <c r="L43" s="95">
        <f t="shared" si="17"/>
        <v>11.008219178082191</v>
      </c>
      <c r="M43" s="101">
        <v>157171.24</v>
      </c>
      <c r="N43" s="96">
        <f t="shared" si="18"/>
        <v>143542.76</v>
      </c>
      <c r="O43" s="119">
        <f t="shared" si="19"/>
        <v>8.9917808219178088</v>
      </c>
      <c r="P43" s="95">
        <f t="shared" si="20"/>
        <v>128507.06000000001</v>
      </c>
      <c r="Q43" s="96">
        <f>+(C43-G43)/$O$14</f>
        <v>14283.914999999999</v>
      </c>
      <c r="R43" s="96">
        <f t="shared" si="21"/>
        <v>129258.84500000002</v>
      </c>
      <c r="S43" s="101">
        <v>-14283.92</v>
      </c>
      <c r="T43" s="104">
        <f t="shared" si="22"/>
        <v>5.0000000010186341E-3</v>
      </c>
      <c r="U43" s="115"/>
    </row>
    <row r="44" spans="1:21">
      <c r="A44" s="99" t="s">
        <v>74</v>
      </c>
      <c r="B44" s="94">
        <v>39903</v>
      </c>
      <c r="C44" s="100">
        <v>624436</v>
      </c>
      <c r="D44" s="99"/>
      <c r="E44" s="99"/>
      <c r="F44" s="99"/>
      <c r="G44" s="95">
        <f t="shared" si="15"/>
        <v>31221.800000000003</v>
      </c>
      <c r="H44" s="99"/>
      <c r="I44" s="99"/>
      <c r="J44" s="99"/>
      <c r="K44" s="99">
        <f t="shared" si="16"/>
        <v>4018</v>
      </c>
      <c r="L44" s="95">
        <f t="shared" si="17"/>
        <v>11.008219178082191</v>
      </c>
      <c r="M44" s="101">
        <v>326367.83</v>
      </c>
      <c r="N44" s="96">
        <f t="shared" si="18"/>
        <v>298068.17</v>
      </c>
      <c r="O44" s="119">
        <f t="shared" si="19"/>
        <v>8.9917808219178088</v>
      </c>
      <c r="P44" s="95">
        <f t="shared" si="20"/>
        <v>266846.37</v>
      </c>
      <c r="Q44" s="96">
        <f t="shared" ref="Q44:Q107" si="24">P44/O44</f>
        <v>29676.698674588664</v>
      </c>
      <c r="R44" s="96">
        <f t="shared" si="21"/>
        <v>268391.47132541134</v>
      </c>
      <c r="S44" s="101">
        <v>-29660.71</v>
      </c>
      <c r="T44" s="104">
        <f t="shared" si="22"/>
        <v>-15.988674588665162</v>
      </c>
      <c r="U44" s="115"/>
    </row>
    <row r="45" spans="1:21">
      <c r="A45" s="99" t="s">
        <v>75</v>
      </c>
      <c r="B45" s="94">
        <v>39903</v>
      </c>
      <c r="C45" s="100">
        <v>5059823</v>
      </c>
      <c r="D45" s="99"/>
      <c r="E45" s="99"/>
      <c r="F45" s="99"/>
      <c r="G45" s="95">
        <f t="shared" si="15"/>
        <v>252991.15000000002</v>
      </c>
      <c r="H45" s="99"/>
      <c r="I45" s="99"/>
      <c r="J45" s="99"/>
      <c r="K45" s="99">
        <f t="shared" si="16"/>
        <v>4018</v>
      </c>
      <c r="L45" s="95">
        <f t="shared" si="17"/>
        <v>11.008219178082191</v>
      </c>
      <c r="M45" s="101">
        <v>2644568</v>
      </c>
      <c r="N45" s="96">
        <f t="shared" si="18"/>
        <v>2415255</v>
      </c>
      <c r="O45" s="119">
        <f t="shared" si="19"/>
        <v>8.9917808219178088</v>
      </c>
      <c r="P45" s="95">
        <f t="shared" si="20"/>
        <v>2162263.85</v>
      </c>
      <c r="Q45" s="96">
        <f t="shared" si="24"/>
        <v>240471.14724253502</v>
      </c>
      <c r="R45" s="96">
        <f t="shared" si="21"/>
        <v>2174783.8527574651</v>
      </c>
      <c r="S45" s="101">
        <v>-240341.59</v>
      </c>
      <c r="T45" s="104">
        <f t="shared" si="22"/>
        <v>-129.55724253502558</v>
      </c>
      <c r="U45" s="115"/>
    </row>
    <row r="46" spans="1:21">
      <c r="A46" s="99" t="s">
        <v>76</v>
      </c>
      <c r="B46" s="94">
        <v>39903</v>
      </c>
      <c r="C46" s="100">
        <v>4476</v>
      </c>
      <c r="D46" s="99"/>
      <c r="E46" s="99"/>
      <c r="F46" s="99"/>
      <c r="G46" s="95">
        <f t="shared" si="15"/>
        <v>223.8</v>
      </c>
      <c r="H46" s="99"/>
      <c r="I46" s="99"/>
      <c r="J46" s="99"/>
      <c r="K46" s="99">
        <f t="shared" si="16"/>
        <v>4018</v>
      </c>
      <c r="L46" s="95">
        <f t="shared" si="17"/>
        <v>11.008219178082191</v>
      </c>
      <c r="M46" s="101">
        <v>2339.4299999999998</v>
      </c>
      <c r="N46" s="96">
        <f t="shared" si="18"/>
        <v>2136.5700000000002</v>
      </c>
      <c r="O46" s="119">
        <f t="shared" si="19"/>
        <v>8.9917808219178088</v>
      </c>
      <c r="P46" s="95">
        <f t="shared" si="20"/>
        <v>1912.7700000000002</v>
      </c>
      <c r="Q46" s="96">
        <f t="shared" si="24"/>
        <v>212.72426873857404</v>
      </c>
      <c r="R46" s="96">
        <f t="shared" si="21"/>
        <v>1923.8457312614262</v>
      </c>
      <c r="S46" s="101">
        <v>-212.61</v>
      </c>
      <c r="T46" s="104">
        <f t="shared" si="22"/>
        <v>-0.11426873857402597</v>
      </c>
      <c r="U46" s="115"/>
    </row>
    <row r="47" spans="1:21">
      <c r="A47" s="99" t="s">
        <v>77</v>
      </c>
      <c r="B47" s="94">
        <v>39903</v>
      </c>
      <c r="C47" s="100">
        <v>5823479</v>
      </c>
      <c r="D47" s="99"/>
      <c r="E47" s="99"/>
      <c r="F47" s="99"/>
      <c r="G47" s="95">
        <f t="shared" si="15"/>
        <v>291173.95</v>
      </c>
      <c r="H47" s="99"/>
      <c r="I47" s="99"/>
      <c r="J47" s="99"/>
      <c r="K47" s="99">
        <f t="shared" si="16"/>
        <v>4018</v>
      </c>
      <c r="L47" s="95">
        <f t="shared" si="17"/>
        <v>11.008219178082191</v>
      </c>
      <c r="M47" s="101">
        <v>3043700.59</v>
      </c>
      <c r="N47" s="96">
        <f t="shared" si="18"/>
        <v>2779778.41</v>
      </c>
      <c r="O47" s="119">
        <f t="shared" si="19"/>
        <v>8.9917808219178088</v>
      </c>
      <c r="P47" s="95">
        <f t="shared" si="20"/>
        <v>2488604.46</v>
      </c>
      <c r="Q47" s="96">
        <f t="shared" si="24"/>
        <v>276764.3595063985</v>
      </c>
      <c r="R47" s="96">
        <f t="shared" si="21"/>
        <v>2503014.0504936017</v>
      </c>
      <c r="S47" s="101">
        <v>-276615.25</v>
      </c>
      <c r="T47" s="104">
        <f t="shared" si="22"/>
        <v>-149.10950639849762</v>
      </c>
      <c r="U47" s="115"/>
    </row>
    <row r="48" spans="1:21">
      <c r="A48" s="99" t="s">
        <v>78</v>
      </c>
      <c r="B48" s="94">
        <v>39903</v>
      </c>
      <c r="C48" s="100">
        <v>313666</v>
      </c>
      <c r="D48" s="99"/>
      <c r="E48" s="99"/>
      <c r="F48" s="99"/>
      <c r="G48" s="95">
        <f t="shared" si="15"/>
        <v>15683.300000000001</v>
      </c>
      <c r="H48" s="99"/>
      <c r="I48" s="99"/>
      <c r="J48" s="99"/>
      <c r="K48" s="99">
        <f t="shared" si="16"/>
        <v>4018</v>
      </c>
      <c r="L48" s="95">
        <f t="shared" si="17"/>
        <v>11.008219178082191</v>
      </c>
      <c r="M48" s="101">
        <v>163940.73000000001</v>
      </c>
      <c r="N48" s="96">
        <f t="shared" si="18"/>
        <v>149725.26999999999</v>
      </c>
      <c r="O48" s="119">
        <f t="shared" si="19"/>
        <v>8.9917808219178088</v>
      </c>
      <c r="P48" s="95">
        <f t="shared" si="20"/>
        <v>134041.97</v>
      </c>
      <c r="Q48" s="96">
        <f t="shared" si="24"/>
        <v>14907.166072516757</v>
      </c>
      <c r="R48" s="96">
        <f t="shared" si="21"/>
        <v>134818.10392748323</v>
      </c>
      <c r="S48" s="101">
        <v>-14899.14</v>
      </c>
      <c r="T48" s="120">
        <f t="shared" si="22"/>
        <v>-8.0260725167572673</v>
      </c>
      <c r="U48" s="115"/>
    </row>
    <row r="49" spans="1:21">
      <c r="A49" s="99" t="s">
        <v>79</v>
      </c>
      <c r="B49" s="94">
        <v>39903</v>
      </c>
      <c r="C49" s="100">
        <v>1125057</v>
      </c>
      <c r="D49" s="99"/>
      <c r="E49" s="99"/>
      <c r="F49" s="99"/>
      <c r="G49" s="95">
        <f t="shared" si="15"/>
        <v>56252.850000000006</v>
      </c>
      <c r="H49" s="99"/>
      <c r="I49" s="99"/>
      <c r="J49" s="99"/>
      <c r="K49" s="99">
        <f t="shared" si="16"/>
        <v>4018</v>
      </c>
      <c r="L49" s="95">
        <f t="shared" si="17"/>
        <v>11.008219178082191</v>
      </c>
      <c r="M49" s="101">
        <v>588022.5</v>
      </c>
      <c r="N49" s="96">
        <f t="shared" si="18"/>
        <v>537034.5</v>
      </c>
      <c r="O49" s="119">
        <f t="shared" si="19"/>
        <v>8.9917808219178088</v>
      </c>
      <c r="P49" s="95">
        <f t="shared" si="20"/>
        <v>480781.65</v>
      </c>
      <c r="Q49" s="96">
        <f t="shared" si="24"/>
        <v>53469.013482632537</v>
      </c>
      <c r="R49" s="96">
        <f t="shared" si="21"/>
        <v>483565.48651736748</v>
      </c>
      <c r="S49" s="101">
        <v>-53440.21</v>
      </c>
      <c r="T49" s="104">
        <f t="shared" si="22"/>
        <v>-28.803482632538362</v>
      </c>
      <c r="U49" s="115"/>
    </row>
    <row r="50" spans="1:21">
      <c r="A50" s="99" t="s">
        <v>80</v>
      </c>
      <c r="B50" s="94">
        <v>39903</v>
      </c>
      <c r="C50" s="100">
        <v>100394</v>
      </c>
      <c r="D50" s="99"/>
      <c r="E50" s="99"/>
      <c r="F50" s="99"/>
      <c r="G50" s="95">
        <f t="shared" si="15"/>
        <v>5019.7000000000007</v>
      </c>
      <c r="H50" s="99"/>
      <c r="I50" s="99"/>
      <c r="J50" s="99"/>
      <c r="K50" s="99">
        <f t="shared" si="16"/>
        <v>4018</v>
      </c>
      <c r="L50" s="95">
        <f t="shared" si="17"/>
        <v>11.008219178082191</v>
      </c>
      <c r="M50" s="101">
        <v>52471.95</v>
      </c>
      <c r="N50" s="96">
        <f t="shared" si="18"/>
        <v>47922.05</v>
      </c>
      <c r="O50" s="119">
        <f t="shared" si="19"/>
        <v>8.9917808219178088</v>
      </c>
      <c r="P50" s="95">
        <f t="shared" si="20"/>
        <v>42902.350000000006</v>
      </c>
      <c r="Q50" s="96">
        <f t="shared" si="24"/>
        <v>4771.2851157830592</v>
      </c>
      <c r="R50" s="96">
        <f t="shared" si="21"/>
        <v>43150.764884216944</v>
      </c>
      <c r="S50" s="101">
        <v>-4768.72</v>
      </c>
      <c r="T50" s="104">
        <f t="shared" si="22"/>
        <v>-2.5651157830589</v>
      </c>
      <c r="U50" s="115"/>
    </row>
    <row r="51" spans="1:21">
      <c r="A51" s="99" t="s">
        <v>82</v>
      </c>
      <c r="B51" s="94">
        <v>39903</v>
      </c>
      <c r="C51" s="100">
        <v>552157</v>
      </c>
      <c r="D51" s="99"/>
      <c r="E51" s="99"/>
      <c r="F51" s="99"/>
      <c r="G51" s="95">
        <f t="shared" si="15"/>
        <v>27607.850000000002</v>
      </c>
      <c r="H51" s="99"/>
      <c r="I51" s="99"/>
      <c r="J51" s="99"/>
      <c r="K51" s="99">
        <f t="shared" si="16"/>
        <v>4018</v>
      </c>
      <c r="L51" s="95">
        <f t="shared" si="17"/>
        <v>11.008219178082191</v>
      </c>
      <c r="M51" s="101">
        <v>288590.48</v>
      </c>
      <c r="N51" s="96">
        <f t="shared" si="18"/>
        <v>263566.52</v>
      </c>
      <c r="O51" s="119">
        <f t="shared" si="19"/>
        <v>8.9917808219178088</v>
      </c>
      <c r="P51" s="95">
        <f t="shared" si="20"/>
        <v>235958.67</v>
      </c>
      <c r="Q51" s="96">
        <f t="shared" si="24"/>
        <v>26241.594926873859</v>
      </c>
      <c r="R51" s="96">
        <f t="shared" si="21"/>
        <v>237324.92507312616</v>
      </c>
      <c r="S51" s="101">
        <v>-26227.46</v>
      </c>
      <c r="T51" s="104">
        <f t="shared" si="22"/>
        <v>-14.134926873859513</v>
      </c>
      <c r="U51" s="115"/>
    </row>
    <row r="52" spans="1:21">
      <c r="A52" s="99" t="s">
        <v>83</v>
      </c>
      <c r="B52" s="94">
        <v>39903</v>
      </c>
      <c r="C52" s="100">
        <v>1771662</v>
      </c>
      <c r="D52" s="99"/>
      <c r="E52" s="99"/>
      <c r="F52" s="99"/>
      <c r="G52" s="95">
        <f t="shared" si="15"/>
        <v>88583.1</v>
      </c>
      <c r="H52" s="99"/>
      <c r="I52" s="99"/>
      <c r="J52" s="99"/>
      <c r="K52" s="99">
        <f t="shared" si="16"/>
        <v>4018</v>
      </c>
      <c r="L52" s="95">
        <f t="shared" si="17"/>
        <v>11.008219178082191</v>
      </c>
      <c r="M52" s="101">
        <v>925977.19</v>
      </c>
      <c r="N52" s="96">
        <f t="shared" si="18"/>
        <v>845684.81</v>
      </c>
      <c r="O52" s="119">
        <f t="shared" si="19"/>
        <v>8.9917808219178088</v>
      </c>
      <c r="P52" s="95">
        <f t="shared" si="20"/>
        <v>757101.71000000008</v>
      </c>
      <c r="Q52" s="96">
        <f t="shared" si="24"/>
        <v>84199.306566118219</v>
      </c>
      <c r="R52" s="96">
        <f t="shared" si="21"/>
        <v>761485.50343388179</v>
      </c>
      <c r="S52" s="101">
        <v>-84153.95</v>
      </c>
      <c r="T52" s="104">
        <f t="shared" si="22"/>
        <v>-45.356566118221963</v>
      </c>
      <c r="U52" s="115"/>
    </row>
    <row r="53" spans="1:21">
      <c r="A53" s="99" t="s">
        <v>84</v>
      </c>
      <c r="B53" s="94">
        <v>39903</v>
      </c>
      <c r="C53" s="100">
        <v>128335</v>
      </c>
      <c r="D53" s="99"/>
      <c r="E53" s="99"/>
      <c r="F53" s="99"/>
      <c r="G53" s="95">
        <f t="shared" si="15"/>
        <v>6416.75</v>
      </c>
      <c r="H53" s="99"/>
      <c r="I53" s="99"/>
      <c r="J53" s="99"/>
      <c r="K53" s="99">
        <f t="shared" si="16"/>
        <v>4018</v>
      </c>
      <c r="L53" s="95">
        <f t="shared" si="17"/>
        <v>11.008219178082191</v>
      </c>
      <c r="M53" s="101">
        <v>67075.59</v>
      </c>
      <c r="N53" s="96">
        <f t="shared" si="18"/>
        <v>61259.41</v>
      </c>
      <c r="O53" s="119">
        <f t="shared" si="19"/>
        <v>8.9917808219178088</v>
      </c>
      <c r="P53" s="95">
        <f t="shared" si="20"/>
        <v>54842.66</v>
      </c>
      <c r="Q53" s="96">
        <f t="shared" si="24"/>
        <v>6099.1989335770868</v>
      </c>
      <c r="R53" s="96">
        <f t="shared" si="21"/>
        <v>55160.211066422919</v>
      </c>
      <c r="S53" s="101">
        <v>-6095.91</v>
      </c>
      <c r="T53" s="104">
        <f t="shared" si="22"/>
        <v>-3.2889335770869366</v>
      </c>
      <c r="U53" s="115"/>
    </row>
    <row r="54" spans="1:21">
      <c r="A54" s="99" t="s">
        <v>85</v>
      </c>
      <c r="B54" s="94">
        <v>39903</v>
      </c>
      <c r="C54" s="100">
        <v>211387</v>
      </c>
      <c r="D54" s="99"/>
      <c r="E54" s="99"/>
      <c r="F54" s="99"/>
      <c r="G54" s="95">
        <f t="shared" si="15"/>
        <v>10569.35</v>
      </c>
      <c r="H54" s="99"/>
      <c r="I54" s="99"/>
      <c r="J54" s="99"/>
      <c r="K54" s="99">
        <f t="shared" si="16"/>
        <v>4018</v>
      </c>
      <c r="L54" s="95">
        <f t="shared" si="17"/>
        <v>11.008219178082191</v>
      </c>
      <c r="M54" s="101">
        <v>110483.57</v>
      </c>
      <c r="N54" s="96">
        <f t="shared" si="18"/>
        <v>100903.43</v>
      </c>
      <c r="O54" s="119">
        <f t="shared" si="19"/>
        <v>8.9917808219178088</v>
      </c>
      <c r="P54" s="95">
        <f t="shared" si="20"/>
        <v>90334.079999999987</v>
      </c>
      <c r="Q54" s="96">
        <f t="shared" si="24"/>
        <v>10046.294698354659</v>
      </c>
      <c r="R54" s="96">
        <f t="shared" si="21"/>
        <v>90857.135301645336</v>
      </c>
      <c r="S54" s="101">
        <v>-10040.879999999999</v>
      </c>
      <c r="T54" s="104">
        <f t="shared" si="22"/>
        <v>-5.4146983546597767</v>
      </c>
      <c r="U54" s="115"/>
    </row>
    <row r="55" spans="1:21">
      <c r="A55" s="99" t="s">
        <v>85</v>
      </c>
      <c r="B55" s="94">
        <v>40269</v>
      </c>
      <c r="C55" s="100">
        <v>1228000</v>
      </c>
      <c r="D55" s="99"/>
      <c r="E55" s="99"/>
      <c r="F55" s="99"/>
      <c r="G55" s="95">
        <f t="shared" si="15"/>
        <v>61400</v>
      </c>
      <c r="H55" s="99"/>
      <c r="I55" s="99"/>
      <c r="J55" s="99"/>
      <c r="K55" s="99">
        <f t="shared" si="16"/>
        <v>3652</v>
      </c>
      <c r="L55" s="95">
        <f t="shared" si="17"/>
        <v>10.005479452054795</v>
      </c>
      <c r="M55" s="101">
        <v>583334.25</v>
      </c>
      <c r="N55" s="96">
        <f t="shared" si="18"/>
        <v>644665.75</v>
      </c>
      <c r="O55" s="119">
        <f t="shared" si="19"/>
        <v>9.9945205479452053</v>
      </c>
      <c r="P55" s="95">
        <f t="shared" si="20"/>
        <v>583265.75</v>
      </c>
      <c r="Q55" s="96">
        <f t="shared" si="24"/>
        <v>58358.552288925443</v>
      </c>
      <c r="R55" s="96">
        <f t="shared" si="21"/>
        <v>586307.19771107461</v>
      </c>
      <c r="S55" s="101">
        <v>-58330</v>
      </c>
      <c r="T55" s="104">
        <f t="shared" si="22"/>
        <v>-28.552288925442554</v>
      </c>
      <c r="U55" s="115"/>
    </row>
    <row r="56" spans="1:21">
      <c r="A56" s="99" t="s">
        <v>85</v>
      </c>
      <c r="B56" s="94">
        <v>40278</v>
      </c>
      <c r="C56" s="100">
        <v>261500</v>
      </c>
      <c r="D56" s="99"/>
      <c r="E56" s="99"/>
      <c r="F56" s="99"/>
      <c r="G56" s="95">
        <f t="shared" si="15"/>
        <v>13075</v>
      </c>
      <c r="H56" s="99"/>
      <c r="I56" s="99"/>
      <c r="J56" s="99"/>
      <c r="K56" s="99">
        <f t="shared" si="16"/>
        <v>3643</v>
      </c>
      <c r="L56" s="95">
        <f t="shared" si="17"/>
        <v>9.9808219178082194</v>
      </c>
      <c r="M56" s="101">
        <v>123913.5</v>
      </c>
      <c r="N56" s="96">
        <f t="shared" si="18"/>
        <v>137586.5</v>
      </c>
      <c r="O56" s="119">
        <f t="shared" si="19"/>
        <v>10.019178082191781</v>
      </c>
      <c r="P56" s="95">
        <f t="shared" si="20"/>
        <v>124511.5</v>
      </c>
      <c r="Q56" s="96">
        <f t="shared" si="24"/>
        <v>12427.316789718348</v>
      </c>
      <c r="R56" s="96">
        <f t="shared" si="21"/>
        <v>125159.18321028166</v>
      </c>
      <c r="S56" s="101">
        <v>-12421.25</v>
      </c>
      <c r="T56" s="104">
        <f t="shared" si="22"/>
        <v>-6.0667897183484456</v>
      </c>
      <c r="U56" s="115"/>
    </row>
    <row r="57" spans="1:21">
      <c r="A57" s="99" t="s">
        <v>87</v>
      </c>
      <c r="B57" s="94">
        <v>40471</v>
      </c>
      <c r="C57" s="128">
        <v>223590207</v>
      </c>
      <c r="D57" s="99"/>
      <c r="E57" s="99"/>
      <c r="F57" s="99"/>
      <c r="G57" s="95">
        <f t="shared" si="15"/>
        <v>11179510.350000001</v>
      </c>
      <c r="H57" s="99"/>
      <c r="I57" s="99"/>
      <c r="J57" s="99"/>
      <c r="K57" s="99">
        <f t="shared" si="16"/>
        <v>3450</v>
      </c>
      <c r="L57" s="95">
        <f t="shared" si="17"/>
        <v>9.4520547945205475</v>
      </c>
      <c r="M57" s="124">
        <f>-SUM([1]Sheet1!$G$61:$G$108)</f>
        <v>100333681.70000002</v>
      </c>
      <c r="N57" s="96">
        <f t="shared" si="18"/>
        <v>123256525.29999998</v>
      </c>
      <c r="O57" s="119">
        <f t="shared" si="19"/>
        <v>10.547945205479452</v>
      </c>
      <c r="P57" s="95">
        <f t="shared" si="20"/>
        <v>112077014.94999999</v>
      </c>
      <c r="Q57" s="96">
        <f t="shared" si="24"/>
        <v>10625483.235519478</v>
      </c>
      <c r="R57" s="96">
        <f t="shared" si="21"/>
        <v>112631042.0644805</v>
      </c>
      <c r="S57" s="127">
        <f>+SUM([1]Sheet1!$I$61:$I$108)</f>
        <v>-10620534.870000005</v>
      </c>
      <c r="T57" s="104">
        <f t="shared" si="22"/>
        <v>-4948.3655194733292</v>
      </c>
      <c r="U57" s="115"/>
    </row>
    <row r="58" spans="1:21">
      <c r="A58" s="99" t="s">
        <v>85</v>
      </c>
      <c r="B58" s="94">
        <v>40584</v>
      </c>
      <c r="C58" s="100">
        <v>261500</v>
      </c>
      <c r="D58" s="99"/>
      <c r="E58" s="99"/>
      <c r="F58" s="99"/>
      <c r="G58" s="95">
        <f t="shared" si="15"/>
        <v>13075</v>
      </c>
      <c r="H58" s="99"/>
      <c r="I58" s="99"/>
      <c r="J58" s="99"/>
      <c r="K58" s="99">
        <f t="shared" si="16"/>
        <v>3337</v>
      </c>
      <c r="L58" s="95">
        <f t="shared" si="17"/>
        <v>9.1424657534246574</v>
      </c>
      <c r="M58" s="101">
        <v>113499.66</v>
      </c>
      <c r="N58" s="96">
        <f t="shared" si="18"/>
        <v>148000.34</v>
      </c>
      <c r="O58" s="119">
        <f t="shared" si="19"/>
        <v>10.857534246575343</v>
      </c>
      <c r="P58" s="95">
        <f t="shared" si="20"/>
        <v>134925.34</v>
      </c>
      <c r="Q58" s="96">
        <f t="shared" si="24"/>
        <v>12426.885970224577</v>
      </c>
      <c r="R58" s="96">
        <f t="shared" si="21"/>
        <v>135573.45402977543</v>
      </c>
      <c r="S58" s="101">
        <v>-12421.25</v>
      </c>
      <c r="T58" s="104">
        <f t="shared" si="22"/>
        <v>-5.6359702245772496</v>
      </c>
      <c r="U58" s="115"/>
    </row>
    <row r="59" spans="1:21">
      <c r="A59" s="99" t="s">
        <v>15</v>
      </c>
      <c r="B59" s="94">
        <v>41345</v>
      </c>
      <c r="C59" s="100">
        <v>856500</v>
      </c>
      <c r="D59" s="99"/>
      <c r="E59" s="99"/>
      <c r="F59" s="99"/>
      <c r="G59" s="95">
        <f t="shared" si="15"/>
        <v>42825</v>
      </c>
      <c r="H59" s="99"/>
      <c r="I59" s="99"/>
      <c r="J59" s="99"/>
      <c r="K59" s="99">
        <f t="shared" si="16"/>
        <v>2576</v>
      </c>
      <c r="L59" s="95">
        <f t="shared" si="17"/>
        <v>7.0575342465753428</v>
      </c>
      <c r="M59" s="101">
        <v>286923.77</v>
      </c>
      <c r="N59" s="96">
        <f t="shared" si="18"/>
        <v>569576.23</v>
      </c>
      <c r="O59" s="119">
        <f t="shared" si="19"/>
        <v>12.942465753424656</v>
      </c>
      <c r="P59" s="95">
        <f t="shared" si="20"/>
        <v>526751.23</v>
      </c>
      <c r="Q59" s="96">
        <f t="shared" si="24"/>
        <v>40699.449396697717</v>
      </c>
      <c r="R59" s="96">
        <f t="shared" si="21"/>
        <v>528876.78060330229</v>
      </c>
      <c r="S59" s="101">
        <v>-40683.75</v>
      </c>
      <c r="T59" s="104">
        <f t="shared" si="22"/>
        <v>-15.69939669771702</v>
      </c>
      <c r="U59" s="115"/>
    </row>
    <row r="60" spans="1:21">
      <c r="A60" s="99" t="s">
        <v>15</v>
      </c>
      <c r="B60" s="94">
        <v>41356</v>
      </c>
      <c r="C60" s="100">
        <v>222495</v>
      </c>
      <c r="D60" s="99"/>
      <c r="E60" s="99"/>
      <c r="F60" s="99"/>
      <c r="G60" s="95">
        <f t="shared" si="15"/>
        <v>11124.75</v>
      </c>
      <c r="H60" s="99"/>
      <c r="I60" s="99"/>
      <c r="J60" s="99"/>
      <c r="K60" s="99">
        <f t="shared" si="16"/>
        <v>2565</v>
      </c>
      <c r="L60" s="95">
        <f t="shared" si="17"/>
        <v>7.0273972602739727</v>
      </c>
      <c r="M60" s="101">
        <v>74216.34</v>
      </c>
      <c r="N60" s="96">
        <f t="shared" si="18"/>
        <v>148278.66</v>
      </c>
      <c r="O60" s="119">
        <f t="shared" si="19"/>
        <v>12.972602739726028</v>
      </c>
      <c r="P60" s="95">
        <f t="shared" si="20"/>
        <v>137153.91</v>
      </c>
      <c r="Q60" s="96">
        <f t="shared" si="24"/>
        <v>10572.582291446673</v>
      </c>
      <c r="R60" s="96">
        <f t="shared" si="21"/>
        <v>137706.07770855332</v>
      </c>
      <c r="S60" s="101">
        <v>-10568.51</v>
      </c>
      <c r="T60" s="104">
        <f t="shared" si="22"/>
        <v>-4.0722914466732618</v>
      </c>
      <c r="U60" s="115"/>
    </row>
    <row r="61" spans="1:21">
      <c r="A61" s="99" t="s">
        <v>88</v>
      </c>
      <c r="B61" s="94">
        <v>41489</v>
      </c>
      <c r="C61" s="100">
        <v>129646</v>
      </c>
      <c r="D61" s="99"/>
      <c r="E61" s="99"/>
      <c r="F61" s="99"/>
      <c r="G61" s="95">
        <f t="shared" si="15"/>
        <v>6482.3</v>
      </c>
      <c r="H61" s="99"/>
      <c r="I61" s="99"/>
      <c r="J61" s="99"/>
      <c r="K61" s="99">
        <f t="shared" si="16"/>
        <v>2432</v>
      </c>
      <c r="L61" s="95">
        <f t="shared" si="17"/>
        <v>6.6630136986301371</v>
      </c>
      <c r="M61" s="101">
        <v>41001.25</v>
      </c>
      <c r="N61" s="96">
        <f t="shared" si="18"/>
        <v>88644.75</v>
      </c>
      <c r="O61" s="119">
        <f t="shared" si="19"/>
        <v>13.336986301369862</v>
      </c>
      <c r="P61" s="95">
        <f t="shared" si="20"/>
        <v>82162.45</v>
      </c>
      <c r="Q61" s="96">
        <f t="shared" si="24"/>
        <v>6160.4959428923585</v>
      </c>
      <c r="R61" s="96">
        <f t="shared" si="21"/>
        <v>82484.254057107639</v>
      </c>
      <c r="S61" s="101">
        <v>-6158.19</v>
      </c>
      <c r="T61" s="104">
        <f t="shared" si="22"/>
        <v>-2.3059428923588712</v>
      </c>
      <c r="U61" s="115"/>
    </row>
    <row r="62" spans="1:21">
      <c r="A62" s="99" t="s">
        <v>85</v>
      </c>
      <c r="B62" s="94">
        <v>41494</v>
      </c>
      <c r="C62" s="100">
        <v>10939</v>
      </c>
      <c r="D62" s="99"/>
      <c r="E62" s="99"/>
      <c r="F62" s="99"/>
      <c r="G62" s="95">
        <f t="shared" si="15"/>
        <v>546.95000000000005</v>
      </c>
      <c r="H62" s="99"/>
      <c r="I62" s="99"/>
      <c r="J62" s="99"/>
      <c r="K62" s="99">
        <f t="shared" si="16"/>
        <v>2427</v>
      </c>
      <c r="L62" s="95">
        <f t="shared" si="17"/>
        <v>6.6493150684931503</v>
      </c>
      <c r="M62" s="101">
        <v>3451.6</v>
      </c>
      <c r="N62" s="96">
        <f t="shared" si="18"/>
        <v>7487.4</v>
      </c>
      <c r="O62" s="119">
        <f t="shared" si="19"/>
        <v>13.35068493150685</v>
      </c>
      <c r="P62" s="95">
        <f t="shared" si="20"/>
        <v>6940.45</v>
      </c>
      <c r="Q62" s="96">
        <f t="shared" si="24"/>
        <v>519.85722347629792</v>
      </c>
      <c r="R62" s="96">
        <f t="shared" si="21"/>
        <v>6967.5427765237018</v>
      </c>
      <c r="S62" s="101">
        <v>-519.6</v>
      </c>
      <c r="T62" s="104">
        <f t="shared" si="22"/>
        <v>-0.2572234762978951</v>
      </c>
      <c r="U62" s="115"/>
    </row>
    <row r="63" spans="1:21">
      <c r="A63" s="99" t="s">
        <v>89</v>
      </c>
      <c r="B63" s="94">
        <v>41499</v>
      </c>
      <c r="C63" s="100">
        <v>1808797</v>
      </c>
      <c r="D63" s="99"/>
      <c r="E63" s="99"/>
      <c r="F63" s="99"/>
      <c r="G63" s="95">
        <f t="shared" si="15"/>
        <v>90439.85</v>
      </c>
      <c r="H63" s="99"/>
      <c r="I63" s="99"/>
      <c r="J63" s="99"/>
      <c r="K63" s="99">
        <f t="shared" si="16"/>
        <v>2422</v>
      </c>
      <c r="L63" s="95">
        <f t="shared" si="17"/>
        <v>6.6356164383561644</v>
      </c>
      <c r="M63" s="101">
        <v>569687.82999999996</v>
      </c>
      <c r="N63" s="96">
        <f t="shared" si="18"/>
        <v>1239109.17</v>
      </c>
      <c r="O63" s="119">
        <f t="shared" si="19"/>
        <v>13.364383561643836</v>
      </c>
      <c r="P63" s="95">
        <f t="shared" si="20"/>
        <v>1148669.3199999998</v>
      </c>
      <c r="Q63" s="96">
        <f t="shared" si="24"/>
        <v>85950.041369413681</v>
      </c>
      <c r="R63" s="96">
        <f t="shared" si="21"/>
        <v>1153159.1286305862</v>
      </c>
      <c r="S63" s="101">
        <v>-85917.86</v>
      </c>
      <c r="T63" s="104">
        <f t="shared" si="22"/>
        <v>-32.181369413679931</v>
      </c>
      <c r="U63" s="115"/>
    </row>
    <row r="64" spans="1:21">
      <c r="A64" s="99" t="s">
        <v>15</v>
      </c>
      <c r="B64" s="94">
        <v>41559</v>
      </c>
      <c r="C64" s="100">
        <v>142800</v>
      </c>
      <c r="D64" s="99"/>
      <c r="E64" s="99"/>
      <c r="F64" s="99"/>
      <c r="G64" s="95">
        <f t="shared" si="15"/>
        <v>7140</v>
      </c>
      <c r="H64" s="99"/>
      <c r="I64" s="99"/>
      <c r="J64" s="99"/>
      <c r="K64" s="99">
        <f t="shared" si="16"/>
        <v>2362</v>
      </c>
      <c r="L64" s="95">
        <f t="shared" si="17"/>
        <v>6.4712328767123291</v>
      </c>
      <c r="M64" s="101">
        <v>43860.39</v>
      </c>
      <c r="N64" s="96">
        <f t="shared" si="18"/>
        <v>98939.61</v>
      </c>
      <c r="O64" s="119">
        <f t="shared" si="19"/>
        <v>13.528767123287672</v>
      </c>
      <c r="P64" s="95">
        <f t="shared" si="20"/>
        <v>91799.61</v>
      </c>
      <c r="Q64" s="96">
        <f t="shared" si="24"/>
        <v>6785.5118772782498</v>
      </c>
      <c r="R64" s="96">
        <f t="shared" si="21"/>
        <v>92154.098122721756</v>
      </c>
      <c r="S64" s="101">
        <v>-6783</v>
      </c>
      <c r="T64" s="104">
        <f t="shared" si="22"/>
        <v>-2.5118772782498127</v>
      </c>
      <c r="U64" s="115"/>
    </row>
    <row r="65" spans="1:21">
      <c r="A65" s="99" t="s">
        <v>15</v>
      </c>
      <c r="B65" s="94">
        <v>41563</v>
      </c>
      <c r="C65" s="100">
        <v>1182919</v>
      </c>
      <c r="D65" s="99"/>
      <c r="E65" s="99"/>
      <c r="F65" s="99"/>
      <c r="G65" s="95">
        <f t="shared" si="15"/>
        <v>59145.950000000004</v>
      </c>
      <c r="H65" s="99"/>
      <c r="I65" s="99"/>
      <c r="J65" s="99"/>
      <c r="K65" s="99">
        <f t="shared" si="16"/>
        <v>2358</v>
      </c>
      <c r="L65" s="95">
        <f t="shared" si="17"/>
        <v>6.4602739726027396</v>
      </c>
      <c r="M65" s="124">
        <f>-([1]Sheet1!$G$116+[1]Sheet1!$G$117)</f>
        <v>362712.54000000004</v>
      </c>
      <c r="N65" s="96">
        <f t="shared" si="18"/>
        <v>820206.46</v>
      </c>
      <c r="O65" s="119">
        <f t="shared" si="19"/>
        <v>13.539726027397261</v>
      </c>
      <c r="P65" s="95">
        <f t="shared" si="20"/>
        <v>761060.51</v>
      </c>
      <c r="Q65" s="96">
        <f t="shared" si="24"/>
        <v>56209.446813031158</v>
      </c>
      <c r="R65" s="96">
        <f t="shared" si="21"/>
        <v>763997.01318696886</v>
      </c>
      <c r="S65" s="127">
        <f>+([1]Sheet1!$I$116+[1]Sheet1!$I$117)</f>
        <v>-56188.65</v>
      </c>
      <c r="T65" s="104">
        <f t="shared" si="22"/>
        <v>-20.796813031156489</v>
      </c>
      <c r="U65" s="115"/>
    </row>
    <row r="66" spans="1:21">
      <c r="A66" s="99" t="s">
        <v>15</v>
      </c>
      <c r="B66" s="94">
        <v>41575</v>
      </c>
      <c r="C66" s="100">
        <v>107100</v>
      </c>
      <c r="D66" s="99"/>
      <c r="E66" s="99"/>
      <c r="F66" s="99"/>
      <c r="G66" s="95">
        <f t="shared" si="15"/>
        <v>5355</v>
      </c>
      <c r="H66" s="99"/>
      <c r="I66" s="99"/>
      <c r="J66" s="99"/>
      <c r="K66" s="99">
        <f t="shared" si="16"/>
        <v>2346</v>
      </c>
      <c r="L66" s="95">
        <f t="shared" si="17"/>
        <v>6.4273972602739722</v>
      </c>
      <c r="M66" s="101">
        <v>32672.28</v>
      </c>
      <c r="N66" s="96">
        <f t="shared" si="18"/>
        <v>74427.72</v>
      </c>
      <c r="O66" s="119">
        <f t="shared" si="19"/>
        <v>13.572602739726028</v>
      </c>
      <c r="P66" s="95">
        <f t="shared" si="20"/>
        <v>69072.72</v>
      </c>
      <c r="Q66" s="96">
        <f t="shared" si="24"/>
        <v>5089.128542591845</v>
      </c>
      <c r="R66" s="96">
        <f t="shared" si="21"/>
        <v>69338.591457408154</v>
      </c>
      <c r="S66" s="101">
        <v>-5087.25</v>
      </c>
      <c r="T66" s="104">
        <f t="shared" si="22"/>
        <v>-1.8785425918449619</v>
      </c>
      <c r="U66" s="115"/>
    </row>
    <row r="67" spans="1:21">
      <c r="A67" s="99" t="s">
        <v>15</v>
      </c>
      <c r="B67" s="94">
        <v>41620</v>
      </c>
      <c r="C67" s="100">
        <v>16646</v>
      </c>
      <c r="D67" s="99"/>
      <c r="E67" s="99"/>
      <c r="F67" s="99"/>
      <c r="G67" s="95">
        <f t="shared" si="15"/>
        <v>832.30000000000007</v>
      </c>
      <c r="H67" s="99"/>
      <c r="I67" s="99"/>
      <c r="J67" s="99"/>
      <c r="K67" s="99">
        <f t="shared" si="16"/>
        <v>2301</v>
      </c>
      <c r="L67" s="95">
        <f t="shared" si="17"/>
        <v>6.3041095890410963</v>
      </c>
      <c r="M67" s="101">
        <v>4980.6000000000004</v>
      </c>
      <c r="N67" s="96">
        <f t="shared" si="18"/>
        <v>11665.4</v>
      </c>
      <c r="O67" s="119">
        <f t="shared" si="19"/>
        <v>13.695890410958903</v>
      </c>
      <c r="P67" s="95">
        <f t="shared" si="20"/>
        <v>10833.1</v>
      </c>
      <c r="Q67" s="96">
        <f t="shared" si="24"/>
        <v>790.97449489897986</v>
      </c>
      <c r="R67" s="96">
        <f t="shared" si="21"/>
        <v>10874.42550510102</v>
      </c>
      <c r="S67" s="101">
        <v>-790.69</v>
      </c>
      <c r="T67" s="104">
        <f t="shared" si="22"/>
        <v>-0.28449489897980129</v>
      </c>
      <c r="U67" s="115"/>
    </row>
    <row r="68" spans="1:21">
      <c r="A68" s="99" t="s">
        <v>70</v>
      </c>
      <c r="B68" s="94">
        <v>41627</v>
      </c>
      <c r="C68" s="100">
        <v>639045</v>
      </c>
      <c r="D68" s="99"/>
      <c r="E68" s="99"/>
      <c r="F68" s="99"/>
      <c r="G68" s="95">
        <f t="shared" si="15"/>
        <v>31952.25</v>
      </c>
      <c r="H68" s="99"/>
      <c r="I68" s="99"/>
      <c r="J68" s="99"/>
      <c r="K68" s="99">
        <f t="shared" si="16"/>
        <v>2294</v>
      </c>
      <c r="L68" s="95">
        <f t="shared" si="17"/>
        <v>6.2849315068493148</v>
      </c>
      <c r="M68" s="101">
        <v>190624.57</v>
      </c>
      <c r="N68" s="96">
        <f t="shared" si="18"/>
        <v>448420.43</v>
      </c>
      <c r="O68" s="119">
        <f t="shared" si="19"/>
        <v>13.715068493150685</v>
      </c>
      <c r="P68" s="95">
        <f t="shared" si="20"/>
        <v>416468.18</v>
      </c>
      <c r="Q68" s="96">
        <f t="shared" si="24"/>
        <v>30365.738254095086</v>
      </c>
      <c r="R68" s="96">
        <f t="shared" si="21"/>
        <v>418054.69174590491</v>
      </c>
      <c r="S68" s="101">
        <v>-30354.639999999999</v>
      </c>
      <c r="T68" s="104">
        <f t="shared" si="22"/>
        <v>-11.098254095086304</v>
      </c>
      <c r="U68" s="115"/>
    </row>
    <row r="69" spans="1:21">
      <c r="A69" s="99" t="s">
        <v>15</v>
      </c>
      <c r="B69" s="94">
        <v>41629</v>
      </c>
      <c r="C69" s="100">
        <v>35700</v>
      </c>
      <c r="D69" s="99"/>
      <c r="E69" s="99"/>
      <c r="F69" s="99"/>
      <c r="G69" s="95">
        <f t="shared" si="15"/>
        <v>1785</v>
      </c>
      <c r="H69" s="99"/>
      <c r="I69" s="99"/>
      <c r="J69" s="99"/>
      <c r="K69" s="99">
        <f t="shared" si="16"/>
        <v>2292</v>
      </c>
      <c r="L69" s="95">
        <f t="shared" si="17"/>
        <v>6.279452054794521</v>
      </c>
      <c r="M69" s="101">
        <v>10639.88</v>
      </c>
      <c r="N69" s="96">
        <f t="shared" si="18"/>
        <v>25060.120000000003</v>
      </c>
      <c r="O69" s="119">
        <f t="shared" si="19"/>
        <v>13.720547945205478</v>
      </c>
      <c r="P69" s="95">
        <f t="shared" si="20"/>
        <v>23275.120000000003</v>
      </c>
      <c r="Q69" s="96">
        <f t="shared" si="24"/>
        <v>1696.3695686900962</v>
      </c>
      <c r="R69" s="96">
        <f t="shared" si="21"/>
        <v>23363.750431309905</v>
      </c>
      <c r="S69" s="101">
        <v>-1695.75</v>
      </c>
      <c r="T69" s="104">
        <f t="shared" si="22"/>
        <v>-0.61956869009623006</v>
      </c>
      <c r="U69" s="115"/>
    </row>
    <row r="70" spans="1:21">
      <c r="A70" s="99" t="s">
        <v>90</v>
      </c>
      <c r="B70" s="94">
        <v>41639</v>
      </c>
      <c r="C70" s="100">
        <v>6672114</v>
      </c>
      <c r="D70" s="99"/>
      <c r="E70" s="99"/>
      <c r="F70" s="99"/>
      <c r="G70" s="95">
        <f t="shared" si="15"/>
        <v>333605.7</v>
      </c>
      <c r="H70" s="99"/>
      <c r="I70" s="99"/>
      <c r="J70" s="99"/>
      <c r="K70" s="99">
        <f t="shared" si="16"/>
        <v>2282</v>
      </c>
      <c r="L70" s="95">
        <f t="shared" si="17"/>
        <v>6.2520547945205482</v>
      </c>
      <c r="M70" s="101">
        <v>1979845.24</v>
      </c>
      <c r="N70" s="96">
        <f t="shared" si="18"/>
        <v>4692268.76</v>
      </c>
      <c r="O70" s="119">
        <f t="shared" si="19"/>
        <v>13.747945205479452</v>
      </c>
      <c r="P70" s="95">
        <f t="shared" si="20"/>
        <v>4358663.0599999996</v>
      </c>
      <c r="Q70" s="96">
        <f t="shared" si="24"/>
        <v>317041.05557991227</v>
      </c>
      <c r="R70" s="96">
        <f t="shared" si="21"/>
        <v>4375227.7044200879</v>
      </c>
      <c r="S70" s="101">
        <v>-316925.42</v>
      </c>
      <c r="T70" s="104">
        <f t="shared" si="22"/>
        <v>-115.63557991228299</v>
      </c>
      <c r="U70" s="115"/>
    </row>
    <row r="71" spans="1:21">
      <c r="A71" s="121" t="s">
        <v>91</v>
      </c>
      <c r="B71" s="122">
        <v>41725</v>
      </c>
      <c r="C71" s="100">
        <v>300000</v>
      </c>
      <c r="D71" s="121"/>
      <c r="E71" s="121"/>
      <c r="F71" s="121"/>
      <c r="G71" s="123">
        <f t="shared" si="15"/>
        <v>15000</v>
      </c>
      <c r="H71" s="121"/>
      <c r="I71" s="121"/>
      <c r="J71" s="121"/>
      <c r="K71" s="121">
        <f t="shared" si="16"/>
        <v>2196</v>
      </c>
      <c r="L71" s="123">
        <f t="shared" si="17"/>
        <v>6.0164383561643833</v>
      </c>
      <c r="M71" s="124">
        <v>85665</v>
      </c>
      <c r="N71" s="125">
        <f t="shared" si="18"/>
        <v>214335</v>
      </c>
      <c r="O71" s="126">
        <f t="shared" si="19"/>
        <v>13.983561643835618</v>
      </c>
      <c r="P71" s="123">
        <f t="shared" si="20"/>
        <v>199335</v>
      </c>
      <c r="Q71" s="125">
        <f t="shared" si="24"/>
        <v>14254.9519984326</v>
      </c>
      <c r="R71" s="125">
        <f t="shared" si="21"/>
        <v>200080.0480015674</v>
      </c>
      <c r="S71" s="127">
        <v>-14255</v>
      </c>
      <c r="T71" s="104">
        <f t="shared" si="22"/>
        <v>4.8001567400206113E-2</v>
      </c>
      <c r="U71" s="115"/>
    </row>
    <row r="72" spans="1:21">
      <c r="A72" s="121" t="s">
        <v>15</v>
      </c>
      <c r="B72" s="122">
        <v>41725</v>
      </c>
      <c r="C72" s="100">
        <v>1488955</v>
      </c>
      <c r="D72" s="121"/>
      <c r="E72" s="121"/>
      <c r="F72" s="121"/>
      <c r="G72" s="123">
        <f t="shared" si="15"/>
        <v>74447.75</v>
      </c>
      <c r="H72" s="121"/>
      <c r="I72" s="121"/>
      <c r="J72" s="121"/>
      <c r="K72" s="121">
        <f t="shared" si="16"/>
        <v>2196</v>
      </c>
      <c r="L72" s="123">
        <f t="shared" si="17"/>
        <v>6.0164383561643833</v>
      </c>
      <c r="M72" s="124">
        <v>425157</v>
      </c>
      <c r="N72" s="125">
        <f t="shared" si="18"/>
        <v>1063798</v>
      </c>
      <c r="O72" s="126">
        <f t="shared" si="19"/>
        <v>13.983561643835618</v>
      </c>
      <c r="P72" s="123">
        <f t="shared" si="20"/>
        <v>989350.25</v>
      </c>
      <c r="Q72" s="125">
        <f t="shared" si="24"/>
        <v>70750.948520768026</v>
      </c>
      <c r="R72" s="125">
        <f t="shared" si="21"/>
        <v>993047.05147923203</v>
      </c>
      <c r="S72" s="127">
        <f>+[1]Sheet1!$I$123-S71</f>
        <v>-70720.36</v>
      </c>
      <c r="T72" s="104">
        <f t="shared" si="22"/>
        <v>-30.588520768025774</v>
      </c>
      <c r="U72" s="115"/>
    </row>
    <row r="73" spans="1:21">
      <c r="A73" s="129" t="s">
        <v>92</v>
      </c>
      <c r="B73" s="94">
        <v>42145</v>
      </c>
      <c r="C73" s="130">
        <v>974100</v>
      </c>
      <c r="D73" s="99"/>
      <c r="E73" s="99"/>
      <c r="F73" s="99"/>
      <c r="G73" s="95">
        <f t="shared" si="15"/>
        <v>48705</v>
      </c>
      <c r="H73" s="99"/>
      <c r="I73" s="99"/>
      <c r="J73" s="99"/>
      <c r="K73" s="99">
        <f t="shared" si="16"/>
        <v>1776</v>
      </c>
      <c r="L73" s="95">
        <f t="shared" si="17"/>
        <v>4.8657534246575347</v>
      </c>
      <c r="M73" s="101">
        <v>225010.43</v>
      </c>
      <c r="N73" s="96">
        <f t="shared" si="18"/>
        <v>749089.57000000007</v>
      </c>
      <c r="O73" s="119">
        <f t="shared" si="19"/>
        <v>15.134246575342466</v>
      </c>
      <c r="P73" s="95">
        <f t="shared" si="20"/>
        <v>700384.57000000007</v>
      </c>
      <c r="Q73" s="96">
        <f t="shared" si="24"/>
        <v>46278.126004706741</v>
      </c>
      <c r="R73" s="96">
        <f t="shared" si="21"/>
        <v>702811.44399529335</v>
      </c>
      <c r="S73" s="101">
        <v>-46269.75</v>
      </c>
      <c r="T73" s="104">
        <f t="shared" si="22"/>
        <v>-8.3760047067407868</v>
      </c>
      <c r="U73" s="131"/>
    </row>
    <row r="74" spans="1:21">
      <c r="A74" s="129" t="s">
        <v>93</v>
      </c>
      <c r="B74" s="94">
        <v>42240</v>
      </c>
      <c r="C74" s="130">
        <v>5214750</v>
      </c>
      <c r="D74" s="99"/>
      <c r="E74" s="99"/>
      <c r="F74" s="99"/>
      <c r="G74" s="95">
        <f t="shared" si="15"/>
        <v>260737.5</v>
      </c>
      <c r="H74" s="99"/>
      <c r="I74" s="99"/>
      <c r="J74" s="99"/>
      <c r="K74" s="99">
        <f t="shared" si="16"/>
        <v>1681</v>
      </c>
      <c r="L74" s="95">
        <f t="shared" si="17"/>
        <v>4.6054794520547944</v>
      </c>
      <c r="M74" s="101">
        <v>1140101.51</v>
      </c>
      <c r="N74" s="96">
        <f t="shared" si="18"/>
        <v>4074648.49</v>
      </c>
      <c r="O74" s="119">
        <f t="shared" si="19"/>
        <v>15.394520547945206</v>
      </c>
      <c r="P74" s="95">
        <f t="shared" si="20"/>
        <v>3813910.99</v>
      </c>
      <c r="Q74" s="96">
        <f t="shared" si="24"/>
        <v>247744.70748353802</v>
      </c>
      <c r="R74" s="96">
        <f t="shared" si="21"/>
        <v>3826903.7825164623</v>
      </c>
      <c r="S74" s="101">
        <v>-247700.63</v>
      </c>
      <c r="T74" s="104">
        <f t="shared" si="22"/>
        <v>-44.077483538014349</v>
      </c>
      <c r="U74" s="131"/>
    </row>
    <row r="75" spans="1:21">
      <c r="A75" s="129" t="s">
        <v>94</v>
      </c>
      <c r="B75" s="94">
        <v>42339</v>
      </c>
      <c r="C75" s="132">
        <v>1436500</v>
      </c>
      <c r="D75" s="99"/>
      <c r="E75" s="99"/>
      <c r="F75" s="99"/>
      <c r="G75" s="95">
        <f t="shared" si="15"/>
        <v>71825</v>
      </c>
      <c r="H75" s="99"/>
      <c r="I75" s="99"/>
      <c r="J75" s="99"/>
      <c r="K75" s="99">
        <f t="shared" si="16"/>
        <v>1582</v>
      </c>
      <c r="L75" s="95">
        <f t="shared" si="17"/>
        <v>4.3342465753424655</v>
      </c>
      <c r="M75" s="101">
        <v>295554.96000000002</v>
      </c>
      <c r="N75" s="96">
        <f t="shared" si="18"/>
        <v>1140945.04</v>
      </c>
      <c r="O75" s="119">
        <f t="shared" si="19"/>
        <v>15.665753424657535</v>
      </c>
      <c r="P75" s="95">
        <f t="shared" si="20"/>
        <v>1069120.04</v>
      </c>
      <c r="Q75" s="96">
        <f t="shared" si="24"/>
        <v>68245.68286114026</v>
      </c>
      <c r="R75" s="96">
        <f t="shared" si="21"/>
        <v>1072699.3571388598</v>
      </c>
      <c r="S75" s="101">
        <v>-68233.75</v>
      </c>
      <c r="T75" s="104">
        <f t="shared" si="22"/>
        <v>-11.932861140259774</v>
      </c>
      <c r="U75" s="131"/>
    </row>
    <row r="76" spans="1:21">
      <c r="A76" s="129" t="s">
        <v>95</v>
      </c>
      <c r="B76" s="94">
        <v>42363</v>
      </c>
      <c r="C76" s="130">
        <v>469200</v>
      </c>
      <c r="D76" s="99"/>
      <c r="E76" s="99"/>
      <c r="F76" s="99"/>
      <c r="G76" s="95">
        <f t="shared" si="15"/>
        <v>23460</v>
      </c>
      <c r="H76" s="99"/>
      <c r="I76" s="99"/>
      <c r="J76" s="99"/>
      <c r="K76" s="99">
        <f t="shared" si="16"/>
        <v>1558</v>
      </c>
      <c r="L76" s="95">
        <f t="shared" si="17"/>
        <v>4.2684931506849315</v>
      </c>
      <c r="M76" s="101">
        <v>95070.85</v>
      </c>
      <c r="N76" s="96">
        <f t="shared" si="18"/>
        <v>374129.15</v>
      </c>
      <c r="O76" s="119">
        <f t="shared" si="19"/>
        <v>15.731506849315068</v>
      </c>
      <c r="P76" s="95">
        <f t="shared" si="20"/>
        <v>350669.15</v>
      </c>
      <c r="Q76" s="96">
        <f t="shared" si="24"/>
        <v>22290.881182514808</v>
      </c>
      <c r="R76" s="96">
        <f t="shared" si="21"/>
        <v>351838.26881748519</v>
      </c>
      <c r="S76" s="101">
        <v>-22287</v>
      </c>
      <c r="T76" s="104">
        <f t="shared" si="22"/>
        <v>-3.8811825148077332</v>
      </c>
      <c r="U76" s="131"/>
    </row>
    <row r="77" spans="1:21">
      <c r="A77" s="129" t="s">
        <v>96</v>
      </c>
      <c r="B77" s="94">
        <v>42399</v>
      </c>
      <c r="C77" s="130">
        <v>178500</v>
      </c>
      <c r="D77" s="99"/>
      <c r="E77" s="99"/>
      <c r="F77" s="99"/>
      <c r="G77" s="95">
        <f t="shared" si="15"/>
        <v>8925</v>
      </c>
      <c r="H77" s="99"/>
      <c r="I77" s="99"/>
      <c r="J77" s="99"/>
      <c r="K77" s="99">
        <f t="shared" si="16"/>
        <v>1522</v>
      </c>
      <c r="L77" s="95">
        <f t="shared" si="17"/>
        <v>4.1698630136986301</v>
      </c>
      <c r="M77" s="101">
        <v>35332</v>
      </c>
      <c r="N77" s="96">
        <f t="shared" si="18"/>
        <v>143168</v>
      </c>
      <c r="O77" s="119">
        <f t="shared" si="19"/>
        <v>15.830136986301369</v>
      </c>
      <c r="P77" s="95">
        <f t="shared" si="20"/>
        <v>134243</v>
      </c>
      <c r="Q77" s="96">
        <f t="shared" si="24"/>
        <v>8480.217203184493</v>
      </c>
      <c r="R77" s="96">
        <f t="shared" si="21"/>
        <v>134687.7827968155</v>
      </c>
      <c r="S77" s="101">
        <v>-8478.75</v>
      </c>
      <c r="T77" s="104">
        <f t="shared" si="22"/>
        <v>-1.4672031844929734</v>
      </c>
      <c r="U77" s="131"/>
    </row>
    <row r="78" spans="1:21">
      <c r="A78" s="129" t="s">
        <v>97</v>
      </c>
      <c r="B78" s="94">
        <v>42413</v>
      </c>
      <c r="C78" s="130">
        <v>249753</v>
      </c>
      <c r="D78" s="99"/>
      <c r="E78" s="99"/>
      <c r="F78" s="99"/>
      <c r="G78" s="95">
        <f t="shared" si="15"/>
        <v>12487.650000000001</v>
      </c>
      <c r="H78" s="99"/>
      <c r="I78" s="99"/>
      <c r="J78" s="99"/>
      <c r="K78" s="99">
        <f t="shared" si="16"/>
        <v>1508</v>
      </c>
      <c r="L78" s="95">
        <f t="shared" si="17"/>
        <v>4.1315068493150688</v>
      </c>
      <c r="M78" s="101">
        <v>48980.67</v>
      </c>
      <c r="N78" s="96">
        <f t="shared" si="18"/>
        <v>200772.33000000002</v>
      </c>
      <c r="O78" s="119">
        <f t="shared" si="19"/>
        <v>15.86849315068493</v>
      </c>
      <c r="P78" s="95">
        <f t="shared" si="20"/>
        <v>188284.68000000002</v>
      </c>
      <c r="Q78" s="96">
        <f t="shared" si="24"/>
        <v>11865.315642265195</v>
      </c>
      <c r="R78" s="96">
        <f t="shared" si="21"/>
        <v>188907.01435773482</v>
      </c>
      <c r="S78" s="101">
        <v>-11863.27</v>
      </c>
      <c r="T78" s="104">
        <f t="shared" si="22"/>
        <v>-2.0456422651950561</v>
      </c>
      <c r="U78" s="131"/>
    </row>
    <row r="79" spans="1:21" ht="15.75">
      <c r="A79" s="133" t="s">
        <v>98</v>
      </c>
      <c r="B79" s="134">
        <v>42467</v>
      </c>
      <c r="C79" s="135">
        <v>688500</v>
      </c>
      <c r="D79" s="99"/>
      <c r="E79" s="99"/>
      <c r="F79" s="99"/>
      <c r="G79" s="95">
        <f t="shared" ref="G79:G142" si="25">C79*5%</f>
        <v>34425</v>
      </c>
      <c r="H79" s="99"/>
      <c r="I79" s="99"/>
      <c r="J79" s="99"/>
      <c r="K79" s="99">
        <f t="shared" ref="K79:K142" si="26">$K$2-B79</f>
        <v>1454</v>
      </c>
      <c r="L79" s="95">
        <f t="shared" ref="L79:L142" si="27">K79/365</f>
        <v>3.9835616438356163</v>
      </c>
      <c r="M79" s="101">
        <v>130187.8</v>
      </c>
      <c r="N79" s="96">
        <f t="shared" ref="N79:N142" si="28">C79-M79</f>
        <v>558312.19999999995</v>
      </c>
      <c r="O79" s="119">
        <f t="shared" ref="O79:O142" si="29">$O$14-L79</f>
        <v>16.016438356164382</v>
      </c>
      <c r="P79" s="95">
        <f t="shared" ref="P79:P142" si="30">N79-G79</f>
        <v>523887.19999999995</v>
      </c>
      <c r="Q79" s="96">
        <f t="shared" si="24"/>
        <v>32709.344509066028</v>
      </c>
      <c r="R79" s="96">
        <f t="shared" ref="R79:R142" si="31">N79-Q79</f>
        <v>525602.85549093387</v>
      </c>
      <c r="S79" s="101">
        <v>-32703.75</v>
      </c>
      <c r="T79" s="104">
        <f t="shared" ref="T79:T119" si="32">-(Q79+S79)</f>
        <v>-5.5945090660279675</v>
      </c>
      <c r="U79" s="136"/>
    </row>
    <row r="80" spans="1:21" ht="15.75">
      <c r="A80" s="133" t="s">
        <v>99</v>
      </c>
      <c r="B80" s="134">
        <v>42471</v>
      </c>
      <c r="C80" s="135">
        <v>407455</v>
      </c>
      <c r="D80" s="99"/>
      <c r="E80" s="99"/>
      <c r="F80" s="99"/>
      <c r="G80" s="95">
        <f t="shared" si="25"/>
        <v>20372.75</v>
      </c>
      <c r="H80" s="99"/>
      <c r="I80" s="99"/>
      <c r="J80" s="99"/>
      <c r="K80" s="99">
        <f t="shared" si="26"/>
        <v>1450</v>
      </c>
      <c r="L80" s="95">
        <f t="shared" si="27"/>
        <v>3.9726027397260273</v>
      </c>
      <c r="M80" s="101">
        <v>76833.17</v>
      </c>
      <c r="N80" s="96">
        <f t="shared" si="28"/>
        <v>330621.83</v>
      </c>
      <c r="O80" s="119">
        <f t="shared" si="29"/>
        <v>16.027397260273972</v>
      </c>
      <c r="P80" s="95">
        <f t="shared" si="30"/>
        <v>310249.08</v>
      </c>
      <c r="Q80" s="96">
        <f t="shared" si="24"/>
        <v>19357.421230769232</v>
      </c>
      <c r="R80" s="96">
        <f t="shared" si="31"/>
        <v>311264.40876923077</v>
      </c>
      <c r="S80" s="101">
        <v>-19354.11</v>
      </c>
      <c r="T80" s="104">
        <f t="shared" si="32"/>
        <v>-3.31123076923177</v>
      </c>
      <c r="U80" s="136"/>
    </row>
    <row r="81" spans="1:21" ht="15.75">
      <c r="A81" s="133" t="s">
        <v>100</v>
      </c>
      <c r="B81" s="134">
        <v>42497</v>
      </c>
      <c r="C81" s="135">
        <v>32179</v>
      </c>
      <c r="D81" s="99"/>
      <c r="E81" s="99"/>
      <c r="F81" s="99"/>
      <c r="G81" s="95">
        <f t="shared" si="25"/>
        <v>1608.95</v>
      </c>
      <c r="H81" s="99"/>
      <c r="I81" s="99"/>
      <c r="J81" s="99"/>
      <c r="K81" s="99">
        <f t="shared" si="26"/>
        <v>1424</v>
      </c>
      <c r="L81" s="95">
        <f t="shared" si="27"/>
        <v>3.9013698630136986</v>
      </c>
      <c r="M81" s="101">
        <v>5959.06</v>
      </c>
      <c r="N81" s="96">
        <f t="shared" si="28"/>
        <v>26219.94</v>
      </c>
      <c r="O81" s="119">
        <f t="shared" si="29"/>
        <v>16.098630136986301</v>
      </c>
      <c r="P81" s="95">
        <f t="shared" si="30"/>
        <v>24610.989999999998</v>
      </c>
      <c r="Q81" s="96">
        <f t="shared" si="24"/>
        <v>1528.7629935330156</v>
      </c>
      <c r="R81" s="96">
        <f t="shared" si="31"/>
        <v>24691.177006466984</v>
      </c>
      <c r="S81" s="101">
        <v>-1528.5</v>
      </c>
      <c r="T81" s="104">
        <f t="shared" si="32"/>
        <v>-0.26299353301556039</v>
      </c>
      <c r="U81" s="136"/>
    </row>
    <row r="82" spans="1:21" ht="15.75">
      <c r="A82" s="133" t="s">
        <v>101</v>
      </c>
      <c r="B82" s="134">
        <v>42504</v>
      </c>
      <c r="C82" s="135">
        <v>418200</v>
      </c>
      <c r="D82" s="99"/>
      <c r="E82" s="99"/>
      <c r="F82" s="99"/>
      <c r="G82" s="95">
        <f t="shared" si="25"/>
        <v>20910</v>
      </c>
      <c r="H82" s="99"/>
      <c r="I82" s="99"/>
      <c r="J82" s="99"/>
      <c r="K82" s="99">
        <f t="shared" si="26"/>
        <v>1417</v>
      </c>
      <c r="L82" s="95">
        <f t="shared" si="27"/>
        <v>3.882191780821918</v>
      </c>
      <c r="M82" s="101">
        <v>77063.38</v>
      </c>
      <c r="N82" s="96">
        <f t="shared" si="28"/>
        <v>341136.62</v>
      </c>
      <c r="O82" s="119">
        <f t="shared" si="29"/>
        <v>16.11780821917808</v>
      </c>
      <c r="P82" s="95">
        <f t="shared" si="30"/>
        <v>320226.62</v>
      </c>
      <c r="Q82" s="96">
        <f t="shared" si="24"/>
        <v>19867.876304606496</v>
      </c>
      <c r="R82" s="96">
        <f t="shared" si="31"/>
        <v>321268.7436953935</v>
      </c>
      <c r="S82" s="101">
        <v>-19864.5</v>
      </c>
      <c r="T82" s="104">
        <f t="shared" si="32"/>
        <v>-3.3763046064959781</v>
      </c>
      <c r="U82" s="136"/>
    </row>
    <row r="83" spans="1:21" ht="15.75">
      <c r="A83" s="133" t="s">
        <v>98</v>
      </c>
      <c r="B83" s="134">
        <v>42514</v>
      </c>
      <c r="C83" s="135">
        <v>54591</v>
      </c>
      <c r="D83" s="99"/>
      <c r="E83" s="99"/>
      <c r="F83" s="99"/>
      <c r="G83" s="95">
        <f t="shared" si="25"/>
        <v>2729.55</v>
      </c>
      <c r="H83" s="99"/>
      <c r="I83" s="99"/>
      <c r="J83" s="99"/>
      <c r="K83" s="99">
        <f t="shared" si="26"/>
        <v>1407</v>
      </c>
      <c r="L83" s="95">
        <f t="shared" si="27"/>
        <v>3.8547945205479452</v>
      </c>
      <c r="M83" s="101">
        <v>9988.65</v>
      </c>
      <c r="N83" s="96">
        <f t="shared" si="28"/>
        <v>44602.35</v>
      </c>
      <c r="O83" s="119">
        <f t="shared" si="29"/>
        <v>16.145205479452056</v>
      </c>
      <c r="P83" s="95">
        <f t="shared" si="30"/>
        <v>41872.799999999996</v>
      </c>
      <c r="Q83" s="96">
        <f t="shared" si="24"/>
        <v>2593.5129815034784</v>
      </c>
      <c r="R83" s="96">
        <f t="shared" si="31"/>
        <v>42008.837018496517</v>
      </c>
      <c r="S83" s="101">
        <v>-2593.0700000000002</v>
      </c>
      <c r="T83" s="104">
        <f t="shared" si="32"/>
        <v>-0.44298150347822229</v>
      </c>
      <c r="U83" s="136"/>
    </row>
    <row r="84" spans="1:21" ht="15.75">
      <c r="A84" s="133" t="s">
        <v>102</v>
      </c>
      <c r="B84" s="134">
        <v>42522</v>
      </c>
      <c r="C84" s="135">
        <v>730880</v>
      </c>
      <c r="D84" s="99"/>
      <c r="E84" s="99"/>
      <c r="F84" s="99"/>
      <c r="G84" s="95">
        <f t="shared" si="25"/>
        <v>36544</v>
      </c>
      <c r="H84" s="99"/>
      <c r="I84" s="99"/>
      <c r="J84" s="99"/>
      <c r="K84" s="99">
        <f t="shared" si="26"/>
        <v>1399</v>
      </c>
      <c r="L84" s="95">
        <f t="shared" si="27"/>
        <v>3.8328767123287673</v>
      </c>
      <c r="M84" s="101">
        <v>132970.1</v>
      </c>
      <c r="N84" s="96">
        <f t="shared" si="28"/>
        <v>597909.9</v>
      </c>
      <c r="O84" s="119">
        <f t="shared" si="29"/>
        <v>16.167123287671231</v>
      </c>
      <c r="P84" s="95">
        <f t="shared" si="30"/>
        <v>561365.9</v>
      </c>
      <c r="Q84" s="96">
        <f t="shared" si="24"/>
        <v>34722.683189289957</v>
      </c>
      <c r="R84" s="96">
        <f t="shared" si="31"/>
        <v>563187.21681071003</v>
      </c>
      <c r="S84" s="101">
        <v>-34716.800000000003</v>
      </c>
      <c r="T84" s="104">
        <f t="shared" si="32"/>
        <v>-5.8831892899543163</v>
      </c>
      <c r="U84" s="136"/>
    </row>
    <row r="85" spans="1:21" ht="15.75">
      <c r="A85" s="133" t="s">
        <v>103</v>
      </c>
      <c r="B85" s="134">
        <v>42548</v>
      </c>
      <c r="C85" s="135">
        <v>286522</v>
      </c>
      <c r="D85" s="99"/>
      <c r="E85" s="99"/>
      <c r="F85" s="99"/>
      <c r="G85" s="95">
        <f t="shared" si="25"/>
        <v>14326.1</v>
      </c>
      <c r="H85" s="99"/>
      <c r="I85" s="99"/>
      <c r="J85" s="99"/>
      <c r="K85" s="99">
        <f t="shared" si="26"/>
        <v>1373</v>
      </c>
      <c r="L85" s="95">
        <f t="shared" si="27"/>
        <v>3.7616438356164386</v>
      </c>
      <c r="M85" s="101">
        <v>51157.919999999998</v>
      </c>
      <c r="N85" s="96">
        <f t="shared" si="28"/>
        <v>235364.08000000002</v>
      </c>
      <c r="O85" s="119">
        <f t="shared" si="29"/>
        <v>16.238356164383561</v>
      </c>
      <c r="P85" s="95">
        <f t="shared" si="30"/>
        <v>221037.98</v>
      </c>
      <c r="Q85" s="96">
        <f t="shared" si="24"/>
        <v>13612.090889151343</v>
      </c>
      <c r="R85" s="96">
        <f t="shared" si="31"/>
        <v>221751.98911084866</v>
      </c>
      <c r="S85" s="101">
        <v>-13609.8</v>
      </c>
      <c r="T85" s="104">
        <f t="shared" si="32"/>
        <v>-2.2908891513434355</v>
      </c>
      <c r="U85" s="136"/>
    </row>
    <row r="86" spans="1:21" ht="15.75">
      <c r="A86" s="133" t="s">
        <v>104</v>
      </c>
      <c r="B86" s="134">
        <v>42551</v>
      </c>
      <c r="C86" s="135">
        <v>17117</v>
      </c>
      <c r="D86" s="99"/>
      <c r="E86" s="99"/>
      <c r="F86" s="99"/>
      <c r="G86" s="95">
        <f t="shared" si="25"/>
        <v>855.85</v>
      </c>
      <c r="H86" s="99"/>
      <c r="I86" s="99"/>
      <c r="J86" s="99"/>
      <c r="K86" s="99">
        <f t="shared" si="26"/>
        <v>1370</v>
      </c>
      <c r="L86" s="95">
        <f t="shared" si="27"/>
        <v>3.7534246575342465</v>
      </c>
      <c r="M86" s="101">
        <v>3049.53</v>
      </c>
      <c r="N86" s="96">
        <f t="shared" si="28"/>
        <v>14067.47</v>
      </c>
      <c r="O86" s="119">
        <f t="shared" si="29"/>
        <v>16.246575342465754</v>
      </c>
      <c r="P86" s="95">
        <f t="shared" si="30"/>
        <v>13211.619999999999</v>
      </c>
      <c r="Q86" s="96">
        <f t="shared" si="24"/>
        <v>813.19414839797628</v>
      </c>
      <c r="R86" s="96">
        <f t="shared" si="31"/>
        <v>13254.275851602022</v>
      </c>
      <c r="S86" s="101">
        <v>-813.06</v>
      </c>
      <c r="T86" s="104">
        <f t="shared" si="32"/>
        <v>-0.13414839797633249</v>
      </c>
      <c r="U86" s="136"/>
    </row>
    <row r="87" spans="1:21" ht="15.75">
      <c r="A87" s="133" t="s">
        <v>102</v>
      </c>
      <c r="B87" s="134">
        <v>42552</v>
      </c>
      <c r="C87" s="135">
        <v>899446</v>
      </c>
      <c r="D87" s="99"/>
      <c r="E87" s="99"/>
      <c r="F87" s="99"/>
      <c r="G87" s="95">
        <f t="shared" si="25"/>
        <v>44972.3</v>
      </c>
      <c r="H87" s="99"/>
      <c r="I87" s="99"/>
      <c r="J87" s="99"/>
      <c r="K87" s="99">
        <f t="shared" si="26"/>
        <v>1369</v>
      </c>
      <c r="L87" s="95">
        <f t="shared" si="27"/>
        <v>3.7506849315068491</v>
      </c>
      <c r="M87" s="101">
        <v>160126.04</v>
      </c>
      <c r="N87" s="96">
        <f t="shared" si="28"/>
        <v>739319.96</v>
      </c>
      <c r="O87" s="119">
        <f t="shared" si="29"/>
        <v>16.24931506849315</v>
      </c>
      <c r="P87" s="95">
        <f t="shared" si="30"/>
        <v>694347.65999999992</v>
      </c>
      <c r="Q87" s="96">
        <f t="shared" si="24"/>
        <v>42730.887860394534</v>
      </c>
      <c r="R87" s="96">
        <f t="shared" si="31"/>
        <v>696589.07213960541</v>
      </c>
      <c r="S87" s="101">
        <v>-42723.69</v>
      </c>
      <c r="T87" s="104">
        <f t="shared" si="32"/>
        <v>-7.1978603945317445</v>
      </c>
      <c r="U87" s="136"/>
    </row>
    <row r="88" spans="1:21" ht="15.75">
      <c r="A88" s="133" t="s">
        <v>104</v>
      </c>
      <c r="B88" s="134">
        <v>42557</v>
      </c>
      <c r="C88" s="135">
        <v>16300</v>
      </c>
      <c r="D88" s="99"/>
      <c r="E88" s="99"/>
      <c r="F88" s="99"/>
      <c r="G88" s="95">
        <f t="shared" si="25"/>
        <v>815</v>
      </c>
      <c r="H88" s="99"/>
      <c r="I88" s="99"/>
      <c r="J88" s="99"/>
      <c r="K88" s="99">
        <f t="shared" si="26"/>
        <v>1364</v>
      </c>
      <c r="L88" s="95">
        <f t="shared" si="27"/>
        <v>3.7369863013698632</v>
      </c>
      <c r="M88" s="101">
        <v>2891.24</v>
      </c>
      <c r="N88" s="96">
        <f t="shared" si="28"/>
        <v>13408.76</v>
      </c>
      <c r="O88" s="119">
        <f t="shared" si="29"/>
        <v>16.263013698630136</v>
      </c>
      <c r="P88" s="95">
        <f t="shared" si="30"/>
        <v>12593.76</v>
      </c>
      <c r="Q88" s="96">
        <f t="shared" si="24"/>
        <v>774.38045822102436</v>
      </c>
      <c r="R88" s="96">
        <f t="shared" si="31"/>
        <v>12634.379541778975</v>
      </c>
      <c r="S88" s="101">
        <v>-774.25</v>
      </c>
      <c r="T88" s="104">
        <f t="shared" si="32"/>
        <v>-0.13045822102435523</v>
      </c>
      <c r="U88" s="136"/>
    </row>
    <row r="89" spans="1:21" ht="15.75">
      <c r="A89" s="133" t="s">
        <v>105</v>
      </c>
      <c r="B89" s="134">
        <v>42563</v>
      </c>
      <c r="C89" s="135">
        <v>190000</v>
      </c>
      <c r="D89" s="99"/>
      <c r="E89" s="99"/>
      <c r="F89" s="99"/>
      <c r="G89" s="95">
        <f t="shared" si="25"/>
        <v>9500</v>
      </c>
      <c r="H89" s="99"/>
      <c r="I89" s="99"/>
      <c r="J89" s="99"/>
      <c r="K89" s="99">
        <f t="shared" si="26"/>
        <v>1358</v>
      </c>
      <c r="L89" s="95">
        <f t="shared" si="27"/>
        <v>3.7205479452054795</v>
      </c>
      <c r="M89" s="101">
        <v>33553.22</v>
      </c>
      <c r="N89" s="96">
        <f t="shared" si="28"/>
        <v>156446.78</v>
      </c>
      <c r="O89" s="119">
        <f t="shared" si="29"/>
        <v>16.279452054794522</v>
      </c>
      <c r="P89" s="95">
        <f t="shared" si="30"/>
        <v>146946.78</v>
      </c>
      <c r="Q89" s="96">
        <f t="shared" si="24"/>
        <v>9026.5187983843807</v>
      </c>
      <c r="R89" s="96">
        <f t="shared" si="31"/>
        <v>147420.26120161562</v>
      </c>
      <c r="S89" s="101">
        <v>-9025</v>
      </c>
      <c r="T89" s="104">
        <f t="shared" si="32"/>
        <v>-1.518798384380716</v>
      </c>
      <c r="U89" s="136"/>
    </row>
    <row r="90" spans="1:21" ht="15.75">
      <c r="A90" s="133" t="s">
        <v>106</v>
      </c>
      <c r="B90" s="134">
        <v>42576</v>
      </c>
      <c r="C90" s="135">
        <v>180186</v>
      </c>
      <c r="D90" s="99"/>
      <c r="E90" s="99"/>
      <c r="F90" s="99"/>
      <c r="G90" s="95">
        <f t="shared" si="25"/>
        <v>9009.3000000000011</v>
      </c>
      <c r="H90" s="99"/>
      <c r="I90" s="99"/>
      <c r="J90" s="99"/>
      <c r="K90" s="99">
        <f t="shared" si="26"/>
        <v>1345</v>
      </c>
      <c r="L90" s="95">
        <f t="shared" si="27"/>
        <v>3.6849315068493151</v>
      </c>
      <c r="M90" s="101">
        <v>31515.279999999999</v>
      </c>
      <c r="N90" s="96">
        <f t="shared" si="28"/>
        <v>148670.72</v>
      </c>
      <c r="O90" s="119">
        <f t="shared" si="29"/>
        <v>16.315068493150683</v>
      </c>
      <c r="P90" s="95">
        <f t="shared" si="30"/>
        <v>139661.42000000001</v>
      </c>
      <c r="Q90" s="96">
        <f t="shared" si="24"/>
        <v>8560.2717548278779</v>
      </c>
      <c r="R90" s="96">
        <f t="shared" si="31"/>
        <v>140110.44824517213</v>
      </c>
      <c r="S90" s="101">
        <v>-8558.84</v>
      </c>
      <c r="T90" s="104">
        <f t="shared" si="32"/>
        <v>-1.4317548278777394</v>
      </c>
      <c r="U90" s="136"/>
    </row>
    <row r="91" spans="1:21" ht="15.75">
      <c r="A91" s="133" t="s">
        <v>104</v>
      </c>
      <c r="B91" s="134">
        <v>42577</v>
      </c>
      <c r="C91" s="135">
        <v>50952.38</v>
      </c>
      <c r="D91" s="99"/>
      <c r="E91" s="99"/>
      <c r="F91" s="99"/>
      <c r="G91" s="95">
        <f t="shared" si="25"/>
        <v>2547.6190000000001</v>
      </c>
      <c r="H91" s="99"/>
      <c r="I91" s="99"/>
      <c r="J91" s="99"/>
      <c r="K91" s="99">
        <f t="shared" si="26"/>
        <v>1344</v>
      </c>
      <c r="L91" s="95">
        <f t="shared" si="27"/>
        <v>3.6821917808219178</v>
      </c>
      <c r="M91" s="101">
        <v>8905.15</v>
      </c>
      <c r="N91" s="96">
        <f t="shared" si="28"/>
        <v>42047.229999999996</v>
      </c>
      <c r="O91" s="119">
        <f t="shared" si="29"/>
        <v>16.317808219178083</v>
      </c>
      <c r="P91" s="95">
        <f t="shared" si="30"/>
        <v>39499.610999999997</v>
      </c>
      <c r="Q91" s="96">
        <f t="shared" si="24"/>
        <v>2420.644394728005</v>
      </c>
      <c r="R91" s="96">
        <f t="shared" si="31"/>
        <v>39626.58560527199</v>
      </c>
      <c r="S91" s="101">
        <v>-2420.2399999999998</v>
      </c>
      <c r="T91" s="104">
        <f t="shared" si="32"/>
        <v>-0.40439472800517251</v>
      </c>
      <c r="U91" s="136"/>
    </row>
    <row r="92" spans="1:21" ht="15.75">
      <c r="A92" s="133" t="s">
        <v>107</v>
      </c>
      <c r="B92" s="134">
        <v>42578</v>
      </c>
      <c r="C92" s="135">
        <v>114615</v>
      </c>
      <c r="D92" s="99"/>
      <c r="E92" s="99"/>
      <c r="F92" s="99"/>
      <c r="G92" s="95">
        <f t="shared" si="25"/>
        <v>5730.75</v>
      </c>
      <c r="H92" s="99"/>
      <c r="I92" s="99"/>
      <c r="J92" s="99"/>
      <c r="K92" s="99">
        <f t="shared" si="26"/>
        <v>1343</v>
      </c>
      <c r="L92" s="95">
        <f t="shared" si="27"/>
        <v>3.6794520547945204</v>
      </c>
      <c r="M92" s="101">
        <v>20016.8</v>
      </c>
      <c r="N92" s="96">
        <f t="shared" si="28"/>
        <v>94598.2</v>
      </c>
      <c r="O92" s="119">
        <f t="shared" si="29"/>
        <v>16.32054794520548</v>
      </c>
      <c r="P92" s="95">
        <f t="shared" si="30"/>
        <v>88867.45</v>
      </c>
      <c r="Q92" s="96">
        <f t="shared" si="24"/>
        <v>5445.1266157461805</v>
      </c>
      <c r="R92" s="96">
        <f t="shared" si="31"/>
        <v>89153.073384253817</v>
      </c>
      <c r="S92" s="101">
        <v>-5444.21</v>
      </c>
      <c r="T92" s="104">
        <f t="shared" si="32"/>
        <v>-0.9166157461804687</v>
      </c>
      <c r="U92" s="136"/>
    </row>
    <row r="93" spans="1:21" ht="15.75">
      <c r="A93" s="133" t="s">
        <v>106</v>
      </c>
      <c r="B93" s="134">
        <v>42587</v>
      </c>
      <c r="C93" s="135">
        <v>7761</v>
      </c>
      <c r="D93" s="99"/>
      <c r="E93" s="99"/>
      <c r="F93" s="99"/>
      <c r="G93" s="95">
        <f t="shared" si="25"/>
        <v>388.05</v>
      </c>
      <c r="H93" s="99"/>
      <c r="I93" s="99"/>
      <c r="J93" s="99"/>
      <c r="K93" s="99">
        <f t="shared" si="26"/>
        <v>1334</v>
      </c>
      <c r="L93" s="95">
        <f t="shared" si="27"/>
        <v>3.6547945205479451</v>
      </c>
      <c r="M93" s="101">
        <v>1346.32</v>
      </c>
      <c r="N93" s="96">
        <f t="shared" si="28"/>
        <v>6414.68</v>
      </c>
      <c r="O93" s="119">
        <f t="shared" si="29"/>
        <v>16.345205479452055</v>
      </c>
      <c r="P93" s="95">
        <f t="shared" si="30"/>
        <v>6026.63</v>
      </c>
      <c r="Q93" s="96">
        <f t="shared" si="24"/>
        <v>368.70934461951055</v>
      </c>
      <c r="R93" s="96">
        <f t="shared" si="31"/>
        <v>6045.9706553804899</v>
      </c>
      <c r="S93" s="101">
        <v>-368.65</v>
      </c>
      <c r="T93" s="104">
        <f t="shared" si="32"/>
        <v>-5.9344619510568464E-2</v>
      </c>
      <c r="U93" s="136"/>
    </row>
    <row r="94" spans="1:21" ht="15.75">
      <c r="A94" s="133" t="s">
        <v>105</v>
      </c>
      <c r="B94" s="134">
        <v>42591</v>
      </c>
      <c r="C94" s="135">
        <v>285000</v>
      </c>
      <c r="D94" s="99"/>
      <c r="E94" s="99"/>
      <c r="F94" s="99"/>
      <c r="G94" s="95">
        <f t="shared" si="25"/>
        <v>14250</v>
      </c>
      <c r="H94" s="99"/>
      <c r="I94" s="99"/>
      <c r="J94" s="99"/>
      <c r="K94" s="99">
        <f t="shared" si="26"/>
        <v>1330</v>
      </c>
      <c r="L94" s="95">
        <f t="shared" si="27"/>
        <v>3.6438356164383561</v>
      </c>
      <c r="M94" s="101">
        <v>49291.34</v>
      </c>
      <c r="N94" s="96">
        <f t="shared" si="28"/>
        <v>235708.66</v>
      </c>
      <c r="O94" s="119">
        <f t="shared" si="29"/>
        <v>16.356164383561644</v>
      </c>
      <c r="P94" s="95">
        <f t="shared" si="30"/>
        <v>221458.66</v>
      </c>
      <c r="Q94" s="96">
        <f t="shared" si="24"/>
        <v>13539.767319932998</v>
      </c>
      <c r="R94" s="96">
        <f t="shared" si="31"/>
        <v>222168.89268006702</v>
      </c>
      <c r="S94" s="101">
        <v>-13537.5</v>
      </c>
      <c r="T94" s="104">
        <f t="shared" si="32"/>
        <v>-2.2673199329983618</v>
      </c>
      <c r="U94" s="136"/>
    </row>
    <row r="95" spans="1:21" ht="15.75">
      <c r="A95" s="133" t="s">
        <v>108</v>
      </c>
      <c r="B95" s="134">
        <v>42608</v>
      </c>
      <c r="C95" s="135">
        <v>20834.400000000001</v>
      </c>
      <c r="D95" s="99"/>
      <c r="E95" s="99"/>
      <c r="F95" s="99"/>
      <c r="G95" s="95">
        <f t="shared" si="25"/>
        <v>1041.72</v>
      </c>
      <c r="H95" s="99"/>
      <c r="I95" s="99"/>
      <c r="J95" s="99"/>
      <c r="K95" s="99">
        <f t="shared" si="26"/>
        <v>1313</v>
      </c>
      <c r="L95" s="95">
        <f t="shared" si="27"/>
        <v>3.5972602739726027</v>
      </c>
      <c r="M95" s="101">
        <v>3557.26</v>
      </c>
      <c r="N95" s="96">
        <f t="shared" si="28"/>
        <v>17277.14</v>
      </c>
      <c r="O95" s="119">
        <f t="shared" si="29"/>
        <v>16.402739726027399</v>
      </c>
      <c r="P95" s="95">
        <f t="shared" si="30"/>
        <v>16235.42</v>
      </c>
      <c r="Q95" s="96">
        <f t="shared" si="24"/>
        <v>989.79928177718386</v>
      </c>
      <c r="R95" s="96">
        <f t="shared" si="31"/>
        <v>16287.340718222815</v>
      </c>
      <c r="S95" s="101">
        <v>-989.63</v>
      </c>
      <c r="T95" s="104">
        <f t="shared" si="32"/>
        <v>-0.16928177718386905</v>
      </c>
      <c r="U95" s="136"/>
    </row>
    <row r="96" spans="1:21" ht="15.75">
      <c r="A96" s="133" t="s">
        <v>104</v>
      </c>
      <c r="B96" s="134">
        <v>42627</v>
      </c>
      <c r="C96" s="135">
        <v>112857.14</v>
      </c>
      <c r="D96" s="99"/>
      <c r="E96" s="99"/>
      <c r="F96" s="99"/>
      <c r="G96" s="95">
        <f t="shared" si="25"/>
        <v>5642.857</v>
      </c>
      <c r="H96" s="99"/>
      <c r="I96" s="99"/>
      <c r="J96" s="99"/>
      <c r="K96" s="99">
        <f t="shared" si="26"/>
        <v>1294</v>
      </c>
      <c r="L96" s="95">
        <f t="shared" si="27"/>
        <v>3.5452054794520547</v>
      </c>
      <c r="M96" s="101">
        <v>18990.14</v>
      </c>
      <c r="N96" s="96">
        <f t="shared" si="28"/>
        <v>93867</v>
      </c>
      <c r="O96" s="119">
        <f t="shared" si="29"/>
        <v>16.454794520547946</v>
      </c>
      <c r="P96" s="95">
        <f t="shared" si="30"/>
        <v>88224.142999999996</v>
      </c>
      <c r="Q96" s="96">
        <f t="shared" si="24"/>
        <v>5361.6070920745915</v>
      </c>
      <c r="R96" s="96">
        <f t="shared" si="31"/>
        <v>88505.392907925416</v>
      </c>
      <c r="S96" s="101">
        <v>-5360.71</v>
      </c>
      <c r="T96" s="104">
        <f t="shared" si="32"/>
        <v>-0.89709207459145546</v>
      </c>
      <c r="U96" s="136"/>
    </row>
    <row r="97" spans="1:21" ht="15.75">
      <c r="A97" s="133" t="s">
        <v>109</v>
      </c>
      <c r="B97" s="134">
        <v>42705</v>
      </c>
      <c r="C97" s="135">
        <v>940858</v>
      </c>
      <c r="D97" s="99"/>
      <c r="E97" s="99"/>
      <c r="F97" s="99"/>
      <c r="G97" s="95">
        <f t="shared" si="25"/>
        <v>47042.9</v>
      </c>
      <c r="H97" s="99"/>
      <c r="I97" s="99"/>
      <c r="J97" s="99"/>
      <c r="K97" s="99">
        <f t="shared" si="26"/>
        <v>1216</v>
      </c>
      <c r="L97" s="95">
        <f t="shared" si="27"/>
        <v>3.3315068493150686</v>
      </c>
      <c r="M97" s="101">
        <v>148765.12</v>
      </c>
      <c r="N97" s="96">
        <f t="shared" si="28"/>
        <v>792092.88</v>
      </c>
      <c r="O97" s="119">
        <f t="shared" si="29"/>
        <v>16.668493150684931</v>
      </c>
      <c r="P97" s="95">
        <f t="shared" si="30"/>
        <v>745049.98</v>
      </c>
      <c r="Q97" s="96">
        <f t="shared" si="24"/>
        <v>44698.100378040763</v>
      </c>
      <c r="R97" s="96">
        <f t="shared" si="31"/>
        <v>747394.7796219592</v>
      </c>
      <c r="S97" s="101">
        <v>-44690.76</v>
      </c>
      <c r="T97" s="104">
        <f t="shared" si="32"/>
        <v>-7.3403780407606973</v>
      </c>
      <c r="U97" s="136"/>
    </row>
    <row r="98" spans="1:21" ht="15.75">
      <c r="A98" s="133" t="s">
        <v>109</v>
      </c>
      <c r="B98" s="134">
        <v>42710</v>
      </c>
      <c r="C98" s="135">
        <v>1597269</v>
      </c>
      <c r="D98" s="99"/>
      <c r="E98" s="99"/>
      <c r="F98" s="99"/>
      <c r="G98" s="95">
        <f t="shared" si="25"/>
        <v>79863.450000000012</v>
      </c>
      <c r="H98" s="99"/>
      <c r="I98" s="99"/>
      <c r="J98" s="99"/>
      <c r="K98" s="99">
        <f t="shared" si="26"/>
        <v>1211</v>
      </c>
      <c r="L98" s="95">
        <f t="shared" si="27"/>
        <v>3.3178082191780822</v>
      </c>
      <c r="M98" s="101">
        <v>251515.17</v>
      </c>
      <c r="N98" s="96">
        <f t="shared" si="28"/>
        <v>1345753.83</v>
      </c>
      <c r="O98" s="119">
        <f t="shared" si="29"/>
        <v>16.682191780821917</v>
      </c>
      <c r="P98" s="95">
        <f t="shared" si="30"/>
        <v>1265890.3800000001</v>
      </c>
      <c r="Q98" s="96">
        <f t="shared" si="24"/>
        <v>75882.737510264429</v>
      </c>
      <c r="R98" s="96">
        <f t="shared" si="31"/>
        <v>1269871.0924897357</v>
      </c>
      <c r="S98" s="101">
        <v>-75870.28</v>
      </c>
      <c r="T98" s="104">
        <f t="shared" si="32"/>
        <v>-12.457510264430312</v>
      </c>
      <c r="U98" s="136"/>
    </row>
    <row r="99" spans="1:21" ht="15.75">
      <c r="A99" s="133" t="s">
        <v>102</v>
      </c>
      <c r="B99" s="134">
        <v>42736</v>
      </c>
      <c r="C99" s="135">
        <v>1464900</v>
      </c>
      <c r="D99" s="99"/>
      <c r="E99" s="99"/>
      <c r="F99" s="99"/>
      <c r="G99" s="95">
        <f t="shared" si="25"/>
        <v>73245</v>
      </c>
      <c r="H99" s="99"/>
      <c r="I99" s="99"/>
      <c r="J99" s="99"/>
      <c r="K99" s="99">
        <f t="shared" si="26"/>
        <v>1185</v>
      </c>
      <c r="L99" s="95">
        <f t="shared" si="27"/>
        <v>3.2465753424657535</v>
      </c>
      <c r="M99" s="101">
        <v>225715</v>
      </c>
      <c r="N99" s="96">
        <f t="shared" si="28"/>
        <v>1239185</v>
      </c>
      <c r="O99" s="119">
        <f t="shared" si="29"/>
        <v>16.753424657534246</v>
      </c>
      <c r="P99" s="95">
        <f t="shared" si="30"/>
        <v>1165940</v>
      </c>
      <c r="Q99" s="96">
        <f t="shared" si="24"/>
        <v>69594.12919051513</v>
      </c>
      <c r="R99" s="96">
        <f t="shared" si="31"/>
        <v>1169590.870809485</v>
      </c>
      <c r="S99" s="101">
        <v>-69582.75</v>
      </c>
      <c r="T99" s="104">
        <f t="shared" si="32"/>
        <v>-11.379190515130176</v>
      </c>
      <c r="U99" s="136"/>
    </row>
    <row r="100" spans="1:21" ht="15.75">
      <c r="A100" s="133" t="s">
        <v>103</v>
      </c>
      <c r="B100" s="134">
        <v>42753</v>
      </c>
      <c r="C100" s="135">
        <v>467363</v>
      </c>
      <c r="D100" s="99"/>
      <c r="E100" s="99"/>
      <c r="F100" s="99"/>
      <c r="G100" s="95">
        <f t="shared" si="25"/>
        <v>23368.15</v>
      </c>
      <c r="H100" s="99"/>
      <c r="I100" s="99"/>
      <c r="J100" s="99"/>
      <c r="K100" s="99">
        <f t="shared" si="26"/>
        <v>1168</v>
      </c>
      <c r="L100" s="95">
        <f t="shared" si="27"/>
        <v>3.2</v>
      </c>
      <c r="M100" s="101">
        <v>70978.350000000006</v>
      </c>
      <c r="N100" s="96">
        <f t="shared" si="28"/>
        <v>396384.65</v>
      </c>
      <c r="O100" s="119">
        <f t="shared" si="29"/>
        <v>16.8</v>
      </c>
      <c r="P100" s="95">
        <f t="shared" si="30"/>
        <v>373016.5</v>
      </c>
      <c r="Q100" s="96">
        <f t="shared" si="24"/>
        <v>22203.363095238095</v>
      </c>
      <c r="R100" s="96">
        <f t="shared" si="31"/>
        <v>374181.28690476192</v>
      </c>
      <c r="S100" s="101">
        <v>-22199.74</v>
      </c>
      <c r="T100" s="104">
        <f t="shared" si="32"/>
        <v>-3.6230952380938106</v>
      </c>
      <c r="U100" s="136"/>
    </row>
    <row r="101" spans="1:21" ht="15.75">
      <c r="A101" s="137" t="s">
        <v>104</v>
      </c>
      <c r="B101" s="107">
        <v>42830</v>
      </c>
      <c r="C101" s="130">
        <v>99360</v>
      </c>
      <c r="D101" s="115"/>
      <c r="E101" s="115"/>
      <c r="F101" s="115"/>
      <c r="G101" s="95">
        <f t="shared" si="25"/>
        <v>4968</v>
      </c>
      <c r="H101" s="99"/>
      <c r="I101" s="99"/>
      <c r="J101" s="99"/>
      <c r="K101" s="99">
        <f t="shared" si="26"/>
        <v>1091</v>
      </c>
      <c r="L101" s="95">
        <f t="shared" si="27"/>
        <v>2.989041095890411</v>
      </c>
      <c r="M101" s="101">
        <v>14094.15</v>
      </c>
      <c r="N101" s="96">
        <f t="shared" si="28"/>
        <v>85265.85</v>
      </c>
      <c r="O101" s="119">
        <f t="shared" si="29"/>
        <v>17.010958904109589</v>
      </c>
      <c r="P101" s="95">
        <f t="shared" si="30"/>
        <v>80297.850000000006</v>
      </c>
      <c r="Q101" s="96">
        <f t="shared" si="24"/>
        <v>4720.3600016105656</v>
      </c>
      <c r="R101" s="96">
        <f t="shared" si="31"/>
        <v>80545.489998389443</v>
      </c>
      <c r="S101" s="101">
        <v>-4719.6000000000004</v>
      </c>
      <c r="T101" s="104">
        <f t="shared" si="32"/>
        <v>-0.76000161056526849</v>
      </c>
      <c r="U101" s="138"/>
    </row>
    <row r="102" spans="1:21" ht="15.75">
      <c r="A102" s="137" t="s">
        <v>110</v>
      </c>
      <c r="B102" s="107">
        <v>42842</v>
      </c>
      <c r="C102" s="130">
        <v>110496</v>
      </c>
      <c r="D102" s="115"/>
      <c r="E102" s="115"/>
      <c r="F102" s="115"/>
      <c r="G102" s="95">
        <f t="shared" si="25"/>
        <v>5524.8</v>
      </c>
      <c r="H102" s="99"/>
      <c r="I102" s="99"/>
      <c r="J102" s="99"/>
      <c r="K102" s="99">
        <f t="shared" si="26"/>
        <v>1079</v>
      </c>
      <c r="L102" s="95">
        <f t="shared" si="27"/>
        <v>2.956164383561644</v>
      </c>
      <c r="M102" s="101">
        <v>15501.23</v>
      </c>
      <c r="N102" s="96">
        <f t="shared" si="28"/>
        <v>94994.77</v>
      </c>
      <c r="O102" s="119">
        <f t="shared" si="29"/>
        <v>17.043835616438358</v>
      </c>
      <c r="P102" s="95">
        <f t="shared" si="30"/>
        <v>89469.97</v>
      </c>
      <c r="Q102" s="96">
        <f t="shared" si="24"/>
        <v>5249.4034801478856</v>
      </c>
      <c r="R102" s="96">
        <f t="shared" si="31"/>
        <v>89745.366519852119</v>
      </c>
      <c r="S102" s="101">
        <v>-5248.56</v>
      </c>
      <c r="T102" s="104">
        <f t="shared" si="32"/>
        <v>-0.84348014788520231</v>
      </c>
      <c r="U102" s="138"/>
    </row>
    <row r="103" spans="1:21" ht="15.75">
      <c r="A103" s="137" t="s">
        <v>111</v>
      </c>
      <c r="B103" s="107">
        <v>42870</v>
      </c>
      <c r="C103" s="130">
        <v>1900000</v>
      </c>
      <c r="D103" s="115"/>
      <c r="E103" s="115"/>
      <c r="F103" s="115"/>
      <c r="G103" s="95">
        <f t="shared" si="25"/>
        <v>95000</v>
      </c>
      <c r="H103" s="99"/>
      <c r="I103" s="99"/>
      <c r="J103" s="99"/>
      <c r="K103" s="99">
        <f t="shared" si="26"/>
        <v>1051</v>
      </c>
      <c r="L103" s="95">
        <f t="shared" si="27"/>
        <v>2.8794520547945206</v>
      </c>
      <c r="M103" s="101">
        <v>259623.29</v>
      </c>
      <c r="N103" s="96">
        <f t="shared" si="28"/>
        <v>1640376.71</v>
      </c>
      <c r="O103" s="119">
        <f t="shared" si="29"/>
        <v>17.12054794520548</v>
      </c>
      <c r="P103" s="95">
        <f t="shared" si="30"/>
        <v>1545376.71</v>
      </c>
      <c r="Q103" s="96">
        <f t="shared" si="24"/>
        <v>90264.44217474795</v>
      </c>
      <c r="R103" s="96">
        <f t="shared" si="31"/>
        <v>1550112.2678252519</v>
      </c>
      <c r="S103" s="101">
        <v>-90250</v>
      </c>
      <c r="T103" s="104">
        <f t="shared" si="32"/>
        <v>-14.442174747950048</v>
      </c>
      <c r="U103" s="138"/>
    </row>
    <row r="104" spans="1:21" ht="15.75">
      <c r="A104" s="137" t="s">
        <v>104</v>
      </c>
      <c r="B104" s="107">
        <v>42908</v>
      </c>
      <c r="C104" s="130">
        <v>41825</v>
      </c>
      <c r="D104" s="115"/>
      <c r="E104" s="115"/>
      <c r="F104" s="115"/>
      <c r="G104" s="95">
        <f t="shared" si="25"/>
        <v>2091.25</v>
      </c>
      <c r="H104" s="99"/>
      <c r="I104" s="99"/>
      <c r="J104" s="99"/>
      <c r="K104" s="99">
        <f t="shared" si="26"/>
        <v>1013</v>
      </c>
      <c r="L104" s="95">
        <f t="shared" si="27"/>
        <v>2.7753424657534245</v>
      </c>
      <c r="M104" s="101">
        <v>5508.3</v>
      </c>
      <c r="N104" s="96">
        <f t="shared" si="28"/>
        <v>36316.699999999997</v>
      </c>
      <c r="O104" s="119">
        <f t="shared" si="29"/>
        <v>17.224657534246575</v>
      </c>
      <c r="P104" s="95">
        <f t="shared" si="30"/>
        <v>34225.449999999997</v>
      </c>
      <c r="Q104" s="96">
        <f t="shared" si="24"/>
        <v>1987.0032209320821</v>
      </c>
      <c r="R104" s="96">
        <f t="shared" si="31"/>
        <v>34329.696779067912</v>
      </c>
      <c r="S104" s="101">
        <v>-1986.69</v>
      </c>
      <c r="T104" s="104">
        <f t="shared" si="32"/>
        <v>-0.31322093208200386</v>
      </c>
      <c r="U104" s="138"/>
    </row>
    <row r="105" spans="1:21" ht="15.75">
      <c r="A105" s="137" t="s">
        <v>112</v>
      </c>
      <c r="B105" s="107">
        <v>42943</v>
      </c>
      <c r="C105" s="130">
        <v>725000</v>
      </c>
      <c r="D105" s="115"/>
      <c r="E105" s="115"/>
      <c r="F105" s="115"/>
      <c r="G105" s="95">
        <f t="shared" si="25"/>
        <v>36250</v>
      </c>
      <c r="H105" s="99"/>
      <c r="I105" s="99"/>
      <c r="J105" s="99"/>
      <c r="K105" s="99">
        <f t="shared" si="26"/>
        <v>978</v>
      </c>
      <c r="L105" s="95">
        <f t="shared" si="27"/>
        <v>2.6794520547945204</v>
      </c>
      <c r="M105" s="101">
        <v>92179.28</v>
      </c>
      <c r="N105" s="96">
        <f t="shared" si="28"/>
        <v>632820.72</v>
      </c>
      <c r="O105" s="119">
        <f t="shared" si="29"/>
        <v>17.32054794520548</v>
      </c>
      <c r="P105" s="95">
        <f t="shared" si="30"/>
        <v>596570.72</v>
      </c>
      <c r="Q105" s="96">
        <f t="shared" si="24"/>
        <v>34442.947295159756</v>
      </c>
      <c r="R105" s="96">
        <f t="shared" si="31"/>
        <v>598377.77270484017</v>
      </c>
      <c r="S105" s="101">
        <v>-34437.5</v>
      </c>
      <c r="T105" s="104">
        <f t="shared" si="32"/>
        <v>-5.4472951597563224</v>
      </c>
      <c r="U105" s="138"/>
    </row>
    <row r="106" spans="1:21" ht="15.75">
      <c r="A106" s="137" t="s">
        <v>113</v>
      </c>
      <c r="B106" s="107">
        <v>42983</v>
      </c>
      <c r="C106" s="130">
        <v>19000</v>
      </c>
      <c r="D106" s="115"/>
      <c r="E106" s="115"/>
      <c r="F106" s="115"/>
      <c r="G106" s="95">
        <f t="shared" si="25"/>
        <v>950</v>
      </c>
      <c r="H106" s="99"/>
      <c r="I106" s="99"/>
      <c r="J106" s="99"/>
      <c r="K106" s="99">
        <f t="shared" si="26"/>
        <v>938</v>
      </c>
      <c r="L106" s="95">
        <f t="shared" si="27"/>
        <v>2.56986301369863</v>
      </c>
      <c r="M106" s="101">
        <v>2316.83</v>
      </c>
      <c r="N106" s="96">
        <f t="shared" si="28"/>
        <v>16683.169999999998</v>
      </c>
      <c r="O106" s="119">
        <f t="shared" si="29"/>
        <v>17.43013698630137</v>
      </c>
      <c r="P106" s="95">
        <f t="shared" si="30"/>
        <v>15733.169999999998</v>
      </c>
      <c r="Q106" s="96">
        <f t="shared" si="24"/>
        <v>902.64178717384459</v>
      </c>
      <c r="R106" s="96">
        <f t="shared" si="31"/>
        <v>15780.528212826153</v>
      </c>
      <c r="S106" s="101">
        <v>-902.5</v>
      </c>
      <c r="T106" s="104">
        <f t="shared" si="32"/>
        <v>-0.14178717384459105</v>
      </c>
      <c r="U106" s="138"/>
    </row>
    <row r="107" spans="1:21" ht="15.75">
      <c r="A107" s="137" t="s">
        <v>114</v>
      </c>
      <c r="B107" s="107">
        <v>43173</v>
      </c>
      <c r="C107" s="130">
        <v>191510</v>
      </c>
      <c r="D107" s="115"/>
      <c r="E107" s="115"/>
      <c r="F107" s="115"/>
      <c r="G107" s="95">
        <f t="shared" si="25"/>
        <v>9575.5</v>
      </c>
      <c r="H107" s="99"/>
      <c r="I107" s="99"/>
      <c r="J107" s="99"/>
      <c r="K107" s="99">
        <f t="shared" si="26"/>
        <v>748</v>
      </c>
      <c r="L107" s="95">
        <f t="shared" si="27"/>
        <v>2.0493150684931507</v>
      </c>
      <c r="M107" s="101">
        <v>18617.14</v>
      </c>
      <c r="N107" s="96">
        <f t="shared" si="28"/>
        <v>172892.86</v>
      </c>
      <c r="O107" s="119">
        <f t="shared" si="29"/>
        <v>17.950684931506849</v>
      </c>
      <c r="P107" s="95">
        <f t="shared" si="30"/>
        <v>163317.35999999999</v>
      </c>
      <c r="Q107" s="96">
        <f t="shared" si="24"/>
        <v>9098.113003663002</v>
      </c>
      <c r="R107" s="96">
        <f t="shared" si="31"/>
        <v>163794.74699633699</v>
      </c>
      <c r="S107" s="101">
        <v>-9096.73</v>
      </c>
      <c r="T107" s="104">
        <f t="shared" si="32"/>
        <v>-1.3830036630024551</v>
      </c>
      <c r="U107" s="138"/>
    </row>
    <row r="108" spans="1:21">
      <c r="A108" s="106" t="s">
        <v>115</v>
      </c>
      <c r="B108" s="107">
        <v>43201</v>
      </c>
      <c r="C108" s="108">
        <v>407744</v>
      </c>
      <c r="D108" s="99"/>
      <c r="E108" s="99"/>
      <c r="F108" s="99"/>
      <c r="G108" s="95">
        <f t="shared" si="25"/>
        <v>20387.2</v>
      </c>
      <c r="H108" s="99"/>
      <c r="I108" s="99"/>
      <c r="J108" s="99"/>
      <c r="K108" s="99">
        <f t="shared" si="26"/>
        <v>720</v>
      </c>
      <c r="L108" s="95">
        <f t="shared" si="27"/>
        <v>1.9726027397260273</v>
      </c>
      <c r="M108" s="101">
        <v>38151.99</v>
      </c>
      <c r="N108" s="96">
        <f t="shared" si="28"/>
        <v>369592.01</v>
      </c>
      <c r="O108" s="119">
        <f t="shared" si="29"/>
        <v>18.027397260273972</v>
      </c>
      <c r="P108" s="95">
        <f t="shared" si="30"/>
        <v>349204.81</v>
      </c>
      <c r="Q108" s="96">
        <f t="shared" ref="Q108:Q171" si="33">P108/O108</f>
        <v>19370.783533434653</v>
      </c>
      <c r="R108" s="96">
        <f t="shared" si="31"/>
        <v>350221.22646656533</v>
      </c>
      <c r="S108" s="101">
        <v>-19367.84</v>
      </c>
      <c r="T108" s="104">
        <f t="shared" si="32"/>
        <v>-2.9435334346526361</v>
      </c>
      <c r="U108" s="139"/>
    </row>
    <row r="109" spans="1:21" ht="15.75">
      <c r="A109" s="137" t="s">
        <v>113</v>
      </c>
      <c r="B109" s="107">
        <v>43265</v>
      </c>
      <c r="C109" s="140">
        <v>24500</v>
      </c>
      <c r="D109" s="99"/>
      <c r="E109" s="99"/>
      <c r="F109" s="99"/>
      <c r="G109" s="95">
        <f t="shared" si="25"/>
        <v>1225</v>
      </c>
      <c r="H109" s="99"/>
      <c r="I109" s="99"/>
      <c r="J109" s="99"/>
      <c r="K109" s="99">
        <f t="shared" si="26"/>
        <v>656</v>
      </c>
      <c r="L109" s="95">
        <f t="shared" si="27"/>
        <v>1.7972602739726027</v>
      </c>
      <c r="M109" s="101">
        <v>2088.37</v>
      </c>
      <c r="N109" s="96">
        <f t="shared" si="28"/>
        <v>22411.63</v>
      </c>
      <c r="O109" s="119">
        <f t="shared" si="29"/>
        <v>18.202739726027396</v>
      </c>
      <c r="P109" s="95">
        <f t="shared" si="30"/>
        <v>21186.63</v>
      </c>
      <c r="Q109" s="96">
        <f t="shared" si="33"/>
        <v>1163.9253386514149</v>
      </c>
      <c r="R109" s="96">
        <f t="shared" si="31"/>
        <v>21247.704661348587</v>
      </c>
      <c r="S109" s="101">
        <v>-1163.75</v>
      </c>
      <c r="T109" s="104">
        <f t="shared" si="32"/>
        <v>-0.17533865141490423</v>
      </c>
      <c r="U109" s="138"/>
    </row>
    <row r="110" spans="1:21" ht="15.75">
      <c r="A110" s="137" t="s">
        <v>116</v>
      </c>
      <c r="B110" s="107">
        <v>43285</v>
      </c>
      <c r="C110" s="140">
        <v>105600</v>
      </c>
      <c r="D110" s="99"/>
      <c r="E110" s="99"/>
      <c r="F110" s="99"/>
      <c r="G110" s="95">
        <f t="shared" si="25"/>
        <v>5280</v>
      </c>
      <c r="H110" s="99"/>
      <c r="I110" s="99"/>
      <c r="J110" s="99"/>
      <c r="K110" s="99">
        <f t="shared" si="26"/>
        <v>636</v>
      </c>
      <c r="L110" s="95">
        <f t="shared" si="27"/>
        <v>1.7424657534246575</v>
      </c>
      <c r="M110" s="101">
        <v>8726.4699999999993</v>
      </c>
      <c r="N110" s="96">
        <f t="shared" si="28"/>
        <v>96873.53</v>
      </c>
      <c r="O110" s="119">
        <f t="shared" si="29"/>
        <v>18.257534246575343</v>
      </c>
      <c r="P110" s="95">
        <f t="shared" si="30"/>
        <v>91593.53</v>
      </c>
      <c r="Q110" s="96">
        <f t="shared" si="33"/>
        <v>5016.7524684873952</v>
      </c>
      <c r="R110" s="96">
        <f t="shared" si="31"/>
        <v>91856.777531512605</v>
      </c>
      <c r="S110" s="101">
        <v>-5016</v>
      </c>
      <c r="T110" s="104">
        <f t="shared" si="32"/>
        <v>-0.75246848739516281</v>
      </c>
      <c r="U110" s="138"/>
    </row>
    <row r="111" spans="1:21" ht="15.75">
      <c r="A111" s="137" t="s">
        <v>117</v>
      </c>
      <c r="B111" s="107">
        <v>43287</v>
      </c>
      <c r="C111" s="140">
        <v>2325000</v>
      </c>
      <c r="D111" s="99"/>
      <c r="E111" s="99"/>
      <c r="F111" s="99"/>
      <c r="G111" s="95">
        <f t="shared" si="25"/>
        <v>116250</v>
      </c>
      <c r="H111" s="99"/>
      <c r="I111" s="99"/>
      <c r="J111" s="99"/>
      <c r="K111" s="99">
        <f t="shared" si="26"/>
        <v>634</v>
      </c>
      <c r="L111" s="95">
        <f t="shared" si="27"/>
        <v>1.736986301369863</v>
      </c>
      <c r="M111" s="101">
        <v>191525.86</v>
      </c>
      <c r="N111" s="96">
        <f t="shared" si="28"/>
        <v>2133474.14</v>
      </c>
      <c r="O111" s="119">
        <f t="shared" si="29"/>
        <v>18.263013698630136</v>
      </c>
      <c r="P111" s="95">
        <f t="shared" si="30"/>
        <v>2017224.1400000001</v>
      </c>
      <c r="Q111" s="96">
        <f t="shared" si="33"/>
        <v>110454.06707170719</v>
      </c>
      <c r="R111" s="96">
        <f t="shared" si="31"/>
        <v>2023020.0729282929</v>
      </c>
      <c r="S111" s="101">
        <v>-110437.5</v>
      </c>
      <c r="T111" s="104">
        <f t="shared" si="32"/>
        <v>-16.567071707191644</v>
      </c>
      <c r="U111" s="138"/>
    </row>
    <row r="112" spans="1:21" ht="15.75">
      <c r="A112" s="137" t="s">
        <v>118</v>
      </c>
      <c r="B112" s="107">
        <v>43293</v>
      </c>
      <c r="C112" s="140">
        <v>115500</v>
      </c>
      <c r="D112" s="99"/>
      <c r="E112" s="99"/>
      <c r="F112" s="99"/>
      <c r="G112" s="95">
        <f t="shared" si="25"/>
        <v>5775</v>
      </c>
      <c r="H112" s="99"/>
      <c r="I112" s="99"/>
      <c r="J112" s="99"/>
      <c r="K112" s="99">
        <f t="shared" si="26"/>
        <v>628</v>
      </c>
      <c r="L112" s="95">
        <f t="shared" si="27"/>
        <v>1.7205479452054795</v>
      </c>
      <c r="M112" s="101">
        <v>9424.33</v>
      </c>
      <c r="N112" s="96">
        <f t="shared" si="28"/>
        <v>106075.67</v>
      </c>
      <c r="O112" s="119">
        <f t="shared" si="29"/>
        <v>18.279452054794522</v>
      </c>
      <c r="P112" s="95">
        <f t="shared" si="30"/>
        <v>100300.67</v>
      </c>
      <c r="Q112" s="96">
        <f t="shared" si="33"/>
        <v>5487.0720248800953</v>
      </c>
      <c r="R112" s="96">
        <f t="shared" si="31"/>
        <v>100588.5979751199</v>
      </c>
      <c r="S112" s="101">
        <v>-5486.25</v>
      </c>
      <c r="T112" s="104">
        <f t="shared" si="32"/>
        <v>-0.82202488009534136</v>
      </c>
      <c r="U112" s="138"/>
    </row>
    <row r="113" spans="1:21" ht="15.75">
      <c r="A113" s="137" t="s">
        <v>119</v>
      </c>
      <c r="B113" s="107">
        <v>43294</v>
      </c>
      <c r="C113" s="140">
        <v>109650.74</v>
      </c>
      <c r="D113" s="99"/>
      <c r="E113" s="99"/>
      <c r="F113" s="99"/>
      <c r="G113" s="95">
        <f t="shared" si="25"/>
        <v>5482.5370000000003</v>
      </c>
      <c r="H113" s="99"/>
      <c r="I113" s="99"/>
      <c r="J113" s="99"/>
      <c r="K113" s="99">
        <f t="shared" si="26"/>
        <v>627</v>
      </c>
      <c r="L113" s="95">
        <f t="shared" si="27"/>
        <v>1.7178082191780821</v>
      </c>
      <c r="M113" s="101">
        <v>8932.7800000000007</v>
      </c>
      <c r="N113" s="96">
        <f t="shared" si="28"/>
        <v>100717.96</v>
      </c>
      <c r="O113" s="119">
        <f t="shared" si="29"/>
        <v>18.282191780821918</v>
      </c>
      <c r="P113" s="95">
        <f t="shared" si="30"/>
        <v>95235.42300000001</v>
      </c>
      <c r="Q113" s="96">
        <f t="shared" si="33"/>
        <v>5209.1906781057996</v>
      </c>
      <c r="R113" s="96">
        <f t="shared" si="31"/>
        <v>95508.7693218942</v>
      </c>
      <c r="S113" s="101">
        <v>-5208.41</v>
      </c>
      <c r="T113" s="104">
        <f t="shared" si="32"/>
        <v>-0.78067810579977959</v>
      </c>
      <c r="U113" s="138"/>
    </row>
    <row r="114" spans="1:21" ht="15.75">
      <c r="A114" s="137" t="s">
        <v>120</v>
      </c>
      <c r="B114" s="107">
        <v>43294</v>
      </c>
      <c r="C114" s="140">
        <v>420000</v>
      </c>
      <c r="D114" s="99"/>
      <c r="E114" s="99"/>
      <c r="F114" s="99"/>
      <c r="G114" s="95">
        <f t="shared" si="25"/>
        <v>21000</v>
      </c>
      <c r="H114" s="99"/>
      <c r="I114" s="99"/>
      <c r="J114" s="99"/>
      <c r="K114" s="99">
        <f t="shared" si="26"/>
        <v>627</v>
      </c>
      <c r="L114" s="95">
        <f t="shared" si="27"/>
        <v>1.7178082191780821</v>
      </c>
      <c r="M114" s="101">
        <v>34215.620000000003</v>
      </c>
      <c r="N114" s="96">
        <f t="shared" si="28"/>
        <v>385784.38</v>
      </c>
      <c r="O114" s="119">
        <f t="shared" si="29"/>
        <v>18.282191780821918</v>
      </c>
      <c r="P114" s="95">
        <f t="shared" si="30"/>
        <v>364784.38</v>
      </c>
      <c r="Q114" s="96">
        <f t="shared" si="33"/>
        <v>19952.989465008242</v>
      </c>
      <c r="R114" s="96">
        <f t="shared" si="31"/>
        <v>365831.39053499175</v>
      </c>
      <c r="S114" s="101">
        <v>-19950</v>
      </c>
      <c r="T114" s="104">
        <f t="shared" si="32"/>
        <v>-2.989465008242405</v>
      </c>
      <c r="U114" s="138"/>
    </row>
    <row r="115" spans="1:21" ht="15.75">
      <c r="A115" s="137" t="s">
        <v>121</v>
      </c>
      <c r="B115" s="107">
        <v>43308</v>
      </c>
      <c r="C115" s="140">
        <v>1900000</v>
      </c>
      <c r="D115" s="99"/>
      <c r="E115" s="99"/>
      <c r="F115" s="99"/>
      <c r="G115" s="95">
        <f t="shared" si="25"/>
        <v>95000</v>
      </c>
      <c r="H115" s="99"/>
      <c r="I115" s="99"/>
      <c r="J115" s="99"/>
      <c r="K115" s="99">
        <f t="shared" si="26"/>
        <v>613</v>
      </c>
      <c r="L115" s="95">
        <f t="shared" si="27"/>
        <v>1.6794520547945206</v>
      </c>
      <c r="M115" s="101">
        <v>151323.29</v>
      </c>
      <c r="N115" s="96">
        <f t="shared" si="28"/>
        <v>1748676.71</v>
      </c>
      <c r="O115" s="119">
        <f t="shared" si="29"/>
        <v>18.32054794520548</v>
      </c>
      <c r="P115" s="95">
        <f t="shared" si="30"/>
        <v>1653676.71</v>
      </c>
      <c r="Q115" s="96">
        <f t="shared" si="33"/>
        <v>90263.496209062359</v>
      </c>
      <c r="R115" s="96">
        <f t="shared" si="31"/>
        <v>1658413.2137909376</v>
      </c>
      <c r="S115" s="101">
        <v>-90250</v>
      </c>
      <c r="T115" s="104">
        <f t="shared" si="32"/>
        <v>-13.496209062359412</v>
      </c>
      <c r="U115" s="138"/>
    </row>
    <row r="116" spans="1:21" ht="15.75">
      <c r="A116" s="137" t="s">
        <v>122</v>
      </c>
      <c r="B116" s="107">
        <v>43308</v>
      </c>
      <c r="C116" s="140">
        <v>212500</v>
      </c>
      <c r="D116" s="99"/>
      <c r="E116" s="99"/>
      <c r="F116" s="99"/>
      <c r="G116" s="95">
        <f t="shared" si="25"/>
        <v>10625</v>
      </c>
      <c r="H116" s="99"/>
      <c r="I116" s="99"/>
      <c r="J116" s="99"/>
      <c r="K116" s="99">
        <f t="shared" si="26"/>
        <v>613</v>
      </c>
      <c r="L116" s="95">
        <f t="shared" si="27"/>
        <v>1.6794520547945206</v>
      </c>
      <c r="M116" s="101">
        <v>16924.32</v>
      </c>
      <c r="N116" s="96">
        <f t="shared" si="28"/>
        <v>195575.67999999999</v>
      </c>
      <c r="O116" s="119">
        <f t="shared" si="29"/>
        <v>18.32054794520548</v>
      </c>
      <c r="P116" s="95">
        <f t="shared" si="30"/>
        <v>184950.68</v>
      </c>
      <c r="Q116" s="96">
        <f t="shared" si="33"/>
        <v>10095.25918947211</v>
      </c>
      <c r="R116" s="96">
        <f t="shared" si="31"/>
        <v>185480.4208105279</v>
      </c>
      <c r="S116" s="101">
        <v>-10093.75</v>
      </c>
      <c r="T116" s="104">
        <f t="shared" si="32"/>
        <v>-1.5091894721099379</v>
      </c>
      <c r="U116" s="138"/>
    </row>
    <row r="117" spans="1:21" ht="15.75">
      <c r="A117" s="137" t="s">
        <v>123</v>
      </c>
      <c r="B117" s="107">
        <v>43308</v>
      </c>
      <c r="C117" s="140">
        <v>178500</v>
      </c>
      <c r="D117" s="99"/>
      <c r="E117" s="99"/>
      <c r="F117" s="99"/>
      <c r="G117" s="95">
        <f t="shared" si="25"/>
        <v>8925</v>
      </c>
      <c r="H117" s="99"/>
      <c r="I117" s="99"/>
      <c r="J117" s="99"/>
      <c r="K117" s="99">
        <f t="shared" si="26"/>
        <v>613</v>
      </c>
      <c r="L117" s="95">
        <f t="shared" si="27"/>
        <v>1.6794520547945206</v>
      </c>
      <c r="M117" s="101">
        <v>14216.42</v>
      </c>
      <c r="N117" s="96">
        <f t="shared" si="28"/>
        <v>164283.57999999999</v>
      </c>
      <c r="O117" s="119">
        <f t="shared" si="29"/>
        <v>18.32054794520548</v>
      </c>
      <c r="P117" s="95">
        <f t="shared" si="30"/>
        <v>155358.57999999999</v>
      </c>
      <c r="Q117" s="96">
        <f t="shared" si="33"/>
        <v>8480.0181994915492</v>
      </c>
      <c r="R117" s="96">
        <f t="shared" si="31"/>
        <v>155803.56180050844</v>
      </c>
      <c r="S117" s="101">
        <v>-8478.75</v>
      </c>
      <c r="T117" s="104">
        <f t="shared" si="32"/>
        <v>-1.2681994915492396</v>
      </c>
      <c r="U117" s="138"/>
    </row>
    <row r="118" spans="1:21" ht="15.75">
      <c r="A118" s="137" t="s">
        <v>124</v>
      </c>
      <c r="B118" s="107">
        <v>43406</v>
      </c>
      <c r="C118" s="140">
        <v>198000</v>
      </c>
      <c r="D118" s="99"/>
      <c r="E118" s="99"/>
      <c r="F118" s="99"/>
      <c r="G118" s="95">
        <f t="shared" si="25"/>
        <v>9900</v>
      </c>
      <c r="H118" s="99"/>
      <c r="I118" s="99"/>
      <c r="J118" s="99"/>
      <c r="K118" s="99">
        <f t="shared" si="26"/>
        <v>515</v>
      </c>
      <c r="L118" s="95">
        <f t="shared" si="27"/>
        <v>1.4109589041095891</v>
      </c>
      <c r="M118" s="101">
        <v>13244.3</v>
      </c>
      <c r="N118" s="96">
        <f t="shared" si="28"/>
        <v>184755.7</v>
      </c>
      <c r="O118" s="119">
        <f t="shared" si="29"/>
        <v>18.589041095890412</v>
      </c>
      <c r="P118" s="95">
        <f t="shared" si="30"/>
        <v>174855.7</v>
      </c>
      <c r="Q118" s="96">
        <f t="shared" si="33"/>
        <v>9406.3862196020636</v>
      </c>
      <c r="R118" s="96">
        <f t="shared" si="31"/>
        <v>175349.31378039793</v>
      </c>
      <c r="S118" s="101">
        <v>-9405</v>
      </c>
      <c r="T118" s="104">
        <f t="shared" si="32"/>
        <v>-1.3862196020636475</v>
      </c>
      <c r="U118" s="138"/>
    </row>
    <row r="119" spans="1:21" ht="15.75">
      <c r="A119" s="137" t="s">
        <v>125</v>
      </c>
      <c r="B119" s="107">
        <v>43406</v>
      </c>
      <c r="C119" s="140">
        <v>27870</v>
      </c>
      <c r="D119" s="99"/>
      <c r="E119" s="99"/>
      <c r="F119" s="99"/>
      <c r="G119" s="95">
        <f t="shared" si="25"/>
        <v>1393.5</v>
      </c>
      <c r="H119" s="99"/>
      <c r="I119" s="99"/>
      <c r="J119" s="99"/>
      <c r="K119" s="99">
        <f t="shared" si="26"/>
        <v>515</v>
      </c>
      <c r="L119" s="95">
        <f t="shared" si="27"/>
        <v>1.4109589041095891</v>
      </c>
      <c r="M119" s="101">
        <v>1864.24</v>
      </c>
      <c r="N119" s="96">
        <f t="shared" si="28"/>
        <v>26005.759999999998</v>
      </c>
      <c r="O119" s="119">
        <f t="shared" si="29"/>
        <v>18.589041095890412</v>
      </c>
      <c r="P119" s="95">
        <f t="shared" si="30"/>
        <v>24612.26</v>
      </c>
      <c r="Q119" s="96">
        <f t="shared" si="33"/>
        <v>1324.0198820928517</v>
      </c>
      <c r="R119" s="96">
        <f t="shared" si="31"/>
        <v>24681.740117907146</v>
      </c>
      <c r="S119" s="101">
        <v>-1323.83</v>
      </c>
      <c r="T119" s="104">
        <f t="shared" si="32"/>
        <v>-0.18988209285180346</v>
      </c>
      <c r="U119" s="138"/>
    </row>
    <row r="120" spans="1:21" ht="15.75">
      <c r="A120" s="141" t="s">
        <v>102</v>
      </c>
      <c r="B120" s="142">
        <v>42494</v>
      </c>
      <c r="C120" s="135">
        <v>227094</v>
      </c>
      <c r="D120" s="121"/>
      <c r="E120" s="121"/>
      <c r="F120" s="121"/>
      <c r="G120" s="123">
        <f t="shared" si="25"/>
        <v>11354.7</v>
      </c>
      <c r="H120" s="121"/>
      <c r="I120" s="121"/>
      <c r="J120" s="121"/>
      <c r="K120" s="121">
        <f t="shared" si="26"/>
        <v>1427</v>
      </c>
      <c r="L120" s="123">
        <f t="shared" si="27"/>
        <v>3.9095890410958902</v>
      </c>
      <c r="M120" s="124">
        <v>42495.238110851795</v>
      </c>
      <c r="N120" s="125">
        <f t="shared" si="28"/>
        <v>184598.76188914821</v>
      </c>
      <c r="O120" s="126">
        <f t="shared" si="29"/>
        <v>16.090410958904108</v>
      </c>
      <c r="P120" s="123">
        <f t="shared" si="30"/>
        <v>173244.0618891482</v>
      </c>
      <c r="Q120" s="125">
        <f t="shared" si="33"/>
        <v>10766.913432579448</v>
      </c>
      <c r="R120" s="125">
        <f t="shared" si="31"/>
        <v>173831.84845656875</v>
      </c>
      <c r="S120" s="678">
        <f>+[1]Sheet1!$I$152+[1]Sheet1!$I$153+[1]Sheet1!$I$154+[1]Sheet1!$I$162+[1]Sheet1!$I$163</f>
        <v>-717767.61</v>
      </c>
      <c r="T120" s="679">
        <f>-(S120+SUM(Q120:Q232))</f>
        <v>24747.597800529678</v>
      </c>
    </row>
    <row r="121" spans="1:21" ht="15.75">
      <c r="A121" s="141" t="s">
        <v>102</v>
      </c>
      <c r="B121" s="142">
        <v>42497</v>
      </c>
      <c r="C121" s="135">
        <v>22393</v>
      </c>
      <c r="D121" s="121"/>
      <c r="E121" s="121"/>
      <c r="F121" s="121"/>
      <c r="G121" s="123">
        <f t="shared" si="25"/>
        <v>1119.6500000000001</v>
      </c>
      <c r="H121" s="121"/>
      <c r="I121" s="121"/>
      <c r="J121" s="121"/>
      <c r="K121" s="121">
        <f t="shared" si="26"/>
        <v>1424</v>
      </c>
      <c r="L121" s="123">
        <f t="shared" si="27"/>
        <v>3.9013698630136986</v>
      </c>
      <c r="M121" s="124">
        <v>4181.5015463942655</v>
      </c>
      <c r="N121" s="125">
        <f t="shared" si="28"/>
        <v>18211.498453605735</v>
      </c>
      <c r="O121" s="126">
        <f t="shared" si="29"/>
        <v>16.098630136986301</v>
      </c>
      <c r="P121" s="123">
        <f t="shared" si="30"/>
        <v>17091.848453605733</v>
      </c>
      <c r="Q121" s="125">
        <f t="shared" si="33"/>
        <v>1061.6958280405195</v>
      </c>
      <c r="R121" s="125">
        <f t="shared" si="31"/>
        <v>17149.802625565215</v>
      </c>
      <c r="S121" s="678"/>
      <c r="T121" s="679"/>
    </row>
    <row r="122" spans="1:21" ht="15.75">
      <c r="A122" s="141" t="s">
        <v>102</v>
      </c>
      <c r="B122" s="142">
        <v>42497</v>
      </c>
      <c r="C122" s="135">
        <v>162066</v>
      </c>
      <c r="D122" s="121"/>
      <c r="E122" s="121"/>
      <c r="F122" s="121"/>
      <c r="G122" s="123">
        <f t="shared" si="25"/>
        <v>8103.3</v>
      </c>
      <c r="H122" s="121"/>
      <c r="I122" s="121"/>
      <c r="J122" s="121"/>
      <c r="K122" s="121">
        <f t="shared" si="26"/>
        <v>1424</v>
      </c>
      <c r="L122" s="123">
        <f t="shared" si="27"/>
        <v>3.9013698630136986</v>
      </c>
      <c r="M122" s="124">
        <v>30262.994222209305</v>
      </c>
      <c r="N122" s="125">
        <f t="shared" si="28"/>
        <v>131803.00577779071</v>
      </c>
      <c r="O122" s="126">
        <f t="shared" si="29"/>
        <v>16.098630136986301</v>
      </c>
      <c r="P122" s="123">
        <f t="shared" si="30"/>
        <v>123699.7057777907</v>
      </c>
      <c r="Q122" s="125">
        <f t="shared" si="33"/>
        <v>7683.8653180554129</v>
      </c>
      <c r="R122" s="125">
        <f t="shared" si="31"/>
        <v>124119.1404597353</v>
      </c>
      <c r="S122" s="678"/>
      <c r="T122" s="679"/>
    </row>
    <row r="123" spans="1:21" ht="15.75">
      <c r="A123" s="141" t="s">
        <v>102</v>
      </c>
      <c r="B123" s="142">
        <v>42497</v>
      </c>
      <c r="C123" s="135">
        <v>266873</v>
      </c>
      <c r="D123" s="121"/>
      <c r="E123" s="121"/>
      <c r="F123" s="121"/>
      <c r="G123" s="123">
        <f t="shared" si="25"/>
        <v>13343.650000000001</v>
      </c>
      <c r="H123" s="121"/>
      <c r="I123" s="121"/>
      <c r="J123" s="121"/>
      <c r="K123" s="121">
        <f t="shared" si="26"/>
        <v>1424</v>
      </c>
      <c r="L123" s="123">
        <f t="shared" si="27"/>
        <v>3.9013698630136986</v>
      </c>
      <c r="M123" s="124">
        <v>49833.87050376799</v>
      </c>
      <c r="N123" s="125">
        <f t="shared" si="28"/>
        <v>217039.12949623202</v>
      </c>
      <c r="O123" s="126">
        <f t="shared" si="29"/>
        <v>16.098630136986301</v>
      </c>
      <c r="P123" s="123">
        <f t="shared" si="30"/>
        <v>203695.47949623203</v>
      </c>
      <c r="Q123" s="125">
        <f t="shared" si="33"/>
        <v>12652.969710028028</v>
      </c>
      <c r="R123" s="125">
        <f t="shared" si="31"/>
        <v>204386.15978620399</v>
      </c>
      <c r="S123" s="678"/>
      <c r="T123" s="679"/>
    </row>
    <row r="124" spans="1:21" ht="15.75">
      <c r="A124" s="141" t="s">
        <v>102</v>
      </c>
      <c r="B124" s="142">
        <v>42497</v>
      </c>
      <c r="C124" s="135">
        <v>174234</v>
      </c>
      <c r="D124" s="121"/>
      <c r="E124" s="121"/>
      <c r="F124" s="121"/>
      <c r="G124" s="123">
        <f t="shared" si="25"/>
        <v>8711.7000000000007</v>
      </c>
      <c r="H124" s="121"/>
      <c r="I124" s="121"/>
      <c r="J124" s="121"/>
      <c r="K124" s="121">
        <f t="shared" si="26"/>
        <v>1424</v>
      </c>
      <c r="L124" s="123">
        <f t="shared" si="27"/>
        <v>3.9013698630136986</v>
      </c>
      <c r="M124" s="124">
        <v>32535.155648392723</v>
      </c>
      <c r="N124" s="125">
        <f t="shared" si="28"/>
        <v>141698.84435160729</v>
      </c>
      <c r="O124" s="126">
        <f t="shared" si="29"/>
        <v>16.098630136986301</v>
      </c>
      <c r="P124" s="123">
        <f t="shared" si="30"/>
        <v>132987.14435160728</v>
      </c>
      <c r="Q124" s="125">
        <f t="shared" si="33"/>
        <v>8260.7739428755376</v>
      </c>
      <c r="R124" s="125">
        <f t="shared" si="31"/>
        <v>133438.07040873176</v>
      </c>
      <c r="S124" s="678"/>
      <c r="T124" s="679"/>
    </row>
    <row r="125" spans="1:21" ht="15.75">
      <c r="A125" s="141" t="s">
        <v>102</v>
      </c>
      <c r="B125" s="142">
        <v>42506</v>
      </c>
      <c r="C125" s="135">
        <v>35243.21</v>
      </c>
      <c r="D125" s="121"/>
      <c r="E125" s="121"/>
      <c r="F125" s="121"/>
      <c r="G125" s="123">
        <f t="shared" si="25"/>
        <v>1762.1605</v>
      </c>
      <c r="H125" s="121"/>
      <c r="I125" s="121"/>
      <c r="J125" s="121"/>
      <c r="K125" s="121">
        <f t="shared" si="26"/>
        <v>1415</v>
      </c>
      <c r="L125" s="123">
        <f t="shared" si="27"/>
        <v>3.8767123287671232</v>
      </c>
      <c r="M125" s="124">
        <v>6539.4308035933918</v>
      </c>
      <c r="N125" s="125">
        <f t="shared" si="28"/>
        <v>28703.779196406605</v>
      </c>
      <c r="O125" s="126">
        <f t="shared" si="29"/>
        <v>16.123287671232877</v>
      </c>
      <c r="P125" s="123">
        <f t="shared" si="30"/>
        <v>26941.618696406607</v>
      </c>
      <c r="Q125" s="125">
        <f t="shared" si="33"/>
        <v>1670.9755011365185</v>
      </c>
      <c r="R125" s="125">
        <f t="shared" si="31"/>
        <v>27032.803695270086</v>
      </c>
      <c r="S125" s="678"/>
      <c r="T125" s="679"/>
    </row>
    <row r="126" spans="1:21" ht="15.75">
      <c r="A126" s="141" t="s">
        <v>102</v>
      </c>
      <c r="B126" s="142">
        <v>42510</v>
      </c>
      <c r="C126" s="135">
        <v>29089.81</v>
      </c>
      <c r="D126" s="121"/>
      <c r="E126" s="121"/>
      <c r="F126" s="121"/>
      <c r="G126" s="123">
        <f t="shared" si="25"/>
        <v>1454.4905000000001</v>
      </c>
      <c r="H126" s="121"/>
      <c r="I126" s="121"/>
      <c r="J126" s="121"/>
      <c r="K126" s="121">
        <f t="shared" si="26"/>
        <v>1411</v>
      </c>
      <c r="L126" s="123">
        <f t="shared" si="27"/>
        <v>3.8657534246575342</v>
      </c>
      <c r="M126" s="124">
        <v>5382.3889585147826</v>
      </c>
      <c r="N126" s="125">
        <f t="shared" si="28"/>
        <v>23707.42104148522</v>
      </c>
      <c r="O126" s="126">
        <f t="shared" si="29"/>
        <v>16.134246575342466</v>
      </c>
      <c r="P126" s="123">
        <f t="shared" si="30"/>
        <v>22252.930541485221</v>
      </c>
      <c r="Q126" s="125">
        <f t="shared" si="33"/>
        <v>1379.2358036410435</v>
      </c>
      <c r="R126" s="125">
        <f t="shared" si="31"/>
        <v>22328.185237844176</v>
      </c>
      <c r="S126" s="678"/>
      <c r="T126" s="679"/>
    </row>
    <row r="127" spans="1:21" ht="15.75">
      <c r="A127" s="141" t="s">
        <v>102</v>
      </c>
      <c r="B127" s="142">
        <v>42514</v>
      </c>
      <c r="C127" s="135">
        <v>24294</v>
      </c>
      <c r="D127" s="121"/>
      <c r="E127" s="121"/>
      <c r="F127" s="121"/>
      <c r="G127" s="123">
        <f t="shared" si="25"/>
        <v>1214.7</v>
      </c>
      <c r="H127" s="121"/>
      <c r="I127" s="121"/>
      <c r="J127" s="121"/>
      <c r="K127" s="121">
        <f t="shared" si="26"/>
        <v>1407</v>
      </c>
      <c r="L127" s="123">
        <f t="shared" si="27"/>
        <v>3.8547945205479452</v>
      </c>
      <c r="M127" s="124">
        <v>4482.2846107243004</v>
      </c>
      <c r="N127" s="125">
        <f t="shared" si="28"/>
        <v>19811.715389275698</v>
      </c>
      <c r="O127" s="126">
        <f t="shared" si="29"/>
        <v>16.145205479452056</v>
      </c>
      <c r="P127" s="123">
        <f t="shared" si="30"/>
        <v>18597.015389275697</v>
      </c>
      <c r="Q127" s="125">
        <f t="shared" si="33"/>
        <v>1151.8599384160239</v>
      </c>
      <c r="R127" s="125">
        <f t="shared" si="31"/>
        <v>18659.855450859675</v>
      </c>
      <c r="S127" s="678"/>
      <c r="T127" s="679"/>
    </row>
    <row r="128" spans="1:21" ht="15.75">
      <c r="A128" s="141" t="s">
        <v>102</v>
      </c>
      <c r="B128" s="142">
        <v>42516</v>
      </c>
      <c r="C128" s="135">
        <v>204040</v>
      </c>
      <c r="D128" s="121"/>
      <c r="E128" s="121"/>
      <c r="F128" s="121"/>
      <c r="G128" s="123">
        <f t="shared" si="25"/>
        <v>10202</v>
      </c>
      <c r="H128" s="121"/>
      <c r="I128" s="121"/>
      <c r="J128" s="121"/>
      <c r="K128" s="121">
        <f t="shared" si="26"/>
        <v>1405</v>
      </c>
      <c r="L128" s="123">
        <f t="shared" si="27"/>
        <v>3.8493150684931505</v>
      </c>
      <c r="M128" s="124">
        <v>37592.179366327844</v>
      </c>
      <c r="N128" s="125">
        <f t="shared" si="28"/>
        <v>166447.82063367215</v>
      </c>
      <c r="O128" s="126">
        <f t="shared" si="29"/>
        <v>16.150684931506849</v>
      </c>
      <c r="P128" s="123">
        <f t="shared" si="30"/>
        <v>156245.82063367215</v>
      </c>
      <c r="Q128" s="125">
        <f t="shared" si="33"/>
        <v>9674.2535252400903</v>
      </c>
      <c r="R128" s="125">
        <f t="shared" si="31"/>
        <v>156773.56710843206</v>
      </c>
      <c r="S128" s="678"/>
      <c r="T128" s="679"/>
    </row>
    <row r="129" spans="1:20" ht="15.75">
      <c r="A129" s="141" t="s">
        <v>102</v>
      </c>
      <c r="B129" s="142">
        <v>42517</v>
      </c>
      <c r="C129" s="135">
        <v>35276</v>
      </c>
      <c r="D129" s="121"/>
      <c r="E129" s="121"/>
      <c r="F129" s="121"/>
      <c r="G129" s="123">
        <f t="shared" si="25"/>
        <v>1763.8000000000002</v>
      </c>
      <c r="H129" s="121"/>
      <c r="I129" s="121"/>
      <c r="J129" s="121"/>
      <c r="K129" s="121">
        <f t="shared" si="26"/>
        <v>1404</v>
      </c>
      <c r="L129" s="123">
        <f t="shared" si="27"/>
        <v>3.8465753424657536</v>
      </c>
      <c r="M129" s="124">
        <v>6494.595189337746</v>
      </c>
      <c r="N129" s="125">
        <f t="shared" si="28"/>
        <v>28781.404810662254</v>
      </c>
      <c r="O129" s="126">
        <f t="shared" si="29"/>
        <v>16.153424657534245</v>
      </c>
      <c r="P129" s="123">
        <f t="shared" si="30"/>
        <v>27017.604810662255</v>
      </c>
      <c r="Q129" s="125">
        <f t="shared" si="33"/>
        <v>1672.5620345813643</v>
      </c>
      <c r="R129" s="125">
        <f t="shared" si="31"/>
        <v>27108.842776080888</v>
      </c>
      <c r="S129" s="678"/>
      <c r="T129" s="679"/>
    </row>
    <row r="130" spans="1:20" ht="15.75">
      <c r="A130" s="141" t="s">
        <v>102</v>
      </c>
      <c r="B130" s="142">
        <v>42522</v>
      </c>
      <c r="C130" s="135">
        <v>177255.52</v>
      </c>
      <c r="D130" s="121"/>
      <c r="E130" s="121"/>
      <c r="F130" s="121"/>
      <c r="G130" s="123">
        <f t="shared" si="25"/>
        <v>8862.7759999999998</v>
      </c>
      <c r="H130" s="121"/>
      <c r="I130" s="121"/>
      <c r="J130" s="121"/>
      <c r="K130" s="121">
        <f t="shared" si="26"/>
        <v>1399</v>
      </c>
      <c r="L130" s="123">
        <f t="shared" si="27"/>
        <v>3.8328767123287673</v>
      </c>
      <c r="M130" s="124">
        <v>32517.864840734856</v>
      </c>
      <c r="N130" s="125">
        <f t="shared" si="28"/>
        <v>144737.65515926512</v>
      </c>
      <c r="O130" s="126">
        <f t="shared" si="29"/>
        <v>16.167123287671231</v>
      </c>
      <c r="P130" s="123">
        <f t="shared" si="30"/>
        <v>135874.87915926511</v>
      </c>
      <c r="Q130" s="125">
        <f t="shared" si="33"/>
        <v>8404.3943218321929</v>
      </c>
      <c r="R130" s="125">
        <f t="shared" si="31"/>
        <v>136333.26083743293</v>
      </c>
      <c r="S130" s="678"/>
      <c r="T130" s="679"/>
    </row>
    <row r="131" spans="1:20" ht="15.75">
      <c r="A131" s="141" t="s">
        <v>102</v>
      </c>
      <c r="B131" s="142">
        <v>42522</v>
      </c>
      <c r="C131" s="135">
        <v>43880.41</v>
      </c>
      <c r="D131" s="121"/>
      <c r="E131" s="121"/>
      <c r="F131" s="121"/>
      <c r="G131" s="123">
        <f t="shared" si="25"/>
        <v>2194.0205000000001</v>
      </c>
      <c r="H131" s="121"/>
      <c r="I131" s="121"/>
      <c r="J131" s="121"/>
      <c r="K131" s="121">
        <f t="shared" si="26"/>
        <v>1399</v>
      </c>
      <c r="L131" s="123">
        <f t="shared" si="27"/>
        <v>3.8328767123287673</v>
      </c>
      <c r="M131" s="124">
        <v>8049.9453079714003</v>
      </c>
      <c r="N131" s="125">
        <f t="shared" si="28"/>
        <v>35830.464692028603</v>
      </c>
      <c r="O131" s="126">
        <f t="shared" si="29"/>
        <v>16.167123287671231</v>
      </c>
      <c r="P131" s="123">
        <f t="shared" si="30"/>
        <v>33636.444192028604</v>
      </c>
      <c r="Q131" s="125">
        <f t="shared" si="33"/>
        <v>2080.5460311964821</v>
      </c>
      <c r="R131" s="125">
        <f t="shared" si="31"/>
        <v>33749.918660832118</v>
      </c>
      <c r="S131" s="678"/>
      <c r="T131" s="679"/>
    </row>
    <row r="132" spans="1:20" ht="15.75">
      <c r="A132" s="141" t="s">
        <v>102</v>
      </c>
      <c r="B132" s="142">
        <v>42532</v>
      </c>
      <c r="C132" s="135">
        <v>163268</v>
      </c>
      <c r="D132" s="121"/>
      <c r="E132" s="121"/>
      <c r="F132" s="121"/>
      <c r="G132" s="123">
        <f t="shared" si="25"/>
        <v>8163.4000000000005</v>
      </c>
      <c r="H132" s="121"/>
      <c r="I132" s="121"/>
      <c r="J132" s="121"/>
      <c r="K132" s="121">
        <f t="shared" si="26"/>
        <v>1389</v>
      </c>
      <c r="L132" s="123">
        <f t="shared" si="27"/>
        <v>3.8054794520547945</v>
      </c>
      <c r="M132" s="124">
        <v>29737.579797649028</v>
      </c>
      <c r="N132" s="125">
        <f t="shared" si="28"/>
        <v>133530.42020235097</v>
      </c>
      <c r="O132" s="126">
        <f t="shared" si="29"/>
        <v>16.194520547945206</v>
      </c>
      <c r="P132" s="123">
        <f t="shared" si="30"/>
        <v>125367.02020235098</v>
      </c>
      <c r="Q132" s="125">
        <f t="shared" si="33"/>
        <v>7741.3233587985287</v>
      </c>
      <c r="R132" s="125">
        <f t="shared" si="31"/>
        <v>125789.09684355244</v>
      </c>
      <c r="S132" s="678"/>
      <c r="T132" s="679"/>
    </row>
    <row r="133" spans="1:20" ht="15.75">
      <c r="A133" s="141" t="s">
        <v>102</v>
      </c>
      <c r="B133" s="142">
        <v>42532</v>
      </c>
      <c r="C133" s="135">
        <v>47035</v>
      </c>
      <c r="D133" s="121"/>
      <c r="E133" s="121"/>
      <c r="F133" s="121"/>
      <c r="G133" s="123">
        <f t="shared" si="25"/>
        <v>2351.75</v>
      </c>
      <c r="H133" s="121"/>
      <c r="I133" s="121"/>
      <c r="J133" s="121"/>
      <c r="K133" s="121">
        <f t="shared" si="26"/>
        <v>1389</v>
      </c>
      <c r="L133" s="123">
        <f t="shared" si="27"/>
        <v>3.8054794520547945</v>
      </c>
      <c r="M133" s="124">
        <v>8566.9394234168485</v>
      </c>
      <c r="N133" s="125">
        <f t="shared" si="28"/>
        <v>38468.06057658315</v>
      </c>
      <c r="O133" s="126">
        <f t="shared" si="29"/>
        <v>16.194520547945206</v>
      </c>
      <c r="P133" s="123">
        <f t="shared" si="30"/>
        <v>36116.31057658315</v>
      </c>
      <c r="Q133" s="125">
        <f t="shared" si="33"/>
        <v>2230.1562105316948</v>
      </c>
      <c r="R133" s="125">
        <f t="shared" si="31"/>
        <v>36237.904366051458</v>
      </c>
      <c r="S133" s="678"/>
      <c r="T133" s="679"/>
    </row>
    <row r="134" spans="1:20" ht="15.75">
      <c r="A134" s="141" t="s">
        <v>102</v>
      </c>
      <c r="B134" s="142">
        <v>42532</v>
      </c>
      <c r="C134" s="135">
        <v>27608</v>
      </c>
      <c r="D134" s="121"/>
      <c r="E134" s="121"/>
      <c r="F134" s="121"/>
      <c r="G134" s="123">
        <f t="shared" si="25"/>
        <v>1380.4</v>
      </c>
      <c r="H134" s="121"/>
      <c r="I134" s="121"/>
      <c r="J134" s="121"/>
      <c r="K134" s="121">
        <f t="shared" si="26"/>
        <v>1389</v>
      </c>
      <c r="L134" s="123">
        <f t="shared" si="27"/>
        <v>3.8054794520547945</v>
      </c>
      <c r="M134" s="124">
        <v>5028.5120357540636</v>
      </c>
      <c r="N134" s="125">
        <f t="shared" si="28"/>
        <v>22579.487964245935</v>
      </c>
      <c r="O134" s="126">
        <f t="shared" si="29"/>
        <v>16.194520547945206</v>
      </c>
      <c r="P134" s="123">
        <f t="shared" si="30"/>
        <v>21199.087964245933</v>
      </c>
      <c r="Q134" s="125">
        <f t="shared" si="33"/>
        <v>1309.0284396802174</v>
      </c>
      <c r="R134" s="125">
        <f t="shared" si="31"/>
        <v>21270.459524565718</v>
      </c>
      <c r="S134" s="678"/>
      <c r="T134" s="679"/>
    </row>
    <row r="135" spans="1:20" ht="15.75">
      <c r="A135" s="141" t="s">
        <v>102</v>
      </c>
      <c r="B135" s="142">
        <v>42532</v>
      </c>
      <c r="C135" s="135">
        <v>53988</v>
      </c>
      <c r="D135" s="121"/>
      <c r="E135" s="121"/>
      <c r="F135" s="121"/>
      <c r="G135" s="123">
        <f t="shared" si="25"/>
        <v>2699.4</v>
      </c>
      <c r="H135" s="121"/>
      <c r="I135" s="121"/>
      <c r="J135" s="121"/>
      <c r="K135" s="121">
        <f t="shared" si="26"/>
        <v>1389</v>
      </c>
      <c r="L135" s="123">
        <f t="shared" si="27"/>
        <v>3.8054794520547945</v>
      </c>
      <c r="M135" s="124">
        <v>9833.3565555741225</v>
      </c>
      <c r="N135" s="125">
        <f t="shared" si="28"/>
        <v>44154.643444425878</v>
      </c>
      <c r="O135" s="126">
        <f t="shared" si="29"/>
        <v>16.194520547945206</v>
      </c>
      <c r="P135" s="123">
        <f t="shared" si="30"/>
        <v>41455.243444425876</v>
      </c>
      <c r="Q135" s="125">
        <f t="shared" si="33"/>
        <v>2559.8314764363804</v>
      </c>
      <c r="R135" s="125">
        <f t="shared" si="31"/>
        <v>41594.811967989495</v>
      </c>
      <c r="S135" s="678"/>
      <c r="T135" s="679"/>
    </row>
    <row r="136" spans="1:20" ht="15.75">
      <c r="A136" s="141" t="s">
        <v>102</v>
      </c>
      <c r="B136" s="142">
        <v>42532</v>
      </c>
      <c r="C136" s="135">
        <v>135788</v>
      </c>
      <c r="D136" s="121"/>
      <c r="E136" s="121"/>
      <c r="F136" s="121"/>
      <c r="G136" s="123">
        <f t="shared" si="25"/>
        <v>6789.4000000000005</v>
      </c>
      <c r="H136" s="121"/>
      <c r="I136" s="121"/>
      <c r="J136" s="121"/>
      <c r="K136" s="121">
        <f t="shared" si="26"/>
        <v>1389</v>
      </c>
      <c r="L136" s="123">
        <f t="shared" si="27"/>
        <v>3.8054794520547945</v>
      </c>
      <c r="M136" s="124">
        <v>24732.381639777341</v>
      </c>
      <c r="N136" s="125">
        <f t="shared" si="28"/>
        <v>111055.61836022267</v>
      </c>
      <c r="O136" s="126">
        <f t="shared" si="29"/>
        <v>16.194520547945206</v>
      </c>
      <c r="P136" s="123">
        <f t="shared" si="30"/>
        <v>104266.21836022267</v>
      </c>
      <c r="Q136" s="125">
        <f t="shared" si="33"/>
        <v>6438.3640164915032</v>
      </c>
      <c r="R136" s="125">
        <f t="shared" si="31"/>
        <v>104617.25434373117</v>
      </c>
      <c r="S136" s="678"/>
      <c r="T136" s="679"/>
    </row>
    <row r="137" spans="1:20" ht="15.75">
      <c r="A137" s="141" t="s">
        <v>102</v>
      </c>
      <c r="B137" s="142">
        <v>42537</v>
      </c>
      <c r="C137" s="135">
        <v>32925</v>
      </c>
      <c r="D137" s="121"/>
      <c r="E137" s="121"/>
      <c r="F137" s="121"/>
      <c r="G137" s="123">
        <f t="shared" si="25"/>
        <v>1646.25</v>
      </c>
      <c r="H137" s="121"/>
      <c r="I137" s="121"/>
      <c r="J137" s="121"/>
      <c r="K137" s="121">
        <f t="shared" si="26"/>
        <v>1384</v>
      </c>
      <c r="L137" s="123">
        <f t="shared" si="27"/>
        <v>3.7917808219178082</v>
      </c>
      <c r="M137" s="124">
        <v>5975.3458252106029</v>
      </c>
      <c r="N137" s="125">
        <f t="shared" si="28"/>
        <v>26949.654174789397</v>
      </c>
      <c r="O137" s="126">
        <f t="shared" si="29"/>
        <v>16.208219178082192</v>
      </c>
      <c r="P137" s="123">
        <f t="shared" si="30"/>
        <v>25303.404174789397</v>
      </c>
      <c r="Q137" s="125">
        <f t="shared" si="33"/>
        <v>1561.146471230245</v>
      </c>
      <c r="R137" s="125">
        <f t="shared" si="31"/>
        <v>25388.507703559153</v>
      </c>
      <c r="S137" s="678"/>
      <c r="T137" s="679"/>
    </row>
    <row r="138" spans="1:20" ht="15.75">
      <c r="A138" s="141" t="s">
        <v>102</v>
      </c>
      <c r="B138" s="142">
        <v>42537</v>
      </c>
      <c r="C138" s="135">
        <v>19325</v>
      </c>
      <c r="D138" s="121"/>
      <c r="E138" s="121"/>
      <c r="F138" s="121"/>
      <c r="G138" s="123">
        <f t="shared" si="25"/>
        <v>966.25</v>
      </c>
      <c r="H138" s="121"/>
      <c r="I138" s="121"/>
      <c r="J138" s="121"/>
      <c r="K138" s="121">
        <f t="shared" si="26"/>
        <v>1384</v>
      </c>
      <c r="L138" s="123">
        <f t="shared" si="27"/>
        <v>3.7917808219178082</v>
      </c>
      <c r="M138" s="124">
        <v>3507.1695693908855</v>
      </c>
      <c r="N138" s="125">
        <f t="shared" si="28"/>
        <v>15817.830430609114</v>
      </c>
      <c r="O138" s="126">
        <f t="shared" si="29"/>
        <v>16.208219178082192</v>
      </c>
      <c r="P138" s="123">
        <f t="shared" si="30"/>
        <v>14851.580430609114</v>
      </c>
      <c r="Q138" s="125">
        <f t="shared" si="33"/>
        <v>916.29933353149534</v>
      </c>
      <c r="R138" s="125">
        <f t="shared" si="31"/>
        <v>14901.531097077619</v>
      </c>
      <c r="S138" s="678"/>
      <c r="T138" s="679"/>
    </row>
    <row r="139" spans="1:20" ht="15.75">
      <c r="A139" s="141" t="s">
        <v>102</v>
      </c>
      <c r="B139" s="142">
        <v>42549</v>
      </c>
      <c r="C139" s="135">
        <v>166054</v>
      </c>
      <c r="D139" s="121"/>
      <c r="E139" s="121"/>
      <c r="F139" s="121"/>
      <c r="G139" s="123">
        <f t="shared" si="25"/>
        <v>8302.7000000000007</v>
      </c>
      <c r="H139" s="121"/>
      <c r="I139" s="121"/>
      <c r="J139" s="121"/>
      <c r="K139" s="121">
        <f t="shared" si="26"/>
        <v>1372</v>
      </c>
      <c r="L139" s="123">
        <f t="shared" si="27"/>
        <v>3.7589041095890412</v>
      </c>
      <c r="M139" s="124">
        <v>29874.584785733783</v>
      </c>
      <c r="N139" s="125">
        <f t="shared" si="28"/>
        <v>136179.41521426622</v>
      </c>
      <c r="O139" s="126">
        <f t="shared" si="29"/>
        <v>16.241095890410961</v>
      </c>
      <c r="P139" s="123">
        <f t="shared" si="30"/>
        <v>127876.71521426622</v>
      </c>
      <c r="Q139" s="125">
        <f t="shared" si="33"/>
        <v>7873.6506500012092</v>
      </c>
      <c r="R139" s="125">
        <f t="shared" si="31"/>
        <v>128305.76456426502</v>
      </c>
      <c r="S139" s="678"/>
      <c r="T139" s="679"/>
    </row>
    <row r="140" spans="1:20" ht="15.75">
      <c r="A140" s="141" t="s">
        <v>102</v>
      </c>
      <c r="B140" s="142">
        <v>42550</v>
      </c>
      <c r="C140" s="135">
        <v>136256</v>
      </c>
      <c r="D140" s="121"/>
      <c r="E140" s="121"/>
      <c r="F140" s="121"/>
      <c r="G140" s="123">
        <f t="shared" si="25"/>
        <v>6812.8</v>
      </c>
      <c r="H140" s="121"/>
      <c r="I140" s="121"/>
      <c r="J140" s="121"/>
      <c r="K140" s="121">
        <f t="shared" si="26"/>
        <v>1371</v>
      </c>
      <c r="L140" s="123">
        <f t="shared" si="27"/>
        <v>3.7561643835616438</v>
      </c>
      <c r="M140" s="124">
        <v>24495.780632510894</v>
      </c>
      <c r="N140" s="125">
        <f t="shared" si="28"/>
        <v>111760.2193674891</v>
      </c>
      <c r="O140" s="126">
        <f t="shared" si="29"/>
        <v>16.243835616438357</v>
      </c>
      <c r="P140" s="123">
        <f t="shared" si="30"/>
        <v>104947.4193674891</v>
      </c>
      <c r="Q140" s="125">
        <f t="shared" si="33"/>
        <v>6460.7535957384916</v>
      </c>
      <c r="R140" s="125">
        <f t="shared" si="31"/>
        <v>105299.46577175061</v>
      </c>
      <c r="S140" s="678"/>
      <c r="T140" s="679"/>
    </row>
    <row r="141" spans="1:20" ht="15.75">
      <c r="A141" s="141" t="s">
        <v>102</v>
      </c>
      <c r="B141" s="142">
        <v>42550</v>
      </c>
      <c r="C141" s="135">
        <v>35276</v>
      </c>
      <c r="D141" s="121"/>
      <c r="E141" s="121"/>
      <c r="F141" s="121"/>
      <c r="G141" s="123">
        <f t="shared" si="25"/>
        <v>1763.8000000000002</v>
      </c>
      <c r="H141" s="121"/>
      <c r="I141" s="121"/>
      <c r="J141" s="121"/>
      <c r="K141" s="121">
        <f t="shared" si="26"/>
        <v>1371</v>
      </c>
      <c r="L141" s="123">
        <f t="shared" si="27"/>
        <v>3.7561643835616438</v>
      </c>
      <c r="M141" s="124">
        <v>6341.8356446134803</v>
      </c>
      <c r="N141" s="125">
        <f t="shared" si="28"/>
        <v>28934.164355386521</v>
      </c>
      <c r="O141" s="126">
        <f t="shared" si="29"/>
        <v>16.243835616438357</v>
      </c>
      <c r="P141" s="123">
        <f t="shared" si="30"/>
        <v>27170.364355386522</v>
      </c>
      <c r="Q141" s="125">
        <f t="shared" si="33"/>
        <v>1672.6569387276236</v>
      </c>
      <c r="R141" s="125">
        <f t="shared" si="31"/>
        <v>27261.507416658897</v>
      </c>
      <c r="S141" s="678"/>
      <c r="T141" s="679"/>
    </row>
    <row r="142" spans="1:20" ht="15.75">
      <c r="A142" s="141" t="s">
        <v>102</v>
      </c>
      <c r="B142" s="142">
        <v>42550</v>
      </c>
      <c r="C142" s="135">
        <v>31084</v>
      </c>
      <c r="D142" s="121"/>
      <c r="E142" s="121"/>
      <c r="F142" s="121"/>
      <c r="G142" s="123">
        <f t="shared" si="25"/>
        <v>1554.2</v>
      </c>
      <c r="H142" s="121"/>
      <c r="I142" s="121"/>
      <c r="J142" s="121"/>
      <c r="K142" s="121">
        <f t="shared" si="26"/>
        <v>1371</v>
      </c>
      <c r="L142" s="123">
        <f t="shared" si="27"/>
        <v>3.7561643835616438</v>
      </c>
      <c r="M142" s="124">
        <v>5588.2078233690154</v>
      </c>
      <c r="N142" s="125">
        <f t="shared" si="28"/>
        <v>25495.792176630985</v>
      </c>
      <c r="O142" s="126">
        <f t="shared" si="29"/>
        <v>16.243835616438357</v>
      </c>
      <c r="P142" s="123">
        <f t="shared" si="30"/>
        <v>23941.592176630984</v>
      </c>
      <c r="Q142" s="125">
        <f t="shared" si="33"/>
        <v>1473.8878638000183</v>
      </c>
      <c r="R142" s="125">
        <f t="shared" si="31"/>
        <v>24021.904312830968</v>
      </c>
      <c r="S142" s="678"/>
      <c r="T142" s="679"/>
    </row>
    <row r="143" spans="1:20" ht="15.75">
      <c r="A143" s="141" t="s">
        <v>102</v>
      </c>
      <c r="B143" s="142">
        <v>42554</v>
      </c>
      <c r="C143" s="135">
        <v>116188</v>
      </c>
      <c r="D143" s="121"/>
      <c r="E143" s="121"/>
      <c r="F143" s="121"/>
      <c r="G143" s="123">
        <f t="shared" ref="G143:G206" si="34">C143*5%</f>
        <v>5809.4000000000005</v>
      </c>
      <c r="H143" s="121"/>
      <c r="I143" s="121"/>
      <c r="J143" s="121"/>
      <c r="K143" s="121">
        <f t="shared" ref="K143:K206" si="35">$K$2-B143</f>
        <v>1367</v>
      </c>
      <c r="L143" s="123">
        <f t="shared" ref="L143:L206" si="36">K143/365</f>
        <v>3.7452054794520548</v>
      </c>
      <c r="M143" s="124">
        <v>20827.016300884359</v>
      </c>
      <c r="N143" s="125">
        <f t="shared" ref="N143:N206" si="37">C143-M143</f>
        <v>95360.983699115633</v>
      </c>
      <c r="O143" s="126">
        <f t="shared" ref="O143:O206" si="38">$O$14-L143</f>
        <v>16.254794520547946</v>
      </c>
      <c r="P143" s="123">
        <f t="shared" ref="P143:P206" si="39">N143-G143</f>
        <v>89551.583699115639</v>
      </c>
      <c r="Q143" s="125">
        <f t="shared" si="33"/>
        <v>5509.2412017827755</v>
      </c>
      <c r="R143" s="125">
        <f t="shared" ref="R143:R206" si="40">N143-Q143</f>
        <v>89851.74249733286</v>
      </c>
      <c r="S143" s="678"/>
      <c r="T143" s="679"/>
    </row>
    <row r="144" spans="1:20" ht="15.75">
      <c r="A144" s="141" t="s">
        <v>102</v>
      </c>
      <c r="B144" s="142">
        <v>42562</v>
      </c>
      <c r="C144" s="135">
        <v>238995.7</v>
      </c>
      <c r="D144" s="121"/>
      <c r="E144" s="121"/>
      <c r="F144" s="121"/>
      <c r="G144" s="123">
        <f t="shared" si="34"/>
        <v>11949.785000000002</v>
      </c>
      <c r="H144" s="121"/>
      <c r="I144" s="121"/>
      <c r="J144" s="121"/>
      <c r="K144" s="121">
        <f t="shared" si="35"/>
        <v>1359</v>
      </c>
      <c r="L144" s="123">
        <f t="shared" si="36"/>
        <v>3.7232876712328768</v>
      </c>
      <c r="M144" s="124">
        <v>42589.735085328728</v>
      </c>
      <c r="N144" s="125">
        <f t="shared" si="37"/>
        <v>196405.96491467129</v>
      </c>
      <c r="O144" s="126">
        <f t="shared" si="38"/>
        <v>16.276712328767122</v>
      </c>
      <c r="P144" s="123">
        <f t="shared" si="39"/>
        <v>184456.17991467129</v>
      </c>
      <c r="Q144" s="125">
        <f t="shared" si="33"/>
        <v>11332.520732007242</v>
      </c>
      <c r="R144" s="125">
        <f t="shared" si="40"/>
        <v>185073.44418266404</v>
      </c>
      <c r="S144" s="678"/>
      <c r="T144" s="679"/>
    </row>
    <row r="145" spans="1:20" ht="15.75">
      <c r="A145" s="141" t="s">
        <v>102</v>
      </c>
      <c r="B145" s="142">
        <v>42563</v>
      </c>
      <c r="C145" s="135">
        <v>333028.27</v>
      </c>
      <c r="D145" s="121"/>
      <c r="E145" s="121"/>
      <c r="F145" s="121"/>
      <c r="G145" s="123">
        <f t="shared" si="34"/>
        <v>16651.413500000002</v>
      </c>
      <c r="H145" s="121"/>
      <c r="I145" s="121"/>
      <c r="J145" s="121"/>
      <c r="K145" s="121">
        <f t="shared" si="35"/>
        <v>1358</v>
      </c>
      <c r="L145" s="123">
        <f t="shared" si="36"/>
        <v>3.7205479452054795</v>
      </c>
      <c r="M145" s="124">
        <v>59302.913519000918</v>
      </c>
      <c r="N145" s="125">
        <f t="shared" si="37"/>
        <v>273725.35648099909</v>
      </c>
      <c r="O145" s="126">
        <f t="shared" si="38"/>
        <v>16.279452054794522</v>
      </c>
      <c r="P145" s="123">
        <f t="shared" si="39"/>
        <v>257073.9429809991</v>
      </c>
      <c r="Q145" s="125">
        <f t="shared" si="33"/>
        <v>15791.314235621789</v>
      </c>
      <c r="R145" s="125">
        <f t="shared" si="40"/>
        <v>257934.04224537729</v>
      </c>
      <c r="S145" s="678"/>
      <c r="T145" s="679"/>
    </row>
    <row r="146" spans="1:20" ht="15.75">
      <c r="A146" s="141" t="s">
        <v>102</v>
      </c>
      <c r="B146" s="142">
        <v>42563</v>
      </c>
      <c r="C146" s="135">
        <v>315850.25</v>
      </c>
      <c r="D146" s="121"/>
      <c r="E146" s="121"/>
      <c r="F146" s="121"/>
      <c r="G146" s="123">
        <f t="shared" si="34"/>
        <v>15792.512500000001</v>
      </c>
      <c r="H146" s="121"/>
      <c r="I146" s="121"/>
      <c r="J146" s="121"/>
      <c r="K146" s="121">
        <f t="shared" si="35"/>
        <v>1358</v>
      </c>
      <c r="L146" s="123">
        <f t="shared" si="36"/>
        <v>3.7205479452054795</v>
      </c>
      <c r="M146" s="124">
        <v>56243.994123095959</v>
      </c>
      <c r="N146" s="125">
        <f t="shared" si="37"/>
        <v>259606.25587690403</v>
      </c>
      <c r="O146" s="126">
        <f t="shared" si="38"/>
        <v>16.279452054794522</v>
      </c>
      <c r="P146" s="123">
        <f t="shared" si="39"/>
        <v>243813.74337690402</v>
      </c>
      <c r="Q146" s="125">
        <f t="shared" si="33"/>
        <v>14976.778245131263</v>
      </c>
      <c r="R146" s="125">
        <f t="shared" si="40"/>
        <v>244629.47763177278</v>
      </c>
      <c r="S146" s="678"/>
      <c r="T146" s="679"/>
    </row>
    <row r="147" spans="1:20" ht="15.75">
      <c r="A147" s="141" t="s">
        <v>102</v>
      </c>
      <c r="B147" s="142">
        <v>42564</v>
      </c>
      <c r="C147" s="135">
        <v>36441</v>
      </c>
      <c r="D147" s="121"/>
      <c r="E147" s="121"/>
      <c r="F147" s="121"/>
      <c r="G147" s="123">
        <f t="shared" si="34"/>
        <v>1822.0500000000002</v>
      </c>
      <c r="H147" s="121"/>
      <c r="I147" s="121"/>
      <c r="J147" s="121"/>
      <c r="K147" s="121">
        <f t="shared" si="35"/>
        <v>1357</v>
      </c>
      <c r="L147" s="123">
        <f t="shared" si="36"/>
        <v>3.7178082191780821</v>
      </c>
      <c r="M147" s="124">
        <v>6484.3292305926225</v>
      </c>
      <c r="N147" s="125">
        <f t="shared" si="37"/>
        <v>29956.670769407378</v>
      </c>
      <c r="O147" s="126">
        <f t="shared" si="38"/>
        <v>16.282191780821918</v>
      </c>
      <c r="P147" s="123">
        <f t="shared" si="39"/>
        <v>28134.620769407378</v>
      </c>
      <c r="Q147" s="125">
        <f t="shared" si="33"/>
        <v>1727.9381761456659</v>
      </c>
      <c r="R147" s="125">
        <f t="shared" si="40"/>
        <v>28228.732593261713</v>
      </c>
      <c r="S147" s="678"/>
      <c r="T147" s="679"/>
    </row>
    <row r="148" spans="1:20" ht="15.75">
      <c r="A148" s="141" t="s">
        <v>102</v>
      </c>
      <c r="B148" s="142">
        <v>42565</v>
      </c>
      <c r="C148" s="135">
        <v>23142.68</v>
      </c>
      <c r="D148" s="121"/>
      <c r="E148" s="121"/>
      <c r="F148" s="121"/>
      <c r="G148" s="123">
        <f t="shared" si="34"/>
        <v>1157.134</v>
      </c>
      <c r="H148" s="121"/>
      <c r="I148" s="121"/>
      <c r="J148" s="121"/>
      <c r="K148" s="121">
        <f t="shared" si="35"/>
        <v>1356</v>
      </c>
      <c r="L148" s="123">
        <f t="shared" si="36"/>
        <v>3.7150684931506848</v>
      </c>
      <c r="M148" s="124">
        <v>4114.9828263156551</v>
      </c>
      <c r="N148" s="125">
        <f t="shared" si="37"/>
        <v>19027.697173684344</v>
      </c>
      <c r="O148" s="126">
        <f t="shared" si="38"/>
        <v>16.284931506849315</v>
      </c>
      <c r="P148" s="123">
        <f t="shared" si="39"/>
        <v>17870.563173684342</v>
      </c>
      <c r="Q148" s="125">
        <f t="shared" si="33"/>
        <v>1097.3680279937391</v>
      </c>
      <c r="R148" s="125">
        <f t="shared" si="40"/>
        <v>17930.329145690604</v>
      </c>
      <c r="S148" s="678"/>
      <c r="T148" s="679"/>
    </row>
    <row r="149" spans="1:20" ht="15.75">
      <c r="A149" s="141" t="s">
        <v>102</v>
      </c>
      <c r="B149" s="142">
        <v>42566</v>
      </c>
      <c r="C149" s="135">
        <v>150256</v>
      </c>
      <c r="D149" s="121"/>
      <c r="E149" s="121"/>
      <c r="F149" s="121"/>
      <c r="G149" s="123">
        <f t="shared" si="34"/>
        <v>7512.8</v>
      </c>
      <c r="H149" s="121"/>
      <c r="I149" s="121"/>
      <c r="J149" s="121"/>
      <c r="K149" s="121">
        <f t="shared" si="35"/>
        <v>1355</v>
      </c>
      <c r="L149" s="123">
        <f t="shared" si="36"/>
        <v>3.7123287671232879</v>
      </c>
      <c r="M149" s="124">
        <v>26697.191032042549</v>
      </c>
      <c r="N149" s="125">
        <f t="shared" si="37"/>
        <v>123558.80896795745</v>
      </c>
      <c r="O149" s="126">
        <f t="shared" si="38"/>
        <v>16.287671232876711</v>
      </c>
      <c r="P149" s="123">
        <f t="shared" si="39"/>
        <v>116046.00896795744</v>
      </c>
      <c r="Q149" s="125">
        <f t="shared" si="33"/>
        <v>7124.7759921454117</v>
      </c>
      <c r="R149" s="125">
        <f t="shared" si="40"/>
        <v>116434.03297581204</v>
      </c>
      <c r="S149" s="678"/>
      <c r="T149" s="679"/>
    </row>
    <row r="150" spans="1:20" ht="15.75">
      <c r="A150" s="141" t="s">
        <v>102</v>
      </c>
      <c r="B150" s="142">
        <v>42566</v>
      </c>
      <c r="C150" s="135">
        <v>31084</v>
      </c>
      <c r="D150" s="121"/>
      <c r="E150" s="121"/>
      <c r="F150" s="121"/>
      <c r="G150" s="123">
        <f t="shared" si="34"/>
        <v>1554.2</v>
      </c>
      <c r="H150" s="121"/>
      <c r="I150" s="121"/>
      <c r="J150" s="121"/>
      <c r="K150" s="121">
        <f t="shared" si="35"/>
        <v>1355</v>
      </c>
      <c r="L150" s="123">
        <f t="shared" si="36"/>
        <v>3.7123287671232879</v>
      </c>
      <c r="M150" s="124">
        <v>5522.9440823661653</v>
      </c>
      <c r="N150" s="125">
        <f t="shared" si="37"/>
        <v>25561.055917633836</v>
      </c>
      <c r="O150" s="126">
        <f t="shared" si="38"/>
        <v>16.287671232876711</v>
      </c>
      <c r="P150" s="123">
        <f t="shared" si="39"/>
        <v>24006.855917633835</v>
      </c>
      <c r="Q150" s="125">
        <f t="shared" si="33"/>
        <v>1473.928075683154</v>
      </c>
      <c r="R150" s="125">
        <f t="shared" si="40"/>
        <v>24087.127841950682</v>
      </c>
      <c r="S150" s="678"/>
      <c r="T150" s="679"/>
    </row>
    <row r="151" spans="1:20" ht="15.75">
      <c r="A151" s="141" t="s">
        <v>102</v>
      </c>
      <c r="B151" s="142">
        <v>42566</v>
      </c>
      <c r="C151" s="135">
        <v>70553</v>
      </c>
      <c r="D151" s="121"/>
      <c r="E151" s="121"/>
      <c r="F151" s="121"/>
      <c r="G151" s="123">
        <f t="shared" si="34"/>
        <v>3527.65</v>
      </c>
      <c r="H151" s="121"/>
      <c r="I151" s="121"/>
      <c r="J151" s="121"/>
      <c r="K151" s="121">
        <f t="shared" si="35"/>
        <v>1355</v>
      </c>
      <c r="L151" s="123">
        <f t="shared" si="36"/>
        <v>3.7123287671232879</v>
      </c>
      <c r="M151" s="124">
        <v>12535.718499651914</v>
      </c>
      <c r="N151" s="125">
        <f t="shared" si="37"/>
        <v>58017.281500348086</v>
      </c>
      <c r="O151" s="126">
        <f t="shared" si="38"/>
        <v>16.287671232876711</v>
      </c>
      <c r="P151" s="123">
        <f t="shared" si="39"/>
        <v>54489.631500348085</v>
      </c>
      <c r="Q151" s="125">
        <f t="shared" si="33"/>
        <v>3345.452564781674</v>
      </c>
      <c r="R151" s="125">
        <f t="shared" si="40"/>
        <v>54671.828935566409</v>
      </c>
      <c r="S151" s="678"/>
      <c r="T151" s="679"/>
    </row>
    <row r="152" spans="1:20" ht="15.75">
      <c r="A152" s="141" t="s">
        <v>102</v>
      </c>
      <c r="B152" s="142">
        <v>42583</v>
      </c>
      <c r="C152" s="135">
        <v>20706</v>
      </c>
      <c r="D152" s="121"/>
      <c r="E152" s="121"/>
      <c r="F152" s="121"/>
      <c r="G152" s="123">
        <f t="shared" si="34"/>
        <v>1035.3</v>
      </c>
      <c r="H152" s="121"/>
      <c r="I152" s="121"/>
      <c r="J152" s="121"/>
      <c r="K152" s="121">
        <f t="shared" si="35"/>
        <v>1338</v>
      </c>
      <c r="L152" s="123">
        <f t="shared" si="36"/>
        <v>3.6657534246575341</v>
      </c>
      <c r="M152" s="124">
        <v>3632.8101180492699</v>
      </c>
      <c r="N152" s="125">
        <f t="shared" si="37"/>
        <v>17073.18988195073</v>
      </c>
      <c r="O152" s="126">
        <f t="shared" si="38"/>
        <v>16.334246575342465</v>
      </c>
      <c r="P152" s="123">
        <f t="shared" si="39"/>
        <v>16037.88988195073</v>
      </c>
      <c r="Q152" s="125">
        <f t="shared" si="33"/>
        <v>981.85672709024095</v>
      </c>
      <c r="R152" s="125">
        <f t="shared" si="40"/>
        <v>16091.333154860489</v>
      </c>
      <c r="S152" s="678"/>
      <c r="T152" s="679"/>
    </row>
    <row r="153" spans="1:20" ht="15.75">
      <c r="A153" s="141" t="s">
        <v>102</v>
      </c>
      <c r="B153" s="142">
        <v>42583</v>
      </c>
      <c r="C153" s="135">
        <v>58794</v>
      </c>
      <c r="D153" s="121"/>
      <c r="E153" s="121"/>
      <c r="F153" s="121"/>
      <c r="G153" s="123">
        <f t="shared" si="34"/>
        <v>2939.7000000000003</v>
      </c>
      <c r="H153" s="121"/>
      <c r="I153" s="121"/>
      <c r="J153" s="121"/>
      <c r="K153" s="121">
        <f t="shared" si="35"/>
        <v>1338</v>
      </c>
      <c r="L153" s="123">
        <f t="shared" si="36"/>
        <v>3.6657534246575341</v>
      </c>
      <c r="M153" s="124">
        <v>10315.243797961402</v>
      </c>
      <c r="N153" s="125">
        <f t="shared" si="37"/>
        <v>48478.756202038596</v>
      </c>
      <c r="O153" s="126">
        <f t="shared" si="38"/>
        <v>16.334246575342465</v>
      </c>
      <c r="P153" s="123">
        <f t="shared" si="39"/>
        <v>45539.056202038599</v>
      </c>
      <c r="Q153" s="125">
        <f t="shared" si="33"/>
        <v>2787.9495997558015</v>
      </c>
      <c r="R153" s="125">
        <f t="shared" si="40"/>
        <v>45690.806602282792</v>
      </c>
      <c r="S153" s="678"/>
      <c r="T153" s="679"/>
    </row>
    <row r="154" spans="1:20" ht="15.75">
      <c r="A154" s="141" t="s">
        <v>102</v>
      </c>
      <c r="B154" s="142">
        <v>42583</v>
      </c>
      <c r="C154" s="135">
        <v>168457</v>
      </c>
      <c r="D154" s="121"/>
      <c r="E154" s="121"/>
      <c r="F154" s="121"/>
      <c r="G154" s="123">
        <f t="shared" si="34"/>
        <v>8422.85</v>
      </c>
      <c r="H154" s="121"/>
      <c r="I154" s="121"/>
      <c r="J154" s="121"/>
      <c r="K154" s="121">
        <f t="shared" si="35"/>
        <v>1338</v>
      </c>
      <c r="L154" s="123">
        <f t="shared" si="36"/>
        <v>3.6657534246575341</v>
      </c>
      <c r="M154" s="124">
        <v>29555.31218275987</v>
      </c>
      <c r="N154" s="125">
        <f t="shared" si="37"/>
        <v>138901.68781724013</v>
      </c>
      <c r="O154" s="126">
        <f t="shared" si="38"/>
        <v>16.334246575342465</v>
      </c>
      <c r="P154" s="123">
        <f t="shared" si="39"/>
        <v>130478.83781724013</v>
      </c>
      <c r="Q154" s="125">
        <f t="shared" si="33"/>
        <v>7988.0536402704874</v>
      </c>
      <c r="R154" s="125">
        <f t="shared" si="40"/>
        <v>130913.63417696964</v>
      </c>
      <c r="S154" s="678"/>
      <c r="T154" s="679"/>
    </row>
    <row r="155" spans="1:20" ht="15.75">
      <c r="A155" s="141" t="s">
        <v>102</v>
      </c>
      <c r="B155" s="142">
        <v>42590</v>
      </c>
      <c r="C155" s="135">
        <v>47035</v>
      </c>
      <c r="D155" s="121"/>
      <c r="E155" s="121"/>
      <c r="F155" s="121"/>
      <c r="G155" s="123">
        <f t="shared" si="34"/>
        <v>2351.75</v>
      </c>
      <c r="H155" s="121"/>
      <c r="I155" s="121"/>
      <c r="J155" s="121"/>
      <c r="K155" s="121">
        <f t="shared" si="35"/>
        <v>1331</v>
      </c>
      <c r="L155" s="123">
        <f t="shared" si="36"/>
        <v>3.6465753424657534</v>
      </c>
      <c r="M155" s="124">
        <v>8208.954923014704</v>
      </c>
      <c r="N155" s="125">
        <f t="shared" si="37"/>
        <v>38826.045076985298</v>
      </c>
      <c r="O155" s="126">
        <f t="shared" si="38"/>
        <v>16.353424657534248</v>
      </c>
      <c r="P155" s="123">
        <f t="shared" si="39"/>
        <v>36474.295076985298</v>
      </c>
      <c r="Q155" s="125">
        <f t="shared" si="33"/>
        <v>2230.3765627575194</v>
      </c>
      <c r="R155" s="125">
        <f t="shared" si="40"/>
        <v>36595.668514227778</v>
      </c>
      <c r="S155" s="678"/>
      <c r="T155" s="679"/>
    </row>
    <row r="156" spans="1:20" ht="15.75">
      <c r="A156" s="141" t="s">
        <v>102</v>
      </c>
      <c r="B156" s="142">
        <v>42594</v>
      </c>
      <c r="C156" s="135">
        <v>13804</v>
      </c>
      <c r="D156" s="121"/>
      <c r="E156" s="121"/>
      <c r="F156" s="121"/>
      <c r="G156" s="123">
        <f t="shared" si="34"/>
        <v>690.2</v>
      </c>
      <c r="H156" s="121"/>
      <c r="I156" s="121"/>
      <c r="J156" s="121"/>
      <c r="K156" s="121">
        <f t="shared" si="35"/>
        <v>1327</v>
      </c>
      <c r="L156" s="123">
        <f t="shared" si="36"/>
        <v>3.6356164383561644</v>
      </c>
      <c r="M156" s="124">
        <v>2401.9477519488069</v>
      </c>
      <c r="N156" s="125">
        <f t="shared" si="37"/>
        <v>11402.052248051194</v>
      </c>
      <c r="O156" s="126">
        <f t="shared" si="38"/>
        <v>16.364383561643834</v>
      </c>
      <c r="P156" s="123">
        <f t="shared" si="39"/>
        <v>10711.852248051193</v>
      </c>
      <c r="Q156" s="125">
        <f t="shared" si="33"/>
        <v>654.58330328790987</v>
      </c>
      <c r="R156" s="125">
        <f t="shared" si="40"/>
        <v>10747.468944763285</v>
      </c>
      <c r="S156" s="678"/>
      <c r="T156" s="679"/>
    </row>
    <row r="157" spans="1:20" ht="15.75">
      <c r="A157" s="141" t="s">
        <v>102</v>
      </c>
      <c r="B157" s="142">
        <v>42594</v>
      </c>
      <c r="C157" s="135">
        <v>199592</v>
      </c>
      <c r="D157" s="121"/>
      <c r="E157" s="121"/>
      <c r="F157" s="121"/>
      <c r="G157" s="123">
        <f t="shared" si="34"/>
        <v>9979.6</v>
      </c>
      <c r="H157" s="121"/>
      <c r="I157" s="121"/>
      <c r="J157" s="121"/>
      <c r="K157" s="121">
        <f t="shared" si="35"/>
        <v>1327</v>
      </c>
      <c r="L157" s="123">
        <f t="shared" si="36"/>
        <v>3.6356164383561644</v>
      </c>
      <c r="M157" s="124">
        <v>34729.756281292823</v>
      </c>
      <c r="N157" s="125">
        <f t="shared" si="37"/>
        <v>164862.24371870718</v>
      </c>
      <c r="O157" s="126">
        <f t="shared" si="38"/>
        <v>16.364383561643834</v>
      </c>
      <c r="P157" s="123">
        <f t="shared" si="39"/>
        <v>154882.64371870717</v>
      </c>
      <c r="Q157" s="125">
        <f t="shared" si="33"/>
        <v>9464.6182751260876</v>
      </c>
      <c r="R157" s="125">
        <f t="shared" si="40"/>
        <v>155397.62544358108</v>
      </c>
      <c r="S157" s="678"/>
      <c r="T157" s="679"/>
    </row>
    <row r="158" spans="1:20" ht="15.75">
      <c r="A158" s="141" t="s">
        <v>102</v>
      </c>
      <c r="B158" s="142">
        <v>42594</v>
      </c>
      <c r="C158" s="135">
        <v>145706.26</v>
      </c>
      <c r="D158" s="121"/>
      <c r="E158" s="121"/>
      <c r="F158" s="121"/>
      <c r="G158" s="123">
        <f t="shared" si="34"/>
        <v>7285.313000000001</v>
      </c>
      <c r="H158" s="121"/>
      <c r="I158" s="121"/>
      <c r="J158" s="121"/>
      <c r="K158" s="121">
        <f t="shared" si="35"/>
        <v>1327</v>
      </c>
      <c r="L158" s="123">
        <f t="shared" si="36"/>
        <v>3.6356164383561644</v>
      </c>
      <c r="M158" s="124">
        <v>25353.435500714895</v>
      </c>
      <c r="N158" s="125">
        <f t="shared" si="37"/>
        <v>120352.82449928511</v>
      </c>
      <c r="O158" s="126">
        <f t="shared" si="38"/>
        <v>16.364383561643834</v>
      </c>
      <c r="P158" s="123">
        <f t="shared" si="39"/>
        <v>113067.51149928512</v>
      </c>
      <c r="Q158" s="125">
        <f t="shared" si="33"/>
        <v>6909.3657621361244</v>
      </c>
      <c r="R158" s="125">
        <f t="shared" si="40"/>
        <v>113443.45873714899</v>
      </c>
      <c r="S158" s="678"/>
      <c r="T158" s="679"/>
    </row>
    <row r="159" spans="1:20" ht="15.75">
      <c r="A159" s="141" t="s">
        <v>102</v>
      </c>
      <c r="B159" s="142">
        <v>42594</v>
      </c>
      <c r="C159" s="135">
        <v>142843.25</v>
      </c>
      <c r="D159" s="121"/>
      <c r="E159" s="121"/>
      <c r="F159" s="121"/>
      <c r="G159" s="123">
        <f t="shared" si="34"/>
        <v>7142.1625000000004</v>
      </c>
      <c r="H159" s="121"/>
      <c r="I159" s="121"/>
      <c r="J159" s="121"/>
      <c r="K159" s="121">
        <f t="shared" si="35"/>
        <v>1327</v>
      </c>
      <c r="L159" s="123">
        <f t="shared" si="36"/>
        <v>3.6356164383561644</v>
      </c>
      <c r="M159" s="124">
        <v>24855.261027134264</v>
      </c>
      <c r="N159" s="125">
        <f t="shared" si="37"/>
        <v>117987.98897286574</v>
      </c>
      <c r="O159" s="126">
        <f t="shared" si="38"/>
        <v>16.364383561643834</v>
      </c>
      <c r="P159" s="123">
        <f t="shared" si="39"/>
        <v>110845.82647286574</v>
      </c>
      <c r="Q159" s="125">
        <f t="shared" si="33"/>
        <v>6773.602320876611</v>
      </c>
      <c r="R159" s="125">
        <f t="shared" si="40"/>
        <v>111214.38665198913</v>
      </c>
      <c r="S159" s="678"/>
      <c r="T159" s="679"/>
    </row>
    <row r="160" spans="1:20" ht="15.75">
      <c r="A160" s="141" t="s">
        <v>102</v>
      </c>
      <c r="B160" s="142">
        <v>42609</v>
      </c>
      <c r="C160" s="135">
        <v>99579</v>
      </c>
      <c r="D160" s="121"/>
      <c r="E160" s="121"/>
      <c r="F160" s="121"/>
      <c r="G160" s="123">
        <f t="shared" si="34"/>
        <v>4978.9500000000007</v>
      </c>
      <c r="H160" s="121"/>
      <c r="I160" s="121"/>
      <c r="J160" s="121"/>
      <c r="K160" s="121">
        <f t="shared" si="35"/>
        <v>1312</v>
      </c>
      <c r="L160" s="123">
        <f t="shared" si="36"/>
        <v>3.5945205479452054</v>
      </c>
      <c r="M160" s="124">
        <v>17131.111189917181</v>
      </c>
      <c r="N160" s="125">
        <f t="shared" si="37"/>
        <v>82447.888810082819</v>
      </c>
      <c r="O160" s="126">
        <f t="shared" si="38"/>
        <v>16.405479452054795</v>
      </c>
      <c r="P160" s="123">
        <f t="shared" si="39"/>
        <v>77468.938810082822</v>
      </c>
      <c r="Q160" s="125">
        <f t="shared" si="33"/>
        <v>4722.1380537208133</v>
      </c>
      <c r="R160" s="125">
        <f t="shared" si="40"/>
        <v>77725.750756362002</v>
      </c>
      <c r="S160" s="678"/>
      <c r="T160" s="679"/>
    </row>
    <row r="161" spans="1:20" ht="15.75">
      <c r="A161" s="141" t="s">
        <v>102</v>
      </c>
      <c r="B161" s="142">
        <v>42614</v>
      </c>
      <c r="C161" s="135">
        <v>53681.25</v>
      </c>
      <c r="D161" s="121"/>
      <c r="E161" s="121"/>
      <c r="F161" s="121"/>
      <c r="G161" s="123">
        <f t="shared" si="34"/>
        <v>2684.0625</v>
      </c>
      <c r="H161" s="121"/>
      <c r="I161" s="121"/>
      <c r="J161" s="121"/>
      <c r="K161" s="121">
        <f t="shared" si="35"/>
        <v>1307</v>
      </c>
      <c r="L161" s="123">
        <f t="shared" si="36"/>
        <v>3.580821917808219</v>
      </c>
      <c r="M161" s="124">
        <v>9199.8527998774625</v>
      </c>
      <c r="N161" s="125">
        <f t="shared" si="37"/>
        <v>44481.397200122534</v>
      </c>
      <c r="O161" s="126">
        <f t="shared" si="38"/>
        <v>16.419178082191781</v>
      </c>
      <c r="P161" s="123">
        <f t="shared" si="39"/>
        <v>41797.334700122534</v>
      </c>
      <c r="Q161" s="125">
        <f t="shared" si="33"/>
        <v>2545.6411088844861</v>
      </c>
      <c r="R161" s="125">
        <f t="shared" si="40"/>
        <v>41935.75609123805</v>
      </c>
      <c r="S161" s="678"/>
      <c r="T161" s="679"/>
    </row>
    <row r="162" spans="1:20" ht="15.75">
      <c r="A162" s="141" t="s">
        <v>102</v>
      </c>
      <c r="B162" s="142">
        <v>42615</v>
      </c>
      <c r="C162" s="135">
        <v>178835</v>
      </c>
      <c r="D162" s="121"/>
      <c r="E162" s="121"/>
      <c r="F162" s="121"/>
      <c r="G162" s="123">
        <f t="shared" si="34"/>
        <v>8941.75</v>
      </c>
      <c r="H162" s="121"/>
      <c r="I162" s="121"/>
      <c r="J162" s="121"/>
      <c r="K162" s="121">
        <f t="shared" si="35"/>
        <v>1306</v>
      </c>
      <c r="L162" s="123">
        <f t="shared" si="36"/>
        <v>3.5780821917808221</v>
      </c>
      <c r="M162" s="124">
        <v>30625.142083807717</v>
      </c>
      <c r="N162" s="125">
        <f t="shared" si="37"/>
        <v>148209.85791619227</v>
      </c>
      <c r="O162" s="126">
        <f t="shared" si="38"/>
        <v>16.421917808219177</v>
      </c>
      <c r="P162" s="123">
        <f t="shared" si="39"/>
        <v>139268.10791619227</v>
      </c>
      <c r="Q162" s="125">
        <f t="shared" si="33"/>
        <v>8480.623855423788</v>
      </c>
      <c r="R162" s="125">
        <f t="shared" si="40"/>
        <v>139729.23406076847</v>
      </c>
      <c r="S162" s="678"/>
      <c r="T162" s="679"/>
    </row>
    <row r="163" spans="1:20" ht="15.75">
      <c r="A163" s="141" t="s">
        <v>102</v>
      </c>
      <c r="B163" s="142">
        <v>42616</v>
      </c>
      <c r="C163" s="135">
        <v>27608</v>
      </c>
      <c r="D163" s="121"/>
      <c r="E163" s="121"/>
      <c r="F163" s="121"/>
      <c r="G163" s="123">
        <f t="shared" si="34"/>
        <v>1380.4</v>
      </c>
      <c r="H163" s="121"/>
      <c r="I163" s="121"/>
      <c r="J163" s="121"/>
      <c r="K163" s="121">
        <f t="shared" si="35"/>
        <v>1305</v>
      </c>
      <c r="L163" s="123">
        <f t="shared" si="36"/>
        <v>3.5753424657534247</v>
      </c>
      <c r="M163" s="124">
        <v>4724.192863561454</v>
      </c>
      <c r="N163" s="125">
        <f t="shared" si="37"/>
        <v>22883.807136438547</v>
      </c>
      <c r="O163" s="126">
        <f t="shared" si="38"/>
        <v>16.424657534246574</v>
      </c>
      <c r="P163" s="123">
        <f t="shared" si="39"/>
        <v>21503.407136438545</v>
      </c>
      <c r="Q163" s="125">
        <f t="shared" si="33"/>
        <v>1309.2149465888356</v>
      </c>
      <c r="R163" s="125">
        <f t="shared" si="40"/>
        <v>21574.592189849711</v>
      </c>
      <c r="S163" s="678"/>
      <c r="T163" s="679"/>
    </row>
    <row r="164" spans="1:20" ht="15.75">
      <c r="A164" s="141" t="s">
        <v>102</v>
      </c>
      <c r="B164" s="142">
        <v>42616</v>
      </c>
      <c r="C164" s="135">
        <v>70553</v>
      </c>
      <c r="D164" s="121"/>
      <c r="E164" s="121"/>
      <c r="F164" s="121"/>
      <c r="G164" s="123">
        <f t="shared" si="34"/>
        <v>3527.65</v>
      </c>
      <c r="H164" s="121"/>
      <c r="I164" s="121"/>
      <c r="J164" s="121"/>
      <c r="K164" s="121">
        <f t="shared" si="35"/>
        <v>1305</v>
      </c>
      <c r="L164" s="123">
        <f t="shared" si="36"/>
        <v>3.5753424657534247</v>
      </c>
      <c r="M164" s="124">
        <v>12072.80422713892</v>
      </c>
      <c r="N164" s="125">
        <f t="shared" si="37"/>
        <v>58480.19577286108</v>
      </c>
      <c r="O164" s="126">
        <f t="shared" si="38"/>
        <v>16.424657534246574</v>
      </c>
      <c r="P164" s="123">
        <f t="shared" si="39"/>
        <v>54952.545772861078</v>
      </c>
      <c r="Q164" s="125">
        <f t="shared" si="33"/>
        <v>3345.7346467213169</v>
      </c>
      <c r="R164" s="125">
        <f t="shared" si="40"/>
        <v>55134.461126139766</v>
      </c>
      <c r="S164" s="678"/>
      <c r="T164" s="679"/>
    </row>
    <row r="165" spans="1:20" ht="15.75">
      <c r="A165" s="141" t="s">
        <v>102</v>
      </c>
      <c r="B165" s="142">
        <v>42617</v>
      </c>
      <c r="C165" s="135">
        <v>4859</v>
      </c>
      <c r="D165" s="121"/>
      <c r="E165" s="121"/>
      <c r="F165" s="121"/>
      <c r="G165" s="123">
        <f t="shared" si="34"/>
        <v>242.95000000000002</v>
      </c>
      <c r="H165" s="121"/>
      <c r="I165" s="121"/>
      <c r="J165" s="121"/>
      <c r="K165" s="121">
        <f t="shared" si="35"/>
        <v>1304</v>
      </c>
      <c r="L165" s="123">
        <f t="shared" si="36"/>
        <v>3.5726027397260274</v>
      </c>
      <c r="M165" s="124">
        <v>830.81895497945084</v>
      </c>
      <c r="N165" s="125">
        <f t="shared" si="37"/>
        <v>4028.1810450205494</v>
      </c>
      <c r="O165" s="126">
        <f t="shared" si="38"/>
        <v>16.427397260273974</v>
      </c>
      <c r="P165" s="123">
        <f t="shared" si="39"/>
        <v>3785.2310450205496</v>
      </c>
      <c r="Q165" s="125">
        <f t="shared" si="33"/>
        <v>230.42183646305878</v>
      </c>
      <c r="R165" s="125">
        <f t="shared" si="40"/>
        <v>3797.7592085574906</v>
      </c>
      <c r="S165" s="678"/>
      <c r="T165" s="679"/>
    </row>
    <row r="166" spans="1:20" ht="15.75">
      <c r="A166" s="141" t="s">
        <v>102</v>
      </c>
      <c r="B166" s="142">
        <v>42619</v>
      </c>
      <c r="C166" s="135">
        <v>7288</v>
      </c>
      <c r="D166" s="121"/>
      <c r="E166" s="121"/>
      <c r="F166" s="121"/>
      <c r="G166" s="123">
        <f t="shared" si="34"/>
        <v>364.40000000000003</v>
      </c>
      <c r="H166" s="121"/>
      <c r="I166" s="121"/>
      <c r="J166" s="121"/>
      <c r="K166" s="121">
        <f t="shared" si="35"/>
        <v>1302</v>
      </c>
      <c r="L166" s="123">
        <f t="shared" si="36"/>
        <v>3.5671232876712327</v>
      </c>
      <c r="M166" s="124">
        <v>1244.2302106828056</v>
      </c>
      <c r="N166" s="125">
        <f t="shared" si="37"/>
        <v>6043.7697893171944</v>
      </c>
      <c r="O166" s="126">
        <f t="shared" si="38"/>
        <v>16.432876712328767</v>
      </c>
      <c r="P166" s="123">
        <f t="shared" si="39"/>
        <v>5679.3697893171948</v>
      </c>
      <c r="Q166" s="125">
        <f t="shared" si="33"/>
        <v>345.61019891643485</v>
      </c>
      <c r="R166" s="125">
        <f t="shared" si="40"/>
        <v>5698.15959040076</v>
      </c>
      <c r="S166" s="678"/>
      <c r="T166" s="679"/>
    </row>
    <row r="167" spans="1:20" ht="15.75">
      <c r="A167" s="141" t="s">
        <v>102</v>
      </c>
      <c r="B167" s="142">
        <v>42621</v>
      </c>
      <c r="C167" s="135">
        <v>235016</v>
      </c>
      <c r="D167" s="121"/>
      <c r="E167" s="121"/>
      <c r="F167" s="121"/>
      <c r="G167" s="123">
        <f t="shared" si="34"/>
        <v>11750.800000000001</v>
      </c>
      <c r="H167" s="121"/>
      <c r="I167" s="121"/>
      <c r="J167" s="121"/>
      <c r="K167" s="121">
        <f t="shared" si="35"/>
        <v>1300</v>
      </c>
      <c r="L167" s="123">
        <f t="shared" si="36"/>
        <v>3.5616438356164384</v>
      </c>
      <c r="M167" s="124">
        <v>40060.988649361316</v>
      </c>
      <c r="N167" s="125">
        <f t="shared" si="37"/>
        <v>194955.0113506387</v>
      </c>
      <c r="O167" s="126">
        <f t="shared" si="38"/>
        <v>16.438356164383563</v>
      </c>
      <c r="P167" s="123">
        <f t="shared" si="39"/>
        <v>183204.21135063871</v>
      </c>
      <c r="Q167" s="125">
        <f t="shared" si="33"/>
        <v>11144.922857163854</v>
      </c>
      <c r="R167" s="125">
        <f t="shared" si="40"/>
        <v>183810.08849347485</v>
      </c>
      <c r="S167" s="678"/>
      <c r="T167" s="679"/>
    </row>
    <row r="168" spans="1:20" ht="15.75">
      <c r="A168" s="141" t="s">
        <v>102</v>
      </c>
      <c r="B168" s="142">
        <v>42626</v>
      </c>
      <c r="C168" s="135">
        <v>21834.15</v>
      </c>
      <c r="D168" s="121"/>
      <c r="E168" s="121"/>
      <c r="F168" s="121"/>
      <c r="G168" s="123">
        <f t="shared" si="34"/>
        <v>1091.7075000000002</v>
      </c>
      <c r="H168" s="121"/>
      <c r="I168" s="121"/>
      <c r="J168" s="121"/>
      <c r="K168" s="121">
        <f t="shared" si="35"/>
        <v>1295</v>
      </c>
      <c r="L168" s="123">
        <f t="shared" si="36"/>
        <v>3.547945205479452</v>
      </c>
      <c r="M168" s="124">
        <v>3707.5383113878543</v>
      </c>
      <c r="N168" s="125">
        <f t="shared" si="37"/>
        <v>18126.611688612145</v>
      </c>
      <c r="O168" s="126">
        <f t="shared" si="38"/>
        <v>16.452054794520549</v>
      </c>
      <c r="P168" s="123">
        <f t="shared" si="39"/>
        <v>17034.904188612145</v>
      </c>
      <c r="Q168" s="125">
        <f t="shared" si="33"/>
        <v>1035.4271488498639</v>
      </c>
      <c r="R168" s="125">
        <f t="shared" si="40"/>
        <v>17091.184539762282</v>
      </c>
      <c r="S168" s="678"/>
      <c r="T168" s="679"/>
    </row>
    <row r="169" spans="1:20" ht="15.75">
      <c r="A169" s="141" t="s">
        <v>102</v>
      </c>
      <c r="B169" s="142">
        <v>42627</v>
      </c>
      <c r="C169" s="135">
        <v>43880.41</v>
      </c>
      <c r="D169" s="121"/>
      <c r="E169" s="121"/>
      <c r="F169" s="121"/>
      <c r="G169" s="123">
        <f t="shared" si="34"/>
        <v>2194.0205000000001</v>
      </c>
      <c r="H169" s="121"/>
      <c r="I169" s="121"/>
      <c r="J169" s="121"/>
      <c r="K169" s="121">
        <f t="shared" si="35"/>
        <v>1294</v>
      </c>
      <c r="L169" s="123">
        <f t="shared" si="36"/>
        <v>3.5452054794520547</v>
      </c>
      <c r="M169" s="124">
        <v>7445.3356818362108</v>
      </c>
      <c r="N169" s="125">
        <f t="shared" si="37"/>
        <v>36435.074318163795</v>
      </c>
      <c r="O169" s="126">
        <f t="shared" si="38"/>
        <v>16.454794520547946</v>
      </c>
      <c r="P169" s="123">
        <f t="shared" si="39"/>
        <v>34241.053818163797</v>
      </c>
      <c r="Q169" s="125">
        <f t="shared" si="33"/>
        <v>2080.9165240808834</v>
      </c>
      <c r="R169" s="125">
        <f t="shared" si="40"/>
        <v>34354.157794082916</v>
      </c>
      <c r="S169" s="678"/>
      <c r="T169" s="679"/>
    </row>
    <row r="170" spans="1:20" ht="15.75">
      <c r="A170" s="141" t="s">
        <v>102</v>
      </c>
      <c r="B170" s="142">
        <v>42629</v>
      </c>
      <c r="C170" s="135">
        <v>241105.5</v>
      </c>
      <c r="D170" s="121"/>
      <c r="E170" s="121"/>
      <c r="F170" s="121"/>
      <c r="G170" s="123">
        <f t="shared" si="34"/>
        <v>12055.275000000001</v>
      </c>
      <c r="H170" s="121"/>
      <c r="I170" s="121"/>
      <c r="J170" s="121"/>
      <c r="K170" s="121">
        <f t="shared" si="35"/>
        <v>1292</v>
      </c>
      <c r="L170" s="123">
        <f t="shared" si="36"/>
        <v>3.5397260273972604</v>
      </c>
      <c r="M170" s="124">
        <v>40845.897318785646</v>
      </c>
      <c r="N170" s="125">
        <f t="shared" si="37"/>
        <v>200259.60268121434</v>
      </c>
      <c r="O170" s="126">
        <f t="shared" si="38"/>
        <v>16.460273972602739</v>
      </c>
      <c r="P170" s="123">
        <f t="shared" si="39"/>
        <v>188204.32768121434</v>
      </c>
      <c r="Q170" s="125">
        <f t="shared" si="33"/>
        <v>11433.851465320113</v>
      </c>
      <c r="R170" s="125">
        <f t="shared" si="40"/>
        <v>188825.75121589424</v>
      </c>
      <c r="S170" s="678"/>
      <c r="T170" s="679"/>
    </row>
    <row r="171" spans="1:20" ht="15.75">
      <c r="A171" s="141" t="s">
        <v>102</v>
      </c>
      <c r="B171" s="142">
        <v>42629</v>
      </c>
      <c r="C171" s="135">
        <v>269940</v>
      </c>
      <c r="D171" s="121"/>
      <c r="E171" s="121"/>
      <c r="F171" s="121"/>
      <c r="G171" s="123">
        <f t="shared" si="34"/>
        <v>13497</v>
      </c>
      <c r="H171" s="121"/>
      <c r="I171" s="121"/>
      <c r="J171" s="121"/>
      <c r="K171" s="121">
        <f t="shared" si="35"/>
        <v>1292</v>
      </c>
      <c r="L171" s="123">
        <f t="shared" si="36"/>
        <v>3.5397260273972604</v>
      </c>
      <c r="M171" s="124">
        <v>45730.775624085712</v>
      </c>
      <c r="N171" s="125">
        <f t="shared" si="37"/>
        <v>224209.22437591429</v>
      </c>
      <c r="O171" s="126">
        <f t="shared" si="38"/>
        <v>16.460273972602739</v>
      </c>
      <c r="P171" s="123">
        <f t="shared" si="39"/>
        <v>210712.22437591429</v>
      </c>
      <c r="Q171" s="125">
        <f t="shared" si="33"/>
        <v>12801.258638017431</v>
      </c>
      <c r="R171" s="125">
        <f t="shared" si="40"/>
        <v>211407.96573789685</v>
      </c>
      <c r="S171" s="678"/>
      <c r="T171" s="679"/>
    </row>
    <row r="172" spans="1:20" ht="15.75">
      <c r="A172" s="141" t="s">
        <v>102</v>
      </c>
      <c r="B172" s="142">
        <v>42632</v>
      </c>
      <c r="C172" s="135">
        <v>146831</v>
      </c>
      <c r="D172" s="121"/>
      <c r="E172" s="121"/>
      <c r="F172" s="121"/>
      <c r="G172" s="123">
        <f t="shared" si="34"/>
        <v>7341.55</v>
      </c>
      <c r="H172" s="121"/>
      <c r="I172" s="121"/>
      <c r="J172" s="121"/>
      <c r="K172" s="121">
        <f t="shared" si="35"/>
        <v>1289</v>
      </c>
      <c r="L172" s="123">
        <f t="shared" si="36"/>
        <v>3.5315068493150683</v>
      </c>
      <c r="M172" s="124">
        <v>24816.966883050769</v>
      </c>
      <c r="N172" s="125">
        <f t="shared" si="37"/>
        <v>122014.03311694923</v>
      </c>
      <c r="O172" s="126">
        <f t="shared" si="38"/>
        <v>16.468493150684932</v>
      </c>
      <c r="P172" s="123">
        <f t="shared" si="39"/>
        <v>114672.48311694922</v>
      </c>
      <c r="Q172" s="125">
        <f t="shared" ref="Q172:Q235" si="41">P172/O172</f>
        <v>6963.1436262995285</v>
      </c>
      <c r="R172" s="125">
        <f t="shared" si="40"/>
        <v>115050.8894906497</v>
      </c>
      <c r="S172" s="678"/>
      <c r="T172" s="679"/>
    </row>
    <row r="173" spans="1:20" ht="15.75">
      <c r="A173" s="141" t="s">
        <v>102</v>
      </c>
      <c r="B173" s="142">
        <v>42632</v>
      </c>
      <c r="C173" s="135">
        <v>9407</v>
      </c>
      <c r="D173" s="121"/>
      <c r="E173" s="121"/>
      <c r="F173" s="121"/>
      <c r="G173" s="123">
        <f t="shared" si="34"/>
        <v>470.35</v>
      </c>
      <c r="H173" s="121"/>
      <c r="I173" s="121"/>
      <c r="J173" s="121"/>
      <c r="K173" s="121">
        <f t="shared" si="35"/>
        <v>1289</v>
      </c>
      <c r="L173" s="123">
        <f t="shared" si="36"/>
        <v>3.5315068493150683</v>
      </c>
      <c r="M173" s="124">
        <v>1589.9449535102162</v>
      </c>
      <c r="N173" s="125">
        <f t="shared" si="37"/>
        <v>7817.0550464897842</v>
      </c>
      <c r="O173" s="126">
        <f t="shared" si="38"/>
        <v>16.468493150684932</v>
      </c>
      <c r="P173" s="123">
        <f t="shared" si="39"/>
        <v>7346.7050464897839</v>
      </c>
      <c r="Q173" s="125">
        <f t="shared" si="41"/>
        <v>446.10669472113977</v>
      </c>
      <c r="R173" s="125">
        <f t="shared" si="40"/>
        <v>7370.948351768644</v>
      </c>
      <c r="S173" s="678"/>
      <c r="T173" s="679"/>
    </row>
    <row r="174" spans="1:20" ht="15.75">
      <c r="A174" s="141" t="s">
        <v>102</v>
      </c>
      <c r="B174" s="142">
        <v>42635</v>
      </c>
      <c r="C174" s="135">
        <v>53394.04</v>
      </c>
      <c r="D174" s="121"/>
      <c r="E174" s="121"/>
      <c r="F174" s="121"/>
      <c r="G174" s="123">
        <f t="shared" si="34"/>
        <v>2669.7020000000002</v>
      </c>
      <c r="H174" s="121"/>
      <c r="I174" s="121"/>
      <c r="J174" s="121"/>
      <c r="K174" s="121">
        <f t="shared" si="35"/>
        <v>1286</v>
      </c>
      <c r="L174" s="123">
        <f t="shared" si="36"/>
        <v>3.5232876712328767</v>
      </c>
      <c r="M174" s="124">
        <v>9003.4921804378992</v>
      </c>
      <c r="N174" s="125">
        <f t="shared" si="37"/>
        <v>44390.547819562104</v>
      </c>
      <c r="O174" s="126">
        <f t="shared" si="38"/>
        <v>16.476712328767125</v>
      </c>
      <c r="P174" s="123">
        <f t="shared" si="39"/>
        <v>41720.845819562106</v>
      </c>
      <c r="Q174" s="125">
        <f t="shared" si="41"/>
        <v>2532.1098643399014</v>
      </c>
      <c r="R174" s="125">
        <f t="shared" si="40"/>
        <v>41858.437955222202</v>
      </c>
      <c r="S174" s="678"/>
      <c r="T174" s="679"/>
    </row>
    <row r="175" spans="1:20" ht="15.75">
      <c r="A175" s="141" t="s">
        <v>102</v>
      </c>
      <c r="B175" s="142">
        <v>42639</v>
      </c>
      <c r="C175" s="135">
        <v>35276</v>
      </c>
      <c r="D175" s="121"/>
      <c r="E175" s="121"/>
      <c r="F175" s="121"/>
      <c r="G175" s="123">
        <f t="shared" si="34"/>
        <v>1763.8000000000002</v>
      </c>
      <c r="H175" s="121"/>
      <c r="I175" s="121"/>
      <c r="J175" s="121"/>
      <c r="K175" s="121">
        <f t="shared" si="35"/>
        <v>1282</v>
      </c>
      <c r="L175" s="123">
        <f t="shared" si="36"/>
        <v>3.5123287671232877</v>
      </c>
      <c r="M175" s="124">
        <v>5929.8477815692459</v>
      </c>
      <c r="N175" s="125">
        <f t="shared" si="37"/>
        <v>29346.152218430754</v>
      </c>
      <c r="O175" s="126">
        <f t="shared" si="38"/>
        <v>16.487671232876714</v>
      </c>
      <c r="P175" s="123">
        <f t="shared" si="39"/>
        <v>27582.352218430755</v>
      </c>
      <c r="Q175" s="125">
        <f t="shared" si="41"/>
        <v>1672.907703510672</v>
      </c>
      <c r="R175" s="125">
        <f t="shared" si="40"/>
        <v>27673.244514920083</v>
      </c>
      <c r="S175" s="678"/>
      <c r="T175" s="679"/>
    </row>
    <row r="176" spans="1:20" ht="15.75">
      <c r="A176" s="141" t="s">
        <v>102</v>
      </c>
      <c r="B176" s="142">
        <v>42639</v>
      </c>
      <c r="C176" s="135">
        <v>20706</v>
      </c>
      <c r="D176" s="121"/>
      <c r="E176" s="121"/>
      <c r="F176" s="121"/>
      <c r="G176" s="123">
        <f t="shared" si="34"/>
        <v>1035.3</v>
      </c>
      <c r="H176" s="121"/>
      <c r="I176" s="121"/>
      <c r="J176" s="121"/>
      <c r="K176" s="121">
        <f t="shared" si="35"/>
        <v>1282</v>
      </c>
      <c r="L176" s="123">
        <f t="shared" si="36"/>
        <v>3.5123287671232877</v>
      </c>
      <c r="M176" s="124">
        <v>3480.6505319529656</v>
      </c>
      <c r="N176" s="125">
        <f t="shared" si="37"/>
        <v>17225.349468047036</v>
      </c>
      <c r="O176" s="126">
        <f t="shared" si="38"/>
        <v>16.487671232876714</v>
      </c>
      <c r="P176" s="123">
        <f t="shared" si="39"/>
        <v>16190.049468047036</v>
      </c>
      <c r="Q176" s="125">
        <f t="shared" si="41"/>
        <v>981.94882948440807</v>
      </c>
      <c r="R176" s="125">
        <f t="shared" si="40"/>
        <v>16243.400638562627</v>
      </c>
      <c r="S176" s="678"/>
      <c r="T176" s="679"/>
    </row>
    <row r="177" spans="1:20" ht="15.75">
      <c r="A177" s="141" t="s">
        <v>102</v>
      </c>
      <c r="B177" s="142">
        <v>42647</v>
      </c>
      <c r="C177" s="135">
        <v>166888.85999999999</v>
      </c>
      <c r="D177" s="121"/>
      <c r="E177" s="121"/>
      <c r="F177" s="121"/>
      <c r="G177" s="123">
        <f t="shared" si="34"/>
        <v>8344.4429999999993</v>
      </c>
      <c r="H177" s="121"/>
      <c r="I177" s="121"/>
      <c r="J177" s="121"/>
      <c r="K177" s="121">
        <f t="shared" si="35"/>
        <v>1274</v>
      </c>
      <c r="L177" s="123">
        <f t="shared" si="36"/>
        <v>3.4904109589041097</v>
      </c>
      <c r="M177" s="124">
        <v>27878.591819420762</v>
      </c>
      <c r="N177" s="125">
        <f t="shared" si="37"/>
        <v>139010.26818057924</v>
      </c>
      <c r="O177" s="126">
        <f t="shared" si="38"/>
        <v>16.509589041095889</v>
      </c>
      <c r="P177" s="123">
        <f t="shared" si="39"/>
        <v>130665.82518057924</v>
      </c>
      <c r="Q177" s="125">
        <f t="shared" si="41"/>
        <v>7914.5413526238672</v>
      </c>
      <c r="R177" s="125">
        <f t="shared" si="40"/>
        <v>131095.72682795537</v>
      </c>
      <c r="S177" s="678"/>
      <c r="T177" s="679"/>
    </row>
    <row r="178" spans="1:20" ht="15.75">
      <c r="A178" s="141" t="s">
        <v>102</v>
      </c>
      <c r="B178" s="142">
        <v>42647</v>
      </c>
      <c r="C178" s="135">
        <v>61811.51</v>
      </c>
      <c r="D178" s="121"/>
      <c r="E178" s="121"/>
      <c r="F178" s="121"/>
      <c r="G178" s="123">
        <f t="shared" si="34"/>
        <v>3090.5755000000004</v>
      </c>
      <c r="H178" s="121"/>
      <c r="I178" s="121"/>
      <c r="J178" s="121"/>
      <c r="K178" s="121">
        <f t="shared" si="35"/>
        <v>1274</v>
      </c>
      <c r="L178" s="123">
        <f t="shared" si="36"/>
        <v>3.4904109589041097</v>
      </c>
      <c r="M178" s="124">
        <v>10325.541543228497</v>
      </c>
      <c r="N178" s="125">
        <f t="shared" si="37"/>
        <v>51485.968456771501</v>
      </c>
      <c r="O178" s="126">
        <f t="shared" si="38"/>
        <v>16.509589041095889</v>
      </c>
      <c r="P178" s="123">
        <f t="shared" si="39"/>
        <v>48395.392956771502</v>
      </c>
      <c r="Q178" s="125">
        <f t="shared" si="41"/>
        <v>2931.3505524762031</v>
      </c>
      <c r="R178" s="125">
        <f t="shared" si="40"/>
        <v>48554.617904295301</v>
      </c>
      <c r="S178" s="678"/>
      <c r="T178" s="679"/>
    </row>
    <row r="179" spans="1:20" ht="15.75">
      <c r="A179" s="141" t="s">
        <v>102</v>
      </c>
      <c r="B179" s="142">
        <v>42648</v>
      </c>
      <c r="C179" s="135">
        <v>206443</v>
      </c>
      <c r="D179" s="121"/>
      <c r="E179" s="121"/>
      <c r="F179" s="121"/>
      <c r="G179" s="123">
        <f t="shared" si="34"/>
        <v>10322.150000000001</v>
      </c>
      <c r="H179" s="121"/>
      <c r="I179" s="121"/>
      <c r="J179" s="121"/>
      <c r="K179" s="121">
        <f t="shared" si="35"/>
        <v>1273</v>
      </c>
      <c r="L179" s="123">
        <f t="shared" si="36"/>
        <v>3.4876712328767123</v>
      </c>
      <c r="M179" s="124">
        <v>34458.974953872748</v>
      </c>
      <c r="N179" s="125">
        <f t="shared" si="37"/>
        <v>171984.02504612727</v>
      </c>
      <c r="O179" s="126">
        <f t="shared" si="38"/>
        <v>16.512328767123286</v>
      </c>
      <c r="P179" s="123">
        <f t="shared" si="39"/>
        <v>161661.87504612727</v>
      </c>
      <c r="Q179" s="125">
        <f t="shared" si="41"/>
        <v>9790.3740487533541</v>
      </c>
      <c r="R179" s="125">
        <f t="shared" si="40"/>
        <v>162193.65099737392</v>
      </c>
      <c r="S179" s="678"/>
      <c r="T179" s="679"/>
    </row>
    <row r="180" spans="1:20" ht="15.75">
      <c r="A180" s="141" t="s">
        <v>102</v>
      </c>
      <c r="B180" s="142">
        <v>42648</v>
      </c>
      <c r="C180" s="135">
        <v>61146</v>
      </c>
      <c r="D180" s="121"/>
      <c r="E180" s="121"/>
      <c r="F180" s="121"/>
      <c r="G180" s="123">
        <f t="shared" si="34"/>
        <v>3057.3</v>
      </c>
      <c r="H180" s="121"/>
      <c r="I180" s="121"/>
      <c r="J180" s="121"/>
      <c r="K180" s="121">
        <f t="shared" si="35"/>
        <v>1273</v>
      </c>
      <c r="L180" s="123">
        <f t="shared" si="36"/>
        <v>3.4876712328767123</v>
      </c>
      <c r="M180" s="124">
        <v>10206.345008208089</v>
      </c>
      <c r="N180" s="125">
        <f t="shared" si="37"/>
        <v>50939.654991791911</v>
      </c>
      <c r="O180" s="126">
        <f t="shared" si="38"/>
        <v>16.512328767123286</v>
      </c>
      <c r="P180" s="123">
        <f t="shared" si="39"/>
        <v>47882.354991791908</v>
      </c>
      <c r="Q180" s="125">
        <f t="shared" si="41"/>
        <v>2899.7941881539818</v>
      </c>
      <c r="R180" s="125">
        <f t="shared" si="40"/>
        <v>48039.86080363793</v>
      </c>
      <c r="S180" s="678"/>
      <c r="T180" s="679"/>
    </row>
    <row r="181" spans="1:20" ht="15.75">
      <c r="A181" s="141" t="s">
        <v>102</v>
      </c>
      <c r="B181" s="142">
        <v>42648</v>
      </c>
      <c r="C181" s="135">
        <v>20072.259999999998</v>
      </c>
      <c r="D181" s="121"/>
      <c r="E181" s="121"/>
      <c r="F181" s="121"/>
      <c r="G181" s="123">
        <f t="shared" si="34"/>
        <v>1003.6129999999999</v>
      </c>
      <c r="H181" s="121"/>
      <c r="I181" s="121"/>
      <c r="J181" s="121"/>
      <c r="K181" s="121">
        <f t="shared" si="35"/>
        <v>1273</v>
      </c>
      <c r="L181" s="123">
        <f t="shared" si="36"/>
        <v>3.4876712328767123</v>
      </c>
      <c r="M181" s="124">
        <v>3350.4139380246443</v>
      </c>
      <c r="N181" s="125">
        <f t="shared" si="37"/>
        <v>16721.846061975353</v>
      </c>
      <c r="O181" s="126">
        <f t="shared" si="38"/>
        <v>16.512328767123286</v>
      </c>
      <c r="P181" s="123">
        <f t="shared" si="39"/>
        <v>15718.233061975354</v>
      </c>
      <c r="Q181" s="125">
        <f t="shared" si="41"/>
        <v>951.90892112510448</v>
      </c>
      <c r="R181" s="125">
        <f t="shared" si="40"/>
        <v>15769.937140850248</v>
      </c>
      <c r="S181" s="678"/>
      <c r="T181" s="679"/>
    </row>
    <row r="182" spans="1:20" ht="15.75">
      <c r="A182" s="141" t="s">
        <v>102</v>
      </c>
      <c r="B182" s="142">
        <v>42650</v>
      </c>
      <c r="C182" s="135">
        <v>71297</v>
      </c>
      <c r="D182" s="121"/>
      <c r="E182" s="121"/>
      <c r="F182" s="121"/>
      <c r="G182" s="123">
        <f t="shared" si="34"/>
        <v>3564.8500000000004</v>
      </c>
      <c r="H182" s="121"/>
      <c r="I182" s="121"/>
      <c r="J182" s="121"/>
      <c r="K182" s="121">
        <f t="shared" si="35"/>
        <v>1271</v>
      </c>
      <c r="L182" s="123">
        <f t="shared" si="36"/>
        <v>3.4821917808219176</v>
      </c>
      <c r="M182" s="124">
        <v>11882.013971608852</v>
      </c>
      <c r="N182" s="125">
        <f t="shared" si="37"/>
        <v>59414.986028391148</v>
      </c>
      <c r="O182" s="126">
        <f t="shared" si="38"/>
        <v>16.517808219178082</v>
      </c>
      <c r="P182" s="123">
        <f t="shared" si="39"/>
        <v>55850.136028391149</v>
      </c>
      <c r="Q182" s="125">
        <f t="shared" si="41"/>
        <v>3381.2074391047886</v>
      </c>
      <c r="R182" s="125">
        <f t="shared" si="40"/>
        <v>56033.778589286361</v>
      </c>
      <c r="S182" s="678"/>
      <c r="T182" s="679"/>
    </row>
    <row r="183" spans="1:20" ht="15.75">
      <c r="A183" s="141" t="s">
        <v>102</v>
      </c>
      <c r="B183" s="142">
        <v>42662</v>
      </c>
      <c r="C183" s="135">
        <v>30163.33</v>
      </c>
      <c r="D183" s="121"/>
      <c r="E183" s="121"/>
      <c r="F183" s="121"/>
      <c r="G183" s="123">
        <f t="shared" si="34"/>
        <v>1508.1665000000003</v>
      </c>
      <c r="H183" s="121"/>
      <c r="I183" s="121"/>
      <c r="J183" s="121"/>
      <c r="K183" s="121">
        <f t="shared" si="35"/>
        <v>1259</v>
      </c>
      <c r="L183" s="123">
        <f t="shared" si="36"/>
        <v>3.4493150684931506</v>
      </c>
      <c r="M183" s="124">
        <v>4979.3769909450812</v>
      </c>
      <c r="N183" s="125">
        <f t="shared" si="37"/>
        <v>25183.95300905492</v>
      </c>
      <c r="O183" s="126">
        <f t="shared" si="38"/>
        <v>16.550684931506851</v>
      </c>
      <c r="P183" s="123">
        <f t="shared" si="39"/>
        <v>23675.78650905492</v>
      </c>
      <c r="Q183" s="125">
        <f t="shared" si="41"/>
        <v>1430.5019162067613</v>
      </c>
      <c r="R183" s="125">
        <f t="shared" si="40"/>
        <v>23753.451092848158</v>
      </c>
      <c r="S183" s="678"/>
      <c r="T183" s="679"/>
    </row>
    <row r="184" spans="1:20" ht="15.75">
      <c r="A184" s="141" t="s">
        <v>102</v>
      </c>
      <c r="B184" s="142">
        <v>42670</v>
      </c>
      <c r="C184" s="135">
        <v>175308</v>
      </c>
      <c r="D184" s="121"/>
      <c r="E184" s="121"/>
      <c r="F184" s="121"/>
      <c r="G184" s="123">
        <f t="shared" si="34"/>
        <v>8765.4</v>
      </c>
      <c r="H184" s="121"/>
      <c r="I184" s="121"/>
      <c r="J184" s="121"/>
      <c r="K184" s="121">
        <f t="shared" si="35"/>
        <v>1251</v>
      </c>
      <c r="L184" s="123">
        <f t="shared" si="36"/>
        <v>3.4273972602739726</v>
      </c>
      <c r="M184" s="124">
        <v>28755.891062643754</v>
      </c>
      <c r="N184" s="125">
        <f t="shared" si="37"/>
        <v>146552.10893735624</v>
      </c>
      <c r="O184" s="126">
        <f t="shared" si="38"/>
        <v>16.572602739726026</v>
      </c>
      <c r="P184" s="123">
        <f t="shared" si="39"/>
        <v>137786.70893735625</v>
      </c>
      <c r="Q184" s="125">
        <f t="shared" si="41"/>
        <v>8314.1260972284726</v>
      </c>
      <c r="R184" s="125">
        <f t="shared" si="40"/>
        <v>138237.98284012778</v>
      </c>
      <c r="S184" s="678"/>
      <c r="T184" s="679"/>
    </row>
    <row r="185" spans="1:20" ht="15.75">
      <c r="A185" s="141" t="s">
        <v>102</v>
      </c>
      <c r="B185" s="142">
        <v>42670</v>
      </c>
      <c r="C185" s="135">
        <v>70553</v>
      </c>
      <c r="D185" s="121"/>
      <c r="E185" s="121"/>
      <c r="F185" s="121"/>
      <c r="G185" s="123">
        <f t="shared" si="34"/>
        <v>3527.65</v>
      </c>
      <c r="H185" s="121"/>
      <c r="I185" s="121"/>
      <c r="J185" s="121"/>
      <c r="K185" s="121">
        <f t="shared" si="35"/>
        <v>1251</v>
      </c>
      <c r="L185" s="123">
        <f t="shared" si="36"/>
        <v>3.4273972602739726</v>
      </c>
      <c r="M185" s="124">
        <v>11572.856812824884</v>
      </c>
      <c r="N185" s="125">
        <f t="shared" si="37"/>
        <v>58980.143187175112</v>
      </c>
      <c r="O185" s="126">
        <f t="shared" si="38"/>
        <v>16.572602739726026</v>
      </c>
      <c r="P185" s="123">
        <f t="shared" si="39"/>
        <v>55452.493187175111</v>
      </c>
      <c r="Q185" s="125">
        <f t="shared" si="41"/>
        <v>3346.0340574175762</v>
      </c>
      <c r="R185" s="125">
        <f t="shared" si="40"/>
        <v>55634.109129757533</v>
      </c>
      <c r="S185" s="678"/>
      <c r="T185" s="679"/>
    </row>
    <row r="186" spans="1:20" ht="15.75">
      <c r="A186" s="141" t="s">
        <v>102</v>
      </c>
      <c r="B186" s="142">
        <v>42679</v>
      </c>
      <c r="C186" s="135">
        <v>241105.51</v>
      </c>
      <c r="D186" s="121"/>
      <c r="E186" s="121"/>
      <c r="F186" s="121"/>
      <c r="G186" s="123">
        <f t="shared" si="34"/>
        <v>12055.275500000002</v>
      </c>
      <c r="H186" s="121"/>
      <c r="I186" s="121"/>
      <c r="J186" s="121"/>
      <c r="K186" s="121">
        <f t="shared" si="35"/>
        <v>1242</v>
      </c>
      <c r="L186" s="123">
        <f t="shared" si="36"/>
        <v>3.4027397260273973</v>
      </c>
      <c r="M186" s="124">
        <v>39263.950948878482</v>
      </c>
      <c r="N186" s="125">
        <f t="shared" si="37"/>
        <v>201841.55905112153</v>
      </c>
      <c r="O186" s="126">
        <f t="shared" si="38"/>
        <v>16.597260273972601</v>
      </c>
      <c r="P186" s="123">
        <f t="shared" si="39"/>
        <v>189786.28355112154</v>
      </c>
      <c r="Q186" s="125">
        <f t="shared" si="41"/>
        <v>11434.795889098608</v>
      </c>
      <c r="R186" s="125">
        <f t="shared" si="40"/>
        <v>190406.76316202292</v>
      </c>
      <c r="S186" s="678"/>
      <c r="T186" s="679"/>
    </row>
    <row r="187" spans="1:20" ht="15.75">
      <c r="A187" s="141" t="s">
        <v>102</v>
      </c>
      <c r="B187" s="142">
        <v>42679</v>
      </c>
      <c r="C187" s="135">
        <v>269940</v>
      </c>
      <c r="D187" s="121"/>
      <c r="E187" s="121"/>
      <c r="F187" s="121"/>
      <c r="G187" s="123">
        <f t="shared" si="34"/>
        <v>13497</v>
      </c>
      <c r="H187" s="121"/>
      <c r="I187" s="121"/>
      <c r="J187" s="121"/>
      <c r="K187" s="121">
        <f t="shared" si="35"/>
        <v>1242</v>
      </c>
      <c r="L187" s="123">
        <f t="shared" si="36"/>
        <v>3.4027397260273973</v>
      </c>
      <c r="M187" s="124">
        <v>43959.637915949155</v>
      </c>
      <c r="N187" s="125">
        <f t="shared" si="37"/>
        <v>225980.36208405084</v>
      </c>
      <c r="O187" s="126">
        <f t="shared" si="38"/>
        <v>16.597260273972601</v>
      </c>
      <c r="P187" s="123">
        <f t="shared" si="39"/>
        <v>212483.36208405084</v>
      </c>
      <c r="Q187" s="125">
        <f t="shared" si="41"/>
        <v>12802.315477167145</v>
      </c>
      <c r="R187" s="125">
        <f t="shared" si="40"/>
        <v>213178.0466068837</v>
      </c>
      <c r="S187" s="678"/>
      <c r="T187" s="679"/>
    </row>
    <row r="188" spans="1:20" ht="15.75">
      <c r="A188" s="141" t="s">
        <v>102</v>
      </c>
      <c r="B188" s="142">
        <v>42689</v>
      </c>
      <c r="C188" s="135">
        <v>41514</v>
      </c>
      <c r="D188" s="121"/>
      <c r="E188" s="121"/>
      <c r="F188" s="121"/>
      <c r="G188" s="123">
        <f t="shared" si="34"/>
        <v>2075.7000000000003</v>
      </c>
      <c r="H188" s="121"/>
      <c r="I188" s="121"/>
      <c r="J188" s="121"/>
      <c r="K188" s="121">
        <f t="shared" si="35"/>
        <v>1232</v>
      </c>
      <c r="L188" s="123">
        <f t="shared" si="36"/>
        <v>3.3753424657534246</v>
      </c>
      <c r="M188" s="124">
        <v>6706.0643338504742</v>
      </c>
      <c r="N188" s="125">
        <f t="shared" si="37"/>
        <v>34807.935666149526</v>
      </c>
      <c r="O188" s="126">
        <f t="shared" si="38"/>
        <v>16.624657534246577</v>
      </c>
      <c r="P188" s="123">
        <f t="shared" si="39"/>
        <v>32732.235666149525</v>
      </c>
      <c r="Q188" s="125">
        <f t="shared" si="41"/>
        <v>1968.8968388504575</v>
      </c>
      <c r="R188" s="125">
        <f t="shared" si="40"/>
        <v>32839.038827299068</v>
      </c>
      <c r="S188" s="678"/>
      <c r="T188" s="679"/>
    </row>
    <row r="189" spans="1:20" ht="15.75">
      <c r="A189" s="141" t="s">
        <v>102</v>
      </c>
      <c r="B189" s="142">
        <v>42689</v>
      </c>
      <c r="C189" s="135">
        <v>70553</v>
      </c>
      <c r="D189" s="121"/>
      <c r="E189" s="121"/>
      <c r="F189" s="121"/>
      <c r="G189" s="123">
        <f t="shared" si="34"/>
        <v>3527.65</v>
      </c>
      <c r="H189" s="121"/>
      <c r="I189" s="121"/>
      <c r="J189" s="121"/>
      <c r="K189" s="121">
        <f t="shared" si="35"/>
        <v>1232</v>
      </c>
      <c r="L189" s="123">
        <f t="shared" si="36"/>
        <v>3.3753424657534246</v>
      </c>
      <c r="M189" s="124">
        <v>11396.949389269947</v>
      </c>
      <c r="N189" s="125">
        <f t="shared" si="37"/>
        <v>59156.050610730053</v>
      </c>
      <c r="O189" s="126">
        <f t="shared" si="38"/>
        <v>16.624657534246577</v>
      </c>
      <c r="P189" s="123">
        <f t="shared" si="39"/>
        <v>55628.400610730052</v>
      </c>
      <c r="Q189" s="125">
        <f t="shared" si="41"/>
        <v>3346.1381382525492</v>
      </c>
      <c r="R189" s="125">
        <f t="shared" si="40"/>
        <v>55809.912472477503</v>
      </c>
      <c r="S189" s="678"/>
      <c r="T189" s="679"/>
    </row>
    <row r="190" spans="1:20" ht="15.75">
      <c r="A190" s="141" t="s">
        <v>102</v>
      </c>
      <c r="B190" s="142">
        <v>42689</v>
      </c>
      <c r="C190" s="135">
        <v>196064</v>
      </c>
      <c r="D190" s="121"/>
      <c r="E190" s="121"/>
      <c r="F190" s="121"/>
      <c r="G190" s="123">
        <f t="shared" si="34"/>
        <v>9803.2000000000007</v>
      </c>
      <c r="H190" s="121"/>
      <c r="I190" s="121"/>
      <c r="J190" s="121"/>
      <c r="K190" s="121">
        <f t="shared" si="35"/>
        <v>1232</v>
      </c>
      <c r="L190" s="123">
        <f t="shared" si="36"/>
        <v>3.3753424657534246</v>
      </c>
      <c r="M190" s="124">
        <v>31671.672147999696</v>
      </c>
      <c r="N190" s="125">
        <f t="shared" si="37"/>
        <v>164392.32785200031</v>
      </c>
      <c r="O190" s="126">
        <f t="shared" si="38"/>
        <v>16.624657534246577</v>
      </c>
      <c r="P190" s="123">
        <f t="shared" si="39"/>
        <v>154589.1278520003</v>
      </c>
      <c r="Q190" s="125">
        <f t="shared" si="41"/>
        <v>9298.7857063250012</v>
      </c>
      <c r="R190" s="125">
        <f t="shared" si="40"/>
        <v>155093.54214567531</v>
      </c>
      <c r="S190" s="678"/>
      <c r="T190" s="679"/>
    </row>
    <row r="191" spans="1:20" ht="15.75">
      <c r="A191" s="141" t="s">
        <v>102</v>
      </c>
      <c r="B191" s="142">
        <v>42691</v>
      </c>
      <c r="C191" s="135">
        <v>134672</v>
      </c>
      <c r="D191" s="121"/>
      <c r="E191" s="121"/>
      <c r="F191" s="121"/>
      <c r="G191" s="123">
        <f t="shared" si="34"/>
        <v>6733.6</v>
      </c>
      <c r="H191" s="121"/>
      <c r="I191" s="121"/>
      <c r="J191" s="121"/>
      <c r="K191" s="121">
        <f t="shared" si="35"/>
        <v>1230</v>
      </c>
      <c r="L191" s="123">
        <f t="shared" si="36"/>
        <v>3.3698630136986303</v>
      </c>
      <c r="M191" s="124">
        <v>21719.22249252969</v>
      </c>
      <c r="N191" s="125">
        <f t="shared" si="37"/>
        <v>112952.77750747031</v>
      </c>
      <c r="O191" s="126">
        <f t="shared" si="38"/>
        <v>16.63013698630137</v>
      </c>
      <c r="P191" s="123">
        <f t="shared" si="39"/>
        <v>106219.1775074703</v>
      </c>
      <c r="Q191" s="125">
        <f t="shared" si="41"/>
        <v>6387.1498830686423</v>
      </c>
      <c r="R191" s="125">
        <f t="shared" si="40"/>
        <v>106565.62762440166</v>
      </c>
      <c r="S191" s="678"/>
      <c r="T191" s="679"/>
    </row>
    <row r="192" spans="1:20" ht="15.75">
      <c r="A192" s="141" t="s">
        <v>102</v>
      </c>
      <c r="B192" s="142">
        <v>42709</v>
      </c>
      <c r="C192" s="135">
        <v>228324</v>
      </c>
      <c r="D192" s="121"/>
      <c r="E192" s="121"/>
      <c r="F192" s="121"/>
      <c r="G192" s="123">
        <f t="shared" si="34"/>
        <v>11416.2</v>
      </c>
      <c r="H192" s="121"/>
      <c r="I192" s="121"/>
      <c r="J192" s="121"/>
      <c r="K192" s="121">
        <f t="shared" si="35"/>
        <v>1212</v>
      </c>
      <c r="L192" s="123">
        <f t="shared" si="36"/>
        <v>3.3205479452054796</v>
      </c>
      <c r="M192" s="124">
        <v>36283.634955462818</v>
      </c>
      <c r="N192" s="125">
        <f t="shared" si="37"/>
        <v>192040.36504453717</v>
      </c>
      <c r="O192" s="126">
        <f t="shared" si="38"/>
        <v>16.67945205479452</v>
      </c>
      <c r="P192" s="123">
        <f t="shared" si="39"/>
        <v>180624.16504453716</v>
      </c>
      <c r="Q192" s="125">
        <f t="shared" si="41"/>
        <v>10829.142615186607</v>
      </c>
      <c r="R192" s="125">
        <f t="shared" si="40"/>
        <v>181211.22242935057</v>
      </c>
      <c r="S192" s="678"/>
      <c r="T192" s="679"/>
    </row>
    <row r="193" spans="1:20" ht="15.75">
      <c r="A193" s="141" t="s">
        <v>102</v>
      </c>
      <c r="B193" s="142">
        <v>42709</v>
      </c>
      <c r="C193" s="135">
        <v>23518</v>
      </c>
      <c r="D193" s="121"/>
      <c r="E193" s="121"/>
      <c r="F193" s="121"/>
      <c r="G193" s="123">
        <f t="shared" si="34"/>
        <v>1175.9000000000001</v>
      </c>
      <c r="H193" s="121"/>
      <c r="I193" s="121"/>
      <c r="J193" s="121"/>
      <c r="K193" s="121">
        <f t="shared" si="35"/>
        <v>1212</v>
      </c>
      <c r="L193" s="123">
        <f t="shared" si="36"/>
        <v>3.3205479452054796</v>
      </c>
      <c r="M193" s="124">
        <v>3737.3141977303071</v>
      </c>
      <c r="N193" s="125">
        <f t="shared" si="37"/>
        <v>19780.685802269694</v>
      </c>
      <c r="O193" s="126">
        <f t="shared" si="38"/>
        <v>16.67945205479452</v>
      </c>
      <c r="P193" s="123">
        <f t="shared" si="39"/>
        <v>18604.785802269693</v>
      </c>
      <c r="Q193" s="125">
        <f t="shared" si="41"/>
        <v>1115.4314746761561</v>
      </c>
      <c r="R193" s="125">
        <f t="shared" si="40"/>
        <v>18665.254327593539</v>
      </c>
      <c r="S193" s="678"/>
      <c r="T193" s="679"/>
    </row>
    <row r="194" spans="1:20" ht="15.75">
      <c r="A194" s="141" t="s">
        <v>102</v>
      </c>
      <c r="B194" s="142">
        <v>42718</v>
      </c>
      <c r="C194" s="135">
        <v>30163.360000000001</v>
      </c>
      <c r="D194" s="121"/>
      <c r="E194" s="121"/>
      <c r="F194" s="121"/>
      <c r="G194" s="123">
        <f t="shared" si="34"/>
        <v>1508.1680000000001</v>
      </c>
      <c r="H194" s="121"/>
      <c r="I194" s="121"/>
      <c r="J194" s="121"/>
      <c r="K194" s="121">
        <f t="shared" si="35"/>
        <v>1203</v>
      </c>
      <c r="L194" s="123">
        <f t="shared" si="36"/>
        <v>3.2958904109589042</v>
      </c>
      <c r="M194" s="124">
        <v>4757.7242415883093</v>
      </c>
      <c r="N194" s="125">
        <f t="shared" si="37"/>
        <v>25405.635758411692</v>
      </c>
      <c r="O194" s="126">
        <f t="shared" si="38"/>
        <v>16.704109589041096</v>
      </c>
      <c r="P194" s="123">
        <f t="shared" si="39"/>
        <v>23897.467758411691</v>
      </c>
      <c r="Q194" s="125">
        <f t="shared" si="41"/>
        <v>1430.6340383500519</v>
      </c>
      <c r="R194" s="125">
        <f t="shared" si="40"/>
        <v>23975.001720061642</v>
      </c>
      <c r="S194" s="678"/>
      <c r="T194" s="679"/>
    </row>
    <row r="195" spans="1:20" ht="15.75">
      <c r="A195" s="141" t="s">
        <v>102</v>
      </c>
      <c r="B195" s="142">
        <v>42723</v>
      </c>
      <c r="C195" s="135">
        <v>61849.06</v>
      </c>
      <c r="D195" s="121"/>
      <c r="E195" s="121"/>
      <c r="F195" s="121"/>
      <c r="G195" s="123">
        <f t="shared" si="34"/>
        <v>3092.453</v>
      </c>
      <c r="H195" s="121"/>
      <c r="I195" s="121"/>
      <c r="J195" s="121"/>
      <c r="K195" s="121">
        <f t="shared" si="35"/>
        <v>1198</v>
      </c>
      <c r="L195" s="123">
        <f t="shared" si="36"/>
        <v>3.2821917808219179</v>
      </c>
      <c r="M195" s="124">
        <v>9714.9894974752551</v>
      </c>
      <c r="N195" s="125">
        <f t="shared" si="37"/>
        <v>52134.070502524744</v>
      </c>
      <c r="O195" s="126">
        <f t="shared" si="38"/>
        <v>16.717808219178082</v>
      </c>
      <c r="P195" s="123">
        <f t="shared" si="39"/>
        <v>49041.617502524743</v>
      </c>
      <c r="Q195" s="125">
        <f t="shared" si="41"/>
        <v>2933.4956388760293</v>
      </c>
      <c r="R195" s="125">
        <f t="shared" si="40"/>
        <v>49200.574863648711</v>
      </c>
      <c r="S195" s="678"/>
      <c r="T195" s="679"/>
    </row>
    <row r="196" spans="1:20" ht="15.75">
      <c r="A196" s="141" t="s">
        <v>102</v>
      </c>
      <c r="B196" s="142">
        <v>42727</v>
      </c>
      <c r="C196" s="135">
        <v>269940</v>
      </c>
      <c r="D196" s="121"/>
      <c r="E196" s="121"/>
      <c r="F196" s="121"/>
      <c r="G196" s="123">
        <f t="shared" si="34"/>
        <v>13497</v>
      </c>
      <c r="H196" s="121"/>
      <c r="I196" s="121"/>
      <c r="J196" s="121"/>
      <c r="K196" s="121">
        <f t="shared" si="35"/>
        <v>1194</v>
      </c>
      <c r="L196" s="123">
        <f t="shared" si="36"/>
        <v>3.2712328767123289</v>
      </c>
      <c r="M196" s="124">
        <v>42259.345716138072</v>
      </c>
      <c r="N196" s="125">
        <f t="shared" si="37"/>
        <v>227680.65428386192</v>
      </c>
      <c r="O196" s="126">
        <f t="shared" si="38"/>
        <v>16.728767123287671</v>
      </c>
      <c r="P196" s="123">
        <f t="shared" si="39"/>
        <v>214183.65428386192</v>
      </c>
      <c r="Q196" s="125">
        <f t="shared" si="41"/>
        <v>12803.313759189257</v>
      </c>
      <c r="R196" s="125">
        <f t="shared" si="40"/>
        <v>214877.34052467268</v>
      </c>
      <c r="S196" s="678"/>
      <c r="T196" s="679"/>
    </row>
    <row r="197" spans="1:20" ht="15.75">
      <c r="A197" s="141" t="s">
        <v>102</v>
      </c>
      <c r="B197" s="142">
        <v>42727</v>
      </c>
      <c r="C197" s="135">
        <v>241105.52</v>
      </c>
      <c r="D197" s="121"/>
      <c r="E197" s="121"/>
      <c r="F197" s="121"/>
      <c r="G197" s="123">
        <f t="shared" si="34"/>
        <v>12055.276</v>
      </c>
      <c r="H197" s="121"/>
      <c r="I197" s="121"/>
      <c r="J197" s="121"/>
      <c r="K197" s="121">
        <f t="shared" si="35"/>
        <v>1194</v>
      </c>
      <c r="L197" s="123">
        <f t="shared" si="36"/>
        <v>3.2712328767123289</v>
      </c>
      <c r="M197" s="124">
        <v>37745.282372931913</v>
      </c>
      <c r="N197" s="125">
        <f t="shared" si="37"/>
        <v>203360.23762706807</v>
      </c>
      <c r="O197" s="126">
        <f t="shared" si="38"/>
        <v>16.728767123287671</v>
      </c>
      <c r="P197" s="123">
        <f t="shared" si="39"/>
        <v>191304.96162706806</v>
      </c>
      <c r="Q197" s="125">
        <f t="shared" si="41"/>
        <v>11435.688010789361</v>
      </c>
      <c r="R197" s="125">
        <f t="shared" si="40"/>
        <v>191924.5496162787</v>
      </c>
      <c r="S197" s="678"/>
      <c r="T197" s="679"/>
    </row>
    <row r="198" spans="1:20" ht="15.75">
      <c r="A198" s="141" t="s">
        <v>102</v>
      </c>
      <c r="B198" s="142">
        <v>42727</v>
      </c>
      <c r="C198" s="135">
        <v>126943</v>
      </c>
      <c r="D198" s="121"/>
      <c r="E198" s="121"/>
      <c r="F198" s="121"/>
      <c r="G198" s="123">
        <f t="shared" si="34"/>
        <v>6347.1500000000005</v>
      </c>
      <c r="H198" s="121"/>
      <c r="I198" s="121"/>
      <c r="J198" s="121"/>
      <c r="K198" s="121">
        <f t="shared" si="35"/>
        <v>1194</v>
      </c>
      <c r="L198" s="123">
        <f t="shared" si="36"/>
        <v>3.2712328767123289</v>
      </c>
      <c r="M198" s="124">
        <v>19873.038909549214</v>
      </c>
      <c r="N198" s="125">
        <f t="shared" si="37"/>
        <v>107069.96109045079</v>
      </c>
      <c r="O198" s="126">
        <f t="shared" si="38"/>
        <v>16.728767123287671</v>
      </c>
      <c r="P198" s="123">
        <f t="shared" si="39"/>
        <v>100722.81109045079</v>
      </c>
      <c r="Q198" s="125">
        <f t="shared" si="41"/>
        <v>6020.9344985284215</v>
      </c>
      <c r="R198" s="125">
        <f t="shared" si="40"/>
        <v>101049.02659192236</v>
      </c>
      <c r="S198" s="678"/>
      <c r="T198" s="679"/>
    </row>
    <row r="199" spans="1:20" ht="15.75">
      <c r="A199" s="141" t="s">
        <v>102</v>
      </c>
      <c r="B199" s="142">
        <v>42727</v>
      </c>
      <c r="C199" s="135">
        <v>70553</v>
      </c>
      <c r="D199" s="121"/>
      <c r="E199" s="121"/>
      <c r="F199" s="121"/>
      <c r="G199" s="123">
        <f t="shared" si="34"/>
        <v>3527.65</v>
      </c>
      <c r="H199" s="121"/>
      <c r="I199" s="121"/>
      <c r="J199" s="121"/>
      <c r="K199" s="121">
        <f t="shared" si="35"/>
        <v>1194</v>
      </c>
      <c r="L199" s="123">
        <f t="shared" si="36"/>
        <v>3.2712328767123289</v>
      </c>
      <c r="M199" s="124">
        <v>11045.134542160071</v>
      </c>
      <c r="N199" s="125">
        <f t="shared" si="37"/>
        <v>59507.865457839929</v>
      </c>
      <c r="O199" s="126">
        <f t="shared" si="38"/>
        <v>16.728767123287671</v>
      </c>
      <c r="P199" s="123">
        <f t="shared" si="39"/>
        <v>55980.215457839928</v>
      </c>
      <c r="Q199" s="125">
        <f t="shared" si="41"/>
        <v>3346.3443567166023</v>
      </c>
      <c r="R199" s="125">
        <f t="shared" si="40"/>
        <v>56161.521101123326</v>
      </c>
      <c r="S199" s="678"/>
      <c r="T199" s="679"/>
    </row>
    <row r="200" spans="1:20" ht="15.75">
      <c r="A200" s="141" t="s">
        <v>102</v>
      </c>
      <c r="B200" s="142">
        <v>42727</v>
      </c>
      <c r="C200" s="135">
        <v>27608</v>
      </c>
      <c r="D200" s="121"/>
      <c r="E200" s="121"/>
      <c r="F200" s="121"/>
      <c r="G200" s="123">
        <f t="shared" si="34"/>
        <v>1380.4</v>
      </c>
      <c r="H200" s="121"/>
      <c r="I200" s="121"/>
      <c r="J200" s="121"/>
      <c r="K200" s="121">
        <f t="shared" si="35"/>
        <v>1194</v>
      </c>
      <c r="L200" s="123">
        <f t="shared" si="36"/>
        <v>3.2712328767123289</v>
      </c>
      <c r="M200" s="124">
        <v>4322.05681459265</v>
      </c>
      <c r="N200" s="125">
        <f t="shared" si="37"/>
        <v>23285.943185407348</v>
      </c>
      <c r="O200" s="126">
        <f t="shared" si="38"/>
        <v>16.728767123287671</v>
      </c>
      <c r="P200" s="123">
        <f t="shared" si="39"/>
        <v>21905.543185407347</v>
      </c>
      <c r="Q200" s="125">
        <f t="shared" si="41"/>
        <v>1309.4535313910385</v>
      </c>
      <c r="R200" s="125">
        <f t="shared" si="40"/>
        <v>21976.48965401631</v>
      </c>
      <c r="S200" s="678"/>
      <c r="T200" s="679"/>
    </row>
    <row r="201" spans="1:20" ht="15.75">
      <c r="A201" s="141" t="s">
        <v>102</v>
      </c>
      <c r="B201" s="142">
        <v>42728</v>
      </c>
      <c r="C201" s="135">
        <v>112731</v>
      </c>
      <c r="D201" s="121"/>
      <c r="E201" s="121"/>
      <c r="F201" s="121"/>
      <c r="G201" s="123">
        <f t="shared" si="34"/>
        <v>5636.55</v>
      </c>
      <c r="H201" s="121"/>
      <c r="I201" s="121"/>
      <c r="J201" s="121"/>
      <c r="K201" s="121">
        <f t="shared" si="35"/>
        <v>1193</v>
      </c>
      <c r="L201" s="123">
        <f t="shared" si="36"/>
        <v>3.2684931506849315</v>
      </c>
      <c r="M201" s="124">
        <v>17633.344667060985</v>
      </c>
      <c r="N201" s="125">
        <f t="shared" si="37"/>
        <v>95097.655332939015</v>
      </c>
      <c r="O201" s="126">
        <f t="shared" si="38"/>
        <v>16.731506849315068</v>
      </c>
      <c r="P201" s="123">
        <f t="shared" si="39"/>
        <v>89461.105332939012</v>
      </c>
      <c r="Q201" s="125">
        <f t="shared" si="41"/>
        <v>5346.8648184907061</v>
      </c>
      <c r="R201" s="125">
        <f t="shared" si="40"/>
        <v>89750.790514448308</v>
      </c>
      <c r="S201" s="678"/>
      <c r="T201" s="679"/>
    </row>
    <row r="202" spans="1:20" ht="15.75">
      <c r="A202" s="141" t="s">
        <v>102</v>
      </c>
      <c r="B202" s="142">
        <v>42754</v>
      </c>
      <c r="C202" s="135">
        <v>46475</v>
      </c>
      <c r="D202" s="121"/>
      <c r="E202" s="121"/>
      <c r="F202" s="121"/>
      <c r="G202" s="123">
        <f t="shared" si="34"/>
        <v>2323.75</v>
      </c>
      <c r="H202" s="121"/>
      <c r="I202" s="121"/>
      <c r="J202" s="121"/>
      <c r="K202" s="121">
        <f t="shared" si="35"/>
        <v>1167</v>
      </c>
      <c r="L202" s="123">
        <f t="shared" si="36"/>
        <v>3.1972602739726028</v>
      </c>
      <c r="M202" s="124">
        <v>7111.038507317433</v>
      </c>
      <c r="N202" s="125">
        <f t="shared" si="37"/>
        <v>39363.961492682567</v>
      </c>
      <c r="O202" s="126">
        <f t="shared" si="38"/>
        <v>16.802739726027397</v>
      </c>
      <c r="P202" s="123">
        <f t="shared" si="39"/>
        <v>37040.211492682567</v>
      </c>
      <c r="Q202" s="125">
        <f t="shared" si="41"/>
        <v>2204.4149999721403</v>
      </c>
      <c r="R202" s="125">
        <f t="shared" si="40"/>
        <v>37159.546492710426</v>
      </c>
      <c r="S202" s="678"/>
      <c r="T202" s="679"/>
    </row>
    <row r="203" spans="1:20" ht="15.75">
      <c r="A203" s="141" t="s">
        <v>102</v>
      </c>
      <c r="B203" s="142">
        <v>42770</v>
      </c>
      <c r="C203" s="135">
        <v>1634190</v>
      </c>
      <c r="D203" s="121"/>
      <c r="E203" s="121"/>
      <c r="F203" s="121"/>
      <c r="G203" s="123">
        <f t="shared" si="34"/>
        <v>81709.5</v>
      </c>
      <c r="H203" s="121"/>
      <c r="I203" s="121"/>
      <c r="J203" s="121"/>
      <c r="K203" s="121">
        <f t="shared" si="35"/>
        <v>1151</v>
      </c>
      <c r="L203" s="123">
        <f t="shared" si="36"/>
        <v>3.1534246575342464</v>
      </c>
      <c r="M203" s="124">
        <v>246612.71845214622</v>
      </c>
      <c r="N203" s="125">
        <f t="shared" si="37"/>
        <v>1387577.2815478537</v>
      </c>
      <c r="O203" s="126">
        <f t="shared" si="38"/>
        <v>16.846575342465755</v>
      </c>
      <c r="P203" s="123">
        <f t="shared" si="39"/>
        <v>1305867.7815478537</v>
      </c>
      <c r="Q203" s="125">
        <f t="shared" si="41"/>
        <v>77515.32611237056</v>
      </c>
      <c r="R203" s="125">
        <f t="shared" si="40"/>
        <v>1310061.9554354833</v>
      </c>
      <c r="S203" s="678"/>
      <c r="T203" s="679"/>
    </row>
    <row r="204" spans="1:20" ht="15.75">
      <c r="A204" s="141" t="s">
        <v>102</v>
      </c>
      <c r="B204" s="142">
        <v>42774</v>
      </c>
      <c r="C204" s="135">
        <v>196064</v>
      </c>
      <c r="D204" s="121"/>
      <c r="E204" s="121"/>
      <c r="F204" s="121"/>
      <c r="G204" s="123">
        <f t="shared" si="34"/>
        <v>9803.2000000000007</v>
      </c>
      <c r="H204" s="121"/>
      <c r="I204" s="121"/>
      <c r="J204" s="121"/>
      <c r="K204" s="121">
        <f t="shared" si="35"/>
        <v>1147</v>
      </c>
      <c r="L204" s="123">
        <f t="shared" si="36"/>
        <v>3.1424657534246574</v>
      </c>
      <c r="M204" s="124">
        <v>29484.757336805567</v>
      </c>
      <c r="N204" s="125">
        <f t="shared" si="37"/>
        <v>166579.24266319443</v>
      </c>
      <c r="O204" s="126">
        <f t="shared" si="38"/>
        <v>16.857534246575341</v>
      </c>
      <c r="P204" s="123">
        <f t="shared" si="39"/>
        <v>156776.04266319441</v>
      </c>
      <c r="Q204" s="125">
        <f t="shared" si="41"/>
        <v>9300.0577884066261</v>
      </c>
      <c r="R204" s="125">
        <f t="shared" si="40"/>
        <v>157279.18487478781</v>
      </c>
      <c r="S204" s="678"/>
      <c r="T204" s="679"/>
    </row>
    <row r="205" spans="1:20" ht="15.75">
      <c r="A205" s="141" t="s">
        <v>102</v>
      </c>
      <c r="B205" s="142">
        <v>42774</v>
      </c>
      <c r="C205" s="135">
        <v>58794</v>
      </c>
      <c r="D205" s="121"/>
      <c r="E205" s="121"/>
      <c r="F205" s="121"/>
      <c r="G205" s="123">
        <f t="shared" si="34"/>
        <v>2939.7000000000003</v>
      </c>
      <c r="H205" s="121"/>
      <c r="I205" s="121"/>
      <c r="J205" s="121"/>
      <c r="K205" s="121">
        <f t="shared" si="35"/>
        <v>1147</v>
      </c>
      <c r="L205" s="123">
        <f t="shared" si="36"/>
        <v>3.1424657534246574</v>
      </c>
      <c r="M205" s="124">
        <v>8841.6375411097724</v>
      </c>
      <c r="N205" s="125">
        <f t="shared" si="37"/>
        <v>49952.362458890231</v>
      </c>
      <c r="O205" s="126">
        <f t="shared" si="38"/>
        <v>16.857534246575341</v>
      </c>
      <c r="P205" s="123">
        <f t="shared" si="39"/>
        <v>47012.662458890234</v>
      </c>
      <c r="Q205" s="125">
        <f t="shared" si="41"/>
        <v>2788.8220051186313</v>
      </c>
      <c r="R205" s="125">
        <f t="shared" si="40"/>
        <v>47163.540453771602</v>
      </c>
      <c r="S205" s="678"/>
      <c r="T205" s="679"/>
    </row>
    <row r="206" spans="1:20" ht="15.75">
      <c r="A206" s="141" t="s">
        <v>102</v>
      </c>
      <c r="B206" s="142">
        <v>42791</v>
      </c>
      <c r="C206" s="135">
        <v>345345.51</v>
      </c>
      <c r="D206" s="121"/>
      <c r="E206" s="121"/>
      <c r="F206" s="121"/>
      <c r="G206" s="123">
        <f t="shared" si="34"/>
        <v>17267.2755</v>
      </c>
      <c r="H206" s="121"/>
      <c r="I206" s="121"/>
      <c r="J206" s="121"/>
      <c r="K206" s="121">
        <f t="shared" si="35"/>
        <v>1130</v>
      </c>
      <c r="L206" s="123">
        <f t="shared" si="36"/>
        <v>3.095890410958904</v>
      </c>
      <c r="M206" s="124">
        <v>51163.805275551269</v>
      </c>
      <c r="N206" s="125">
        <f t="shared" si="37"/>
        <v>294181.70472444873</v>
      </c>
      <c r="O206" s="126">
        <f t="shared" si="38"/>
        <v>16.904109589041095</v>
      </c>
      <c r="P206" s="123">
        <f t="shared" si="39"/>
        <v>276914.42922444874</v>
      </c>
      <c r="Q206" s="125">
        <f t="shared" si="41"/>
        <v>16381.485683456045</v>
      </c>
      <c r="R206" s="125">
        <f t="shared" si="40"/>
        <v>277800.21904099267</v>
      </c>
      <c r="S206" s="678"/>
      <c r="T206" s="679"/>
    </row>
    <row r="207" spans="1:20" ht="15.75">
      <c r="A207" s="141" t="s">
        <v>102</v>
      </c>
      <c r="B207" s="142">
        <v>42791</v>
      </c>
      <c r="C207" s="135">
        <v>40144.49</v>
      </c>
      <c r="D207" s="121"/>
      <c r="E207" s="121"/>
      <c r="F207" s="121"/>
      <c r="G207" s="123">
        <f t="shared" ref="G207:G258" si="42">C207*5%</f>
        <v>2007.2245</v>
      </c>
      <c r="H207" s="121"/>
      <c r="I207" s="121"/>
      <c r="J207" s="121"/>
      <c r="K207" s="121">
        <f t="shared" ref="K207:K258" si="43">$K$2-B207</f>
        <v>1130</v>
      </c>
      <c r="L207" s="123">
        <f t="shared" ref="L207:L258" si="44">K207/365</f>
        <v>3.095890410958904</v>
      </c>
      <c r="M207" s="124">
        <v>5947.5070900626888</v>
      </c>
      <c r="N207" s="125">
        <f t="shared" ref="N207:N258" si="45">C207-M207</f>
        <v>34196.982909937309</v>
      </c>
      <c r="O207" s="126">
        <f t="shared" ref="O207:O258" si="46">$O$14-L207</f>
        <v>16.904109589041095</v>
      </c>
      <c r="P207" s="123">
        <f t="shared" ref="P207:P258" si="47">N207-G207</f>
        <v>32189.758409937309</v>
      </c>
      <c r="Q207" s="125">
        <f t="shared" si="41"/>
        <v>1904.2563727110403</v>
      </c>
      <c r="R207" s="125">
        <f t="shared" ref="R207:R258" si="48">N207-Q207</f>
        <v>32292.72653722627</v>
      </c>
      <c r="S207" s="678"/>
      <c r="T207" s="679"/>
    </row>
    <row r="208" spans="1:20" ht="15.75">
      <c r="A208" s="141" t="s">
        <v>102</v>
      </c>
      <c r="B208" s="142">
        <v>42798</v>
      </c>
      <c r="C208" s="135">
        <v>181622</v>
      </c>
      <c r="D208" s="121"/>
      <c r="E208" s="121"/>
      <c r="F208" s="121"/>
      <c r="G208" s="123">
        <f t="shared" si="42"/>
        <v>9081.1</v>
      </c>
      <c r="H208" s="121"/>
      <c r="I208" s="121"/>
      <c r="J208" s="121"/>
      <c r="K208" s="121">
        <f t="shared" si="43"/>
        <v>1123</v>
      </c>
      <c r="L208" s="123">
        <f t="shared" si="44"/>
        <v>3.0767123287671234</v>
      </c>
      <c r="M208" s="124">
        <v>26740.922924508544</v>
      </c>
      <c r="N208" s="125">
        <f t="shared" si="45"/>
        <v>154881.07707549146</v>
      </c>
      <c r="O208" s="126">
        <f t="shared" si="46"/>
        <v>16.923287671232877</v>
      </c>
      <c r="P208" s="123">
        <f t="shared" si="47"/>
        <v>145799.97707549145</v>
      </c>
      <c r="Q208" s="125">
        <f t="shared" si="41"/>
        <v>8615.3459013363081</v>
      </c>
      <c r="R208" s="125">
        <f t="shared" si="48"/>
        <v>146265.73117415514</v>
      </c>
      <c r="S208" s="678"/>
      <c r="T208" s="679"/>
    </row>
    <row r="209" spans="1:20" ht="15.75">
      <c r="A209" s="141" t="s">
        <v>102</v>
      </c>
      <c r="B209" s="142">
        <v>42800</v>
      </c>
      <c r="C209" s="135">
        <v>29047</v>
      </c>
      <c r="D209" s="121"/>
      <c r="E209" s="121"/>
      <c r="F209" s="121"/>
      <c r="G209" s="123">
        <f t="shared" si="42"/>
        <v>1452.3500000000001</v>
      </c>
      <c r="H209" s="121"/>
      <c r="I209" s="121"/>
      <c r="J209" s="121"/>
      <c r="K209" s="121">
        <f t="shared" si="43"/>
        <v>1121</v>
      </c>
      <c r="L209" s="123">
        <f t="shared" si="44"/>
        <v>3.0712328767123287</v>
      </c>
      <c r="M209" s="124">
        <v>4269.0809401519919</v>
      </c>
      <c r="N209" s="125">
        <f t="shared" si="45"/>
        <v>24777.919059848009</v>
      </c>
      <c r="O209" s="126">
        <f t="shared" si="46"/>
        <v>16.92876712328767</v>
      </c>
      <c r="P209" s="123">
        <f t="shared" si="47"/>
        <v>23325.569059848011</v>
      </c>
      <c r="Q209" s="125">
        <f t="shared" si="41"/>
        <v>1377.865788451938</v>
      </c>
      <c r="R209" s="125">
        <f t="shared" si="48"/>
        <v>23400.053271396071</v>
      </c>
      <c r="S209" s="678"/>
      <c r="T209" s="679"/>
    </row>
    <row r="210" spans="1:20" ht="15.75">
      <c r="A210" s="141" t="s">
        <v>102</v>
      </c>
      <c r="B210" s="142">
        <v>42800</v>
      </c>
      <c r="C210" s="135">
        <v>73443.5</v>
      </c>
      <c r="D210" s="121"/>
      <c r="E210" s="121"/>
      <c r="F210" s="121"/>
      <c r="G210" s="123">
        <f t="shared" si="42"/>
        <v>3672.1750000000002</v>
      </c>
      <c r="H210" s="121"/>
      <c r="I210" s="121"/>
      <c r="J210" s="121"/>
      <c r="K210" s="121">
        <f t="shared" si="43"/>
        <v>1121</v>
      </c>
      <c r="L210" s="123">
        <f t="shared" si="44"/>
        <v>3.0712328767123287</v>
      </c>
      <c r="M210" s="124">
        <v>10794.100803114015</v>
      </c>
      <c r="N210" s="125">
        <f t="shared" si="45"/>
        <v>62649.399196885985</v>
      </c>
      <c r="O210" s="126">
        <f t="shared" si="46"/>
        <v>16.92876712328767</v>
      </c>
      <c r="P210" s="123">
        <f t="shared" si="47"/>
        <v>58977.224196885982</v>
      </c>
      <c r="Q210" s="125">
        <f t="shared" si="41"/>
        <v>3483.8463880665777</v>
      </c>
      <c r="R210" s="125">
        <f t="shared" si="48"/>
        <v>59165.552808819404</v>
      </c>
      <c r="S210" s="678"/>
      <c r="T210" s="679"/>
    </row>
    <row r="211" spans="1:20" ht="15.75">
      <c r="A211" s="141" t="s">
        <v>102</v>
      </c>
      <c r="B211" s="142">
        <v>42804</v>
      </c>
      <c r="C211" s="135">
        <v>53341</v>
      </c>
      <c r="D211" s="121"/>
      <c r="E211" s="121"/>
      <c r="F211" s="121"/>
      <c r="G211" s="123">
        <f t="shared" si="42"/>
        <v>2667.05</v>
      </c>
      <c r="H211" s="121"/>
      <c r="I211" s="121"/>
      <c r="J211" s="121"/>
      <c r="K211" s="121">
        <f t="shared" si="43"/>
        <v>1117</v>
      </c>
      <c r="L211" s="123">
        <f t="shared" si="44"/>
        <v>3.0602739726027397</v>
      </c>
      <c r="M211" s="124">
        <v>7811.6077826567562</v>
      </c>
      <c r="N211" s="125">
        <f t="shared" si="45"/>
        <v>45529.392217343244</v>
      </c>
      <c r="O211" s="126">
        <f t="shared" si="46"/>
        <v>16.93972602739726</v>
      </c>
      <c r="P211" s="123">
        <f t="shared" si="47"/>
        <v>42862.342217343241</v>
      </c>
      <c r="Q211" s="125">
        <f t="shared" si="41"/>
        <v>2530.2854454682652</v>
      </c>
      <c r="R211" s="125">
        <f t="shared" si="48"/>
        <v>42999.106771874976</v>
      </c>
      <c r="S211" s="678"/>
      <c r="T211" s="679"/>
    </row>
    <row r="212" spans="1:20" ht="15.75">
      <c r="A212" s="141" t="s">
        <v>102</v>
      </c>
      <c r="B212" s="142">
        <v>42810</v>
      </c>
      <c r="C212" s="135">
        <v>42414.3</v>
      </c>
      <c r="D212" s="121"/>
      <c r="E212" s="121"/>
      <c r="F212" s="121"/>
      <c r="G212" s="123">
        <f t="shared" si="42"/>
        <v>2120.7150000000001</v>
      </c>
      <c r="H212" s="121"/>
      <c r="I212" s="121"/>
      <c r="J212" s="121"/>
      <c r="K212" s="121">
        <f t="shared" si="43"/>
        <v>1111</v>
      </c>
      <c r="L212" s="123">
        <f t="shared" si="44"/>
        <v>3.043835616438356</v>
      </c>
      <c r="M212" s="124">
        <v>6178.034997746151</v>
      </c>
      <c r="N212" s="125">
        <f t="shared" si="45"/>
        <v>36236.265002253851</v>
      </c>
      <c r="O212" s="126">
        <f t="shared" si="46"/>
        <v>16.956164383561642</v>
      </c>
      <c r="P212" s="123">
        <f t="shared" si="47"/>
        <v>34115.550002253847</v>
      </c>
      <c r="Q212" s="125">
        <f t="shared" si="41"/>
        <v>2011.9850946554623</v>
      </c>
      <c r="R212" s="125">
        <f t="shared" si="48"/>
        <v>34224.279907598386</v>
      </c>
      <c r="S212" s="678"/>
      <c r="T212" s="679"/>
    </row>
    <row r="213" spans="1:20" ht="15.75">
      <c r="A213" s="141" t="s">
        <v>102</v>
      </c>
      <c r="B213" s="142">
        <v>42812</v>
      </c>
      <c r="C213" s="135">
        <v>26585</v>
      </c>
      <c r="D213" s="121"/>
      <c r="E213" s="121"/>
      <c r="F213" s="121"/>
      <c r="G213" s="123">
        <f t="shared" si="42"/>
        <v>1329.25</v>
      </c>
      <c r="H213" s="121"/>
      <c r="I213" s="121"/>
      <c r="J213" s="121"/>
      <c r="K213" s="121">
        <f t="shared" si="43"/>
        <v>1109</v>
      </c>
      <c r="L213" s="123">
        <f t="shared" si="44"/>
        <v>3.0383561643835617</v>
      </c>
      <c r="M213" s="124">
        <v>3865.3738709089175</v>
      </c>
      <c r="N213" s="125">
        <f t="shared" si="45"/>
        <v>22719.626129091084</v>
      </c>
      <c r="O213" s="126">
        <f t="shared" si="46"/>
        <v>16.961643835616439</v>
      </c>
      <c r="P213" s="123">
        <f t="shared" si="47"/>
        <v>21390.376129091084</v>
      </c>
      <c r="Q213" s="125">
        <f t="shared" si="41"/>
        <v>1261.1027761457351</v>
      </c>
      <c r="R213" s="125">
        <f t="shared" si="48"/>
        <v>21458.523352945351</v>
      </c>
      <c r="S213" s="678"/>
      <c r="T213" s="679"/>
    </row>
    <row r="214" spans="1:20" ht="15.75">
      <c r="A214" s="141" t="s">
        <v>102</v>
      </c>
      <c r="B214" s="142">
        <v>42812</v>
      </c>
      <c r="C214" s="135">
        <v>70553</v>
      </c>
      <c r="D214" s="121"/>
      <c r="E214" s="121"/>
      <c r="F214" s="121"/>
      <c r="G214" s="123">
        <f t="shared" si="42"/>
        <v>3527.65</v>
      </c>
      <c r="H214" s="121"/>
      <c r="I214" s="121"/>
      <c r="J214" s="121"/>
      <c r="K214" s="121">
        <f t="shared" si="43"/>
        <v>1109</v>
      </c>
      <c r="L214" s="123">
        <f t="shared" si="44"/>
        <v>3.0383561643835617</v>
      </c>
      <c r="M214" s="124">
        <v>10258.180278887978</v>
      </c>
      <c r="N214" s="125">
        <f t="shared" si="45"/>
        <v>60294.81972111202</v>
      </c>
      <c r="O214" s="126">
        <f t="shared" si="46"/>
        <v>16.961643835616439</v>
      </c>
      <c r="P214" s="123">
        <f t="shared" si="47"/>
        <v>56767.169721112019</v>
      </c>
      <c r="Q214" s="125">
        <f t="shared" si="41"/>
        <v>3346.7964703934563</v>
      </c>
      <c r="R214" s="125">
        <f t="shared" si="48"/>
        <v>56948.023250718565</v>
      </c>
      <c r="S214" s="678"/>
      <c r="T214" s="679"/>
    </row>
    <row r="215" spans="1:20" ht="15.75">
      <c r="A215" s="141" t="s">
        <v>102</v>
      </c>
      <c r="B215" s="142">
        <v>42813</v>
      </c>
      <c r="C215" s="135">
        <v>59678</v>
      </c>
      <c r="D215" s="121"/>
      <c r="E215" s="121"/>
      <c r="F215" s="121"/>
      <c r="G215" s="123">
        <f t="shared" si="42"/>
        <v>2983.9</v>
      </c>
      <c r="H215" s="121"/>
      <c r="I215" s="121"/>
      <c r="J215" s="121"/>
      <c r="K215" s="121">
        <f t="shared" si="43"/>
        <v>1108</v>
      </c>
      <c r="L215" s="123">
        <f t="shared" si="44"/>
        <v>3.0356164383561643</v>
      </c>
      <c r="M215" s="124">
        <v>8669.1588837381278</v>
      </c>
      <c r="N215" s="125">
        <f t="shared" si="45"/>
        <v>51008.841116261872</v>
      </c>
      <c r="O215" s="126">
        <f t="shared" si="46"/>
        <v>16.964383561643835</v>
      </c>
      <c r="P215" s="123">
        <f t="shared" si="47"/>
        <v>48024.941116261871</v>
      </c>
      <c r="Q215" s="125">
        <f t="shared" si="41"/>
        <v>2830.9275690302943</v>
      </c>
      <c r="R215" s="125">
        <f t="shared" si="48"/>
        <v>48177.913547231576</v>
      </c>
      <c r="S215" s="678"/>
      <c r="T215" s="679"/>
    </row>
    <row r="216" spans="1:20" ht="15.75">
      <c r="A216" s="141" t="s">
        <v>102</v>
      </c>
      <c r="B216" s="142">
        <v>42815</v>
      </c>
      <c r="C216" s="135">
        <v>220860.02</v>
      </c>
      <c r="D216" s="121"/>
      <c r="E216" s="121"/>
      <c r="F216" s="121"/>
      <c r="G216" s="123">
        <f t="shared" si="42"/>
        <v>11043.001</v>
      </c>
      <c r="H216" s="121"/>
      <c r="I216" s="121"/>
      <c r="J216" s="121"/>
      <c r="K216" s="121">
        <f t="shared" si="43"/>
        <v>1106</v>
      </c>
      <c r="L216" s="123">
        <f t="shared" si="44"/>
        <v>3.0301369863013701</v>
      </c>
      <c r="M216" s="124">
        <v>32025.392913549727</v>
      </c>
      <c r="N216" s="125">
        <f t="shared" si="45"/>
        <v>188834.62708645026</v>
      </c>
      <c r="O216" s="126">
        <f t="shared" si="46"/>
        <v>16.969863013698628</v>
      </c>
      <c r="P216" s="123">
        <f t="shared" si="47"/>
        <v>177791.62608645027</v>
      </c>
      <c r="Q216" s="125">
        <f t="shared" si="41"/>
        <v>10476.90402349925</v>
      </c>
      <c r="R216" s="125">
        <f t="shared" si="48"/>
        <v>178357.723062951</v>
      </c>
      <c r="S216" s="678"/>
      <c r="T216" s="679"/>
    </row>
    <row r="217" spans="1:20" ht="15.75">
      <c r="A217" s="141" t="s">
        <v>102</v>
      </c>
      <c r="B217" s="142">
        <v>42815</v>
      </c>
      <c r="C217" s="135">
        <v>141616.25</v>
      </c>
      <c r="D217" s="121"/>
      <c r="E217" s="121"/>
      <c r="F217" s="121"/>
      <c r="G217" s="123">
        <f t="shared" si="42"/>
        <v>7080.8125</v>
      </c>
      <c r="H217" s="121"/>
      <c r="I217" s="121"/>
      <c r="J217" s="121"/>
      <c r="K217" s="121">
        <f t="shared" si="43"/>
        <v>1106</v>
      </c>
      <c r="L217" s="123">
        <f t="shared" si="44"/>
        <v>3.0301369863013701</v>
      </c>
      <c r="M217" s="124">
        <v>20534.798689203628</v>
      </c>
      <c r="N217" s="125">
        <f t="shared" si="45"/>
        <v>121081.45131079637</v>
      </c>
      <c r="O217" s="126">
        <f t="shared" si="46"/>
        <v>16.969863013698628</v>
      </c>
      <c r="P217" s="123">
        <f t="shared" si="47"/>
        <v>114000.63881079637</v>
      </c>
      <c r="Q217" s="125">
        <f t="shared" si="41"/>
        <v>6717.8290548822542</v>
      </c>
      <c r="R217" s="125">
        <f t="shared" si="48"/>
        <v>114363.62225591412</v>
      </c>
      <c r="S217" s="678"/>
      <c r="T217" s="679"/>
    </row>
    <row r="218" spans="1:20" ht="15.75">
      <c r="A218" s="141" t="s">
        <v>102</v>
      </c>
      <c r="B218" s="142">
        <v>42820</v>
      </c>
      <c r="C218" s="135">
        <v>210840</v>
      </c>
      <c r="D218" s="121"/>
      <c r="E218" s="121"/>
      <c r="F218" s="121"/>
      <c r="G218" s="123">
        <f t="shared" si="42"/>
        <v>10542</v>
      </c>
      <c r="H218" s="121"/>
      <c r="I218" s="121"/>
      <c r="J218" s="121"/>
      <c r="K218" s="121">
        <f t="shared" si="43"/>
        <v>1101</v>
      </c>
      <c r="L218" s="123">
        <f t="shared" si="44"/>
        <v>3.0164383561643837</v>
      </c>
      <c r="M218" s="124">
        <v>30434.121791647114</v>
      </c>
      <c r="N218" s="125">
        <f t="shared" si="45"/>
        <v>180405.87820835289</v>
      </c>
      <c r="O218" s="126">
        <f t="shared" si="46"/>
        <v>16.983561643835618</v>
      </c>
      <c r="P218" s="123">
        <f t="shared" si="47"/>
        <v>169863.87820835289</v>
      </c>
      <c r="Q218" s="125">
        <f t="shared" si="41"/>
        <v>10001.664066147572</v>
      </c>
      <c r="R218" s="125">
        <f t="shared" si="48"/>
        <v>170404.21414220531</v>
      </c>
      <c r="S218" s="678"/>
      <c r="T218" s="679"/>
    </row>
    <row r="219" spans="1:20" ht="15.75">
      <c r="A219" s="141" t="s">
        <v>102</v>
      </c>
      <c r="B219" s="142">
        <v>42820</v>
      </c>
      <c r="C219" s="135">
        <v>58794</v>
      </c>
      <c r="D219" s="121"/>
      <c r="E219" s="121"/>
      <c r="F219" s="121"/>
      <c r="G219" s="123">
        <f t="shared" si="42"/>
        <v>2939.7000000000003</v>
      </c>
      <c r="H219" s="121"/>
      <c r="I219" s="121"/>
      <c r="J219" s="121"/>
      <c r="K219" s="121">
        <f t="shared" si="43"/>
        <v>1101</v>
      </c>
      <c r="L219" s="123">
        <f t="shared" si="44"/>
        <v>3.0164383561643837</v>
      </c>
      <c r="M219" s="124">
        <v>8486.7376049046707</v>
      </c>
      <c r="N219" s="125">
        <f t="shared" si="45"/>
        <v>50307.262395095328</v>
      </c>
      <c r="O219" s="126">
        <f t="shared" si="46"/>
        <v>16.983561643835618</v>
      </c>
      <c r="P219" s="123">
        <f t="shared" si="47"/>
        <v>47367.56239509533</v>
      </c>
      <c r="Q219" s="125">
        <f t="shared" si="41"/>
        <v>2789.0240803693814</v>
      </c>
      <c r="R219" s="125">
        <f t="shared" si="48"/>
        <v>47518.238314725946</v>
      </c>
      <c r="S219" s="678"/>
      <c r="T219" s="679"/>
    </row>
    <row r="220" spans="1:20" ht="15.75">
      <c r="A220" s="143" t="s">
        <v>126</v>
      </c>
      <c r="B220" s="144">
        <v>42828</v>
      </c>
      <c r="C220" s="130">
        <v>34356</v>
      </c>
      <c r="D220" s="121"/>
      <c r="E220" s="121"/>
      <c r="F220" s="121"/>
      <c r="G220" s="123">
        <f t="shared" si="42"/>
        <v>1717.8000000000002</v>
      </c>
      <c r="H220" s="121"/>
      <c r="I220" s="121"/>
      <c r="J220" s="121"/>
      <c r="K220" s="121">
        <f t="shared" si="43"/>
        <v>1093</v>
      </c>
      <c r="L220" s="123">
        <f t="shared" si="44"/>
        <v>2.9945205479452053</v>
      </c>
      <c r="M220" s="124">
        <v>10764.339944425845</v>
      </c>
      <c r="N220" s="125">
        <f t="shared" si="45"/>
        <v>23591.660055574153</v>
      </c>
      <c r="O220" s="126">
        <f t="shared" si="46"/>
        <v>17.005479452054793</v>
      </c>
      <c r="P220" s="123">
        <f t="shared" si="47"/>
        <v>21873.860055574154</v>
      </c>
      <c r="Q220" s="125">
        <f t="shared" si="41"/>
        <v>1286.2830546616026</v>
      </c>
      <c r="R220" s="125">
        <f t="shared" si="48"/>
        <v>22305.377000912551</v>
      </c>
      <c r="S220" s="678"/>
      <c r="T220" s="679"/>
    </row>
    <row r="221" spans="1:20" ht="15.75">
      <c r="A221" s="143" t="s">
        <v>126</v>
      </c>
      <c r="B221" s="144">
        <v>42830</v>
      </c>
      <c r="C221" s="130">
        <f>20718+20718</f>
        <v>41436</v>
      </c>
      <c r="D221" s="121"/>
      <c r="E221" s="121"/>
      <c r="F221" s="121"/>
      <c r="G221" s="123">
        <f t="shared" si="42"/>
        <v>2071.8000000000002</v>
      </c>
      <c r="H221" s="121"/>
      <c r="I221" s="121"/>
      <c r="J221" s="121"/>
      <c r="K221" s="121">
        <f t="shared" si="43"/>
        <v>1091</v>
      </c>
      <c r="L221" s="123">
        <f t="shared" si="44"/>
        <v>2.989041095890411</v>
      </c>
      <c r="M221" s="124">
        <v>12933.068766708862</v>
      </c>
      <c r="N221" s="125">
        <f t="shared" si="45"/>
        <v>28502.931233291136</v>
      </c>
      <c r="O221" s="126">
        <f t="shared" si="46"/>
        <v>17.010958904109589</v>
      </c>
      <c r="P221" s="123">
        <f t="shared" si="47"/>
        <v>26431.131233291137</v>
      </c>
      <c r="Q221" s="125">
        <f t="shared" si="41"/>
        <v>1553.7708004753204</v>
      </c>
      <c r="R221" s="125">
        <f t="shared" si="48"/>
        <v>26949.160432815814</v>
      </c>
      <c r="S221" s="678"/>
      <c r="T221" s="679"/>
    </row>
    <row r="222" spans="1:20" ht="15.75">
      <c r="A222" s="143" t="s">
        <v>126</v>
      </c>
      <c r="B222" s="144">
        <v>42836</v>
      </c>
      <c r="C222" s="130">
        <v>155922.64000000001</v>
      </c>
      <c r="D222" s="121"/>
      <c r="E222" s="121"/>
      <c r="F222" s="121"/>
      <c r="G222" s="123">
        <f t="shared" si="42"/>
        <v>7796.1320000000014</v>
      </c>
      <c r="H222" s="121"/>
      <c r="I222" s="121"/>
      <c r="J222" s="121"/>
      <c r="K222" s="121">
        <f t="shared" si="43"/>
        <v>1085</v>
      </c>
      <c r="L222" s="123">
        <f t="shared" si="44"/>
        <v>2.9726027397260273</v>
      </c>
      <c r="M222" s="124">
        <v>48107.2764664719</v>
      </c>
      <c r="N222" s="125">
        <f t="shared" si="45"/>
        <v>107815.36353352811</v>
      </c>
      <c r="O222" s="126">
        <f t="shared" si="46"/>
        <v>17.027397260273972</v>
      </c>
      <c r="P222" s="123">
        <f t="shared" si="47"/>
        <v>100019.23153352812</v>
      </c>
      <c r="Q222" s="125">
        <f t="shared" si="41"/>
        <v>5874.0176202313378</v>
      </c>
      <c r="R222" s="125">
        <f t="shared" si="48"/>
        <v>101941.34591329677</v>
      </c>
      <c r="S222" s="678"/>
      <c r="T222" s="679"/>
    </row>
    <row r="223" spans="1:20" ht="15.75">
      <c r="A223" s="143" t="s">
        <v>126</v>
      </c>
      <c r="B223" s="144">
        <v>42839</v>
      </c>
      <c r="C223" s="130">
        <v>273570</v>
      </c>
      <c r="D223" s="121"/>
      <c r="E223" s="121"/>
      <c r="F223" s="121"/>
      <c r="G223" s="123">
        <f t="shared" si="42"/>
        <v>13678.5</v>
      </c>
      <c r="H223" s="121"/>
      <c r="I223" s="121"/>
      <c r="J223" s="121"/>
      <c r="K223" s="121">
        <f t="shared" si="43"/>
        <v>1082</v>
      </c>
      <c r="L223" s="123">
        <f t="shared" si="44"/>
        <v>2.9643835616438357</v>
      </c>
      <c r="M223" s="124">
        <v>83914.441587712892</v>
      </c>
      <c r="N223" s="125">
        <f t="shared" si="45"/>
        <v>189655.55841228709</v>
      </c>
      <c r="O223" s="126">
        <f t="shared" si="46"/>
        <v>17.035616438356165</v>
      </c>
      <c r="P223" s="123">
        <f t="shared" si="47"/>
        <v>175977.05841228709</v>
      </c>
      <c r="Q223" s="125">
        <f t="shared" si="41"/>
        <v>10329.949552988868</v>
      </c>
      <c r="R223" s="125">
        <f t="shared" si="48"/>
        <v>179325.60885929823</v>
      </c>
      <c r="S223" s="678"/>
      <c r="T223" s="679"/>
    </row>
    <row r="224" spans="1:20" ht="15.75">
      <c r="A224" s="143" t="s">
        <v>126</v>
      </c>
      <c r="B224" s="144">
        <v>42851</v>
      </c>
      <c r="C224" s="130">
        <v>455830.51</v>
      </c>
      <c r="D224" s="121"/>
      <c r="E224" s="121"/>
      <c r="F224" s="121"/>
      <c r="G224" s="123">
        <f t="shared" si="42"/>
        <v>22791.525500000003</v>
      </c>
      <c r="H224" s="121"/>
      <c r="I224" s="121"/>
      <c r="J224" s="121"/>
      <c r="K224" s="121">
        <f t="shared" si="43"/>
        <v>1070</v>
      </c>
      <c r="L224" s="123">
        <f t="shared" si="44"/>
        <v>2.9315068493150687</v>
      </c>
      <c r="M224" s="124">
        <v>136548.09029423445</v>
      </c>
      <c r="N224" s="125">
        <f t="shared" si="45"/>
        <v>319282.41970576555</v>
      </c>
      <c r="O224" s="126">
        <f t="shared" si="46"/>
        <v>17.06849315068493</v>
      </c>
      <c r="P224" s="123">
        <f t="shared" si="47"/>
        <v>296490.89420576557</v>
      </c>
      <c r="Q224" s="125">
        <f t="shared" si="41"/>
        <v>17370.654315426076</v>
      </c>
      <c r="R224" s="125">
        <f t="shared" si="48"/>
        <v>301911.76539033948</v>
      </c>
      <c r="S224" s="678"/>
      <c r="T224" s="679"/>
    </row>
    <row r="225" spans="1:20" ht="15.75">
      <c r="A225" s="143" t="s">
        <v>126</v>
      </c>
      <c r="B225" s="144">
        <v>42861</v>
      </c>
      <c r="C225" s="130">
        <v>246576</v>
      </c>
      <c r="D225" s="121"/>
      <c r="E225" s="121"/>
      <c r="F225" s="121"/>
      <c r="G225" s="123">
        <f t="shared" si="42"/>
        <v>12328.800000000001</v>
      </c>
      <c r="H225" s="121"/>
      <c r="I225" s="121"/>
      <c r="J225" s="121"/>
      <c r="K225" s="121">
        <f t="shared" si="43"/>
        <v>1060</v>
      </c>
      <c r="L225" s="123">
        <f t="shared" si="44"/>
        <v>2.904109589041096</v>
      </c>
      <c r="M225" s="124">
        <v>72388.332627771335</v>
      </c>
      <c r="N225" s="125">
        <f t="shared" si="45"/>
        <v>174187.66737222867</v>
      </c>
      <c r="O225" s="126">
        <f t="shared" si="46"/>
        <v>17.095890410958905</v>
      </c>
      <c r="P225" s="123">
        <f t="shared" si="47"/>
        <v>161858.86737222868</v>
      </c>
      <c r="Q225" s="125">
        <f t="shared" si="41"/>
        <v>9467.7061844332475</v>
      </c>
      <c r="R225" s="125">
        <f t="shared" si="48"/>
        <v>164719.96118779542</v>
      </c>
      <c r="S225" s="678"/>
      <c r="T225" s="679"/>
    </row>
    <row r="226" spans="1:20" ht="15.75">
      <c r="A226" s="143" t="s">
        <v>126</v>
      </c>
      <c r="B226" s="144">
        <v>42871</v>
      </c>
      <c r="C226" s="130">
        <v>58094</v>
      </c>
      <c r="D226" s="121"/>
      <c r="E226" s="121"/>
      <c r="F226" s="121"/>
      <c r="G226" s="123">
        <f t="shared" si="42"/>
        <v>2904.7000000000003</v>
      </c>
      <c r="H226" s="121"/>
      <c r="I226" s="121"/>
      <c r="J226" s="121"/>
      <c r="K226" s="121">
        <f t="shared" si="43"/>
        <v>1050</v>
      </c>
      <c r="L226" s="123">
        <f t="shared" si="44"/>
        <v>2.8767123287671232</v>
      </c>
      <c r="M226" s="124">
        <v>16707.118847153928</v>
      </c>
      <c r="N226" s="125">
        <f t="shared" si="45"/>
        <v>41386.881152846072</v>
      </c>
      <c r="O226" s="126">
        <f t="shared" si="46"/>
        <v>17.123287671232877</v>
      </c>
      <c r="P226" s="123">
        <f t="shared" si="47"/>
        <v>38482.181152846075</v>
      </c>
      <c r="Q226" s="125">
        <f t="shared" si="41"/>
        <v>2247.3593793262107</v>
      </c>
      <c r="R226" s="125">
        <f t="shared" si="48"/>
        <v>39139.52177351986</v>
      </c>
      <c r="S226" s="678"/>
      <c r="T226" s="679"/>
    </row>
    <row r="227" spans="1:20" ht="15.75">
      <c r="A227" s="143" t="s">
        <v>126</v>
      </c>
      <c r="B227" s="144">
        <v>42879</v>
      </c>
      <c r="C227" s="130">
        <v>283949</v>
      </c>
      <c r="D227" s="121"/>
      <c r="E227" s="121"/>
      <c r="F227" s="121"/>
      <c r="G227" s="123">
        <f t="shared" si="42"/>
        <v>14197.45</v>
      </c>
      <c r="H227" s="121"/>
      <c r="I227" s="121"/>
      <c r="J227" s="121"/>
      <c r="K227" s="121">
        <f t="shared" si="43"/>
        <v>1042</v>
      </c>
      <c r="L227" s="123">
        <f t="shared" si="44"/>
        <v>2.8547945205479452</v>
      </c>
      <c r="M227" s="124">
        <v>80300.02402279689</v>
      </c>
      <c r="N227" s="125">
        <f t="shared" si="45"/>
        <v>203648.97597720311</v>
      </c>
      <c r="O227" s="126">
        <f t="shared" si="46"/>
        <v>17.145205479452056</v>
      </c>
      <c r="P227" s="123">
        <f t="shared" si="47"/>
        <v>189451.5259772031</v>
      </c>
      <c r="Q227" s="125">
        <f t="shared" si="41"/>
        <v>11049.825340632651</v>
      </c>
      <c r="R227" s="125">
        <f t="shared" si="48"/>
        <v>192599.15063657047</v>
      </c>
      <c r="S227" s="678"/>
      <c r="T227" s="679"/>
    </row>
    <row r="228" spans="1:20" ht="15.75">
      <c r="A228" s="143" t="s">
        <v>126</v>
      </c>
      <c r="B228" s="144">
        <v>42894</v>
      </c>
      <c r="C228" s="130">
        <v>266643</v>
      </c>
      <c r="D228" s="121"/>
      <c r="E228" s="121"/>
      <c r="F228" s="121"/>
      <c r="G228" s="123">
        <f t="shared" si="42"/>
        <v>13332.150000000001</v>
      </c>
      <c r="H228" s="121"/>
      <c r="I228" s="121"/>
      <c r="J228" s="121"/>
      <c r="K228" s="121">
        <f t="shared" si="43"/>
        <v>1027</v>
      </c>
      <c r="L228" s="123">
        <f t="shared" si="44"/>
        <v>2.8136986301369862</v>
      </c>
      <c r="M228" s="124">
        <v>73010.225028195346</v>
      </c>
      <c r="N228" s="125">
        <f t="shared" si="45"/>
        <v>193632.77497180464</v>
      </c>
      <c r="O228" s="126">
        <f t="shared" si="46"/>
        <v>17.186301369863013</v>
      </c>
      <c r="P228" s="123">
        <f t="shared" si="47"/>
        <v>180300.62497180465</v>
      </c>
      <c r="Q228" s="125">
        <f t="shared" si="41"/>
        <v>10490.949803078065</v>
      </c>
      <c r="R228" s="125">
        <f t="shared" si="48"/>
        <v>183141.82516872659</v>
      </c>
      <c r="S228" s="678"/>
      <c r="T228" s="679"/>
    </row>
    <row r="229" spans="1:20" ht="15.75">
      <c r="A229" s="143" t="s">
        <v>126</v>
      </c>
      <c r="B229" s="144">
        <v>42895</v>
      </c>
      <c r="C229" s="130">
        <v>71820</v>
      </c>
      <c r="D229" s="121"/>
      <c r="E229" s="121"/>
      <c r="F229" s="121"/>
      <c r="G229" s="123">
        <f t="shared" si="42"/>
        <v>3591</v>
      </c>
      <c r="H229" s="121"/>
      <c r="I229" s="121"/>
      <c r="J229" s="121"/>
      <c r="K229" s="121">
        <f t="shared" si="43"/>
        <v>1026</v>
      </c>
      <c r="L229" s="123">
        <f t="shared" si="44"/>
        <v>2.8109589041095893</v>
      </c>
      <c r="M229" s="124">
        <v>19622.196013705408</v>
      </c>
      <c r="N229" s="125">
        <f t="shared" si="45"/>
        <v>52197.803986294588</v>
      </c>
      <c r="O229" s="126">
        <f t="shared" si="46"/>
        <v>17.18904109589041</v>
      </c>
      <c r="P229" s="123">
        <f t="shared" si="47"/>
        <v>48606.803986294588</v>
      </c>
      <c r="Q229" s="125">
        <f t="shared" si="41"/>
        <v>2827.7786826581964</v>
      </c>
      <c r="R229" s="125">
        <f t="shared" si="48"/>
        <v>49370.025303636394</v>
      </c>
      <c r="S229" s="678"/>
      <c r="T229" s="679"/>
    </row>
    <row r="230" spans="1:20" ht="15.75">
      <c r="A230" s="143" t="s">
        <v>126</v>
      </c>
      <c r="B230" s="144">
        <v>42898</v>
      </c>
      <c r="C230" s="130">
        <v>518816.5</v>
      </c>
      <c r="D230" s="121"/>
      <c r="E230" s="121"/>
      <c r="F230" s="121"/>
      <c r="G230" s="123">
        <f t="shared" si="42"/>
        <v>25940.825000000001</v>
      </c>
      <c r="H230" s="121"/>
      <c r="I230" s="121"/>
      <c r="J230" s="121"/>
      <c r="K230" s="121">
        <f t="shared" si="43"/>
        <v>1023</v>
      </c>
      <c r="L230" s="123">
        <f t="shared" si="44"/>
        <v>2.8027397260273972</v>
      </c>
      <c r="M230" s="124">
        <v>140815.15327369067</v>
      </c>
      <c r="N230" s="125">
        <f t="shared" si="45"/>
        <v>378001.34672630933</v>
      </c>
      <c r="O230" s="126">
        <f t="shared" si="46"/>
        <v>17.197260273972603</v>
      </c>
      <c r="P230" s="123">
        <f t="shared" si="47"/>
        <v>352060.52172630932</v>
      </c>
      <c r="Q230" s="125">
        <f t="shared" si="41"/>
        <v>20471.895878620824</v>
      </c>
      <c r="R230" s="125">
        <f t="shared" si="48"/>
        <v>357529.45084768848</v>
      </c>
      <c r="S230" s="678"/>
      <c r="T230" s="679"/>
    </row>
    <row r="231" spans="1:20" ht="15.75">
      <c r="A231" s="143" t="s">
        <v>126</v>
      </c>
      <c r="B231" s="144">
        <v>42903</v>
      </c>
      <c r="C231" s="130">
        <v>52813</v>
      </c>
      <c r="D231" s="121"/>
      <c r="E231" s="121"/>
      <c r="F231" s="121"/>
      <c r="G231" s="123">
        <f t="shared" si="42"/>
        <v>2640.65</v>
      </c>
      <c r="H231" s="121"/>
      <c r="I231" s="121"/>
      <c r="J231" s="121"/>
      <c r="K231" s="121">
        <f t="shared" si="43"/>
        <v>1018</v>
      </c>
      <c r="L231" s="123">
        <f t="shared" si="44"/>
        <v>2.7890410958904108</v>
      </c>
      <c r="M231" s="124">
        <v>14176.068791586182</v>
      </c>
      <c r="N231" s="125">
        <f t="shared" si="45"/>
        <v>38636.931208413822</v>
      </c>
      <c r="O231" s="126">
        <f t="shared" si="46"/>
        <v>17.210958904109589</v>
      </c>
      <c r="P231" s="123">
        <f t="shared" si="47"/>
        <v>35996.28120841382</v>
      </c>
      <c r="Q231" s="125">
        <f t="shared" si="41"/>
        <v>2091.4744732682339</v>
      </c>
      <c r="R231" s="125">
        <f t="shared" si="48"/>
        <v>36545.456735145592</v>
      </c>
      <c r="S231" s="678"/>
      <c r="T231" s="679"/>
    </row>
    <row r="232" spans="1:20" ht="15.75">
      <c r="A232" s="143" t="s">
        <v>126</v>
      </c>
      <c r="B232" s="144">
        <v>42914</v>
      </c>
      <c r="C232" s="130">
        <v>268381</v>
      </c>
      <c r="D232" s="121"/>
      <c r="E232" s="121"/>
      <c r="F232" s="121"/>
      <c r="G232" s="123">
        <f t="shared" si="42"/>
        <v>13419.050000000001</v>
      </c>
      <c r="H232" s="121"/>
      <c r="I232" s="121"/>
      <c r="J232" s="121"/>
      <c r="K232" s="121">
        <f t="shared" si="43"/>
        <v>1007</v>
      </c>
      <c r="L232" s="123">
        <f t="shared" si="44"/>
        <v>2.7589041095890412</v>
      </c>
      <c r="M232" s="124">
        <v>70269.485030922835</v>
      </c>
      <c r="N232" s="125">
        <f t="shared" si="45"/>
        <v>198111.51496907717</v>
      </c>
      <c r="O232" s="126">
        <f t="shared" si="46"/>
        <v>17.241095890410961</v>
      </c>
      <c r="P232" s="123">
        <f t="shared" si="47"/>
        <v>184692.46496907718</v>
      </c>
      <c r="Q232" s="125">
        <f t="shared" si="41"/>
        <v>10712.339061451321</v>
      </c>
      <c r="R232" s="125">
        <f t="shared" si="48"/>
        <v>187399.17590762585</v>
      </c>
      <c r="S232" s="678"/>
      <c r="T232" s="679"/>
    </row>
    <row r="233" spans="1:20">
      <c r="A233" s="145" t="s">
        <v>127</v>
      </c>
      <c r="B233" s="146">
        <v>43561</v>
      </c>
      <c r="C233" s="101">
        <v>2150</v>
      </c>
      <c r="D233" s="99"/>
      <c r="E233" s="99"/>
      <c r="F233" s="99"/>
      <c r="G233" s="95">
        <f t="shared" si="42"/>
        <v>107.5</v>
      </c>
      <c r="H233" s="99"/>
      <c r="I233" s="99"/>
      <c r="J233" s="99"/>
      <c r="K233" s="99">
        <f t="shared" si="43"/>
        <v>360</v>
      </c>
      <c r="L233" s="95">
        <f t="shared" si="44"/>
        <v>0.98630136986301364</v>
      </c>
      <c r="M233" s="101">
        <v>100.73</v>
      </c>
      <c r="N233" s="96">
        <f t="shared" si="45"/>
        <v>2049.27</v>
      </c>
      <c r="O233" s="119">
        <f t="shared" si="46"/>
        <v>19.013698630136986</v>
      </c>
      <c r="P233" s="95">
        <f t="shared" si="47"/>
        <v>1941.77</v>
      </c>
      <c r="Q233" s="96">
        <f t="shared" si="41"/>
        <v>102.12479106628243</v>
      </c>
      <c r="R233" s="96">
        <f t="shared" si="48"/>
        <v>1947.1452089337176</v>
      </c>
      <c r="S233" s="101">
        <v>-102.13</v>
      </c>
      <c r="T233" s="147">
        <f>+Q233+S233</f>
        <v>-5.2089337175686978E-3</v>
      </c>
    </row>
    <row r="234" spans="1:20">
      <c r="A234" s="145" t="s">
        <v>128</v>
      </c>
      <c r="B234" s="146">
        <v>43700</v>
      </c>
      <c r="C234" s="101">
        <v>55000</v>
      </c>
      <c r="D234" s="99"/>
      <c r="E234" s="99"/>
      <c r="F234" s="99"/>
      <c r="G234" s="95">
        <f t="shared" si="42"/>
        <v>2750</v>
      </c>
      <c r="H234" s="99"/>
      <c r="I234" s="99"/>
      <c r="J234" s="99"/>
      <c r="K234" s="99">
        <f t="shared" si="43"/>
        <v>221</v>
      </c>
      <c r="L234" s="95">
        <f t="shared" si="44"/>
        <v>0.60547945205479448</v>
      </c>
      <c r="M234" s="101">
        <v>1584.63</v>
      </c>
      <c r="N234" s="96">
        <f t="shared" si="45"/>
        <v>53415.37</v>
      </c>
      <c r="O234" s="119">
        <f t="shared" si="46"/>
        <v>19.394520547945206</v>
      </c>
      <c r="P234" s="95">
        <f t="shared" si="47"/>
        <v>50665.37</v>
      </c>
      <c r="Q234" s="96">
        <f t="shared" si="41"/>
        <v>2612.3548594434242</v>
      </c>
      <c r="R234" s="96">
        <f t="shared" si="48"/>
        <v>50803.015140556578</v>
      </c>
      <c r="S234" s="101">
        <v>-2612.5</v>
      </c>
      <c r="T234" s="147">
        <f t="shared" ref="T234:T258" si="49">+Q234+S234</f>
        <v>-0.14514055657582503</v>
      </c>
    </row>
    <row r="235" spans="1:20">
      <c r="A235" s="145" t="s">
        <v>129</v>
      </c>
      <c r="B235" s="146">
        <v>43724</v>
      </c>
      <c r="C235" s="101">
        <v>28845</v>
      </c>
      <c r="D235" s="99"/>
      <c r="E235" s="99"/>
      <c r="F235" s="99"/>
      <c r="G235" s="95">
        <f t="shared" si="42"/>
        <v>1442.25</v>
      </c>
      <c r="H235" s="99"/>
      <c r="I235" s="99"/>
      <c r="J235" s="99"/>
      <c r="K235" s="99">
        <f t="shared" si="43"/>
        <v>197</v>
      </c>
      <c r="L235" s="95">
        <f t="shared" si="44"/>
        <v>0.53972602739726028</v>
      </c>
      <c r="M235" s="101">
        <v>741.22</v>
      </c>
      <c r="N235" s="96">
        <f t="shared" si="45"/>
        <v>28103.78</v>
      </c>
      <c r="O235" s="119">
        <f t="shared" si="46"/>
        <v>19.460273972602739</v>
      </c>
      <c r="P235" s="95">
        <f t="shared" si="47"/>
        <v>26661.53</v>
      </c>
      <c r="Q235" s="96">
        <f t="shared" si="41"/>
        <v>1370.0490567365903</v>
      </c>
      <c r="R235" s="96">
        <f t="shared" si="48"/>
        <v>26733.73094326341</v>
      </c>
      <c r="S235" s="101">
        <v>-1370.14</v>
      </c>
      <c r="T235" s="147">
        <f t="shared" si="49"/>
        <v>-9.0943263409826613E-2</v>
      </c>
    </row>
    <row r="236" spans="1:20">
      <c r="A236" s="145" t="s">
        <v>130</v>
      </c>
      <c r="B236" s="146">
        <v>43757</v>
      </c>
      <c r="C236" s="101">
        <v>281880</v>
      </c>
      <c r="D236" s="99"/>
      <c r="E236" s="99"/>
      <c r="F236" s="99"/>
      <c r="G236" s="95">
        <f t="shared" si="42"/>
        <v>14094</v>
      </c>
      <c r="H236" s="99"/>
      <c r="I236" s="99"/>
      <c r="J236" s="99"/>
      <c r="K236" s="99">
        <f t="shared" si="43"/>
        <v>164</v>
      </c>
      <c r="L236" s="95">
        <f t="shared" si="44"/>
        <v>0.44931506849315067</v>
      </c>
      <c r="M236" s="101">
        <v>6036.16</v>
      </c>
      <c r="N236" s="96">
        <f t="shared" si="45"/>
        <v>275843.84000000003</v>
      </c>
      <c r="O236" s="119">
        <f t="shared" si="46"/>
        <v>19.550684931506851</v>
      </c>
      <c r="P236" s="95">
        <f t="shared" si="47"/>
        <v>261749.84000000003</v>
      </c>
      <c r="Q236" s="96">
        <f t="shared" ref="Q236:Q258" si="50">P236/O236</f>
        <v>13388.26956278027</v>
      </c>
      <c r="R236" s="96">
        <f t="shared" si="48"/>
        <v>262455.57043721975</v>
      </c>
      <c r="S236" s="101">
        <v>-13389.3</v>
      </c>
      <c r="T236" s="147">
        <f t="shared" si="49"/>
        <v>-1.0304372197297198</v>
      </c>
    </row>
    <row r="237" spans="1:20">
      <c r="A237" s="145" t="s">
        <v>131</v>
      </c>
      <c r="B237" s="146">
        <v>43767</v>
      </c>
      <c r="C237" s="101">
        <v>289000</v>
      </c>
      <c r="D237" s="99"/>
      <c r="E237" s="99"/>
      <c r="F237" s="99"/>
      <c r="G237" s="95">
        <f t="shared" si="42"/>
        <v>14450</v>
      </c>
      <c r="H237" s="99"/>
      <c r="I237" s="99"/>
      <c r="J237" s="99"/>
      <c r="K237" s="99">
        <f t="shared" si="43"/>
        <v>154</v>
      </c>
      <c r="L237" s="95">
        <f t="shared" si="44"/>
        <v>0.42191780821917807</v>
      </c>
      <c r="M237" s="101">
        <v>5813.56</v>
      </c>
      <c r="N237" s="96">
        <f t="shared" si="45"/>
        <v>283186.44</v>
      </c>
      <c r="O237" s="119">
        <f t="shared" si="46"/>
        <v>19.578082191780823</v>
      </c>
      <c r="P237" s="95">
        <f t="shared" si="47"/>
        <v>268736.44</v>
      </c>
      <c r="Q237" s="96">
        <f t="shared" si="50"/>
        <v>13726.392471312622</v>
      </c>
      <c r="R237" s="96">
        <f t="shared" si="48"/>
        <v>269460.0475286874</v>
      </c>
      <c r="S237" s="101">
        <v>-13727.5</v>
      </c>
      <c r="T237" s="147">
        <f t="shared" si="49"/>
        <v>-1.1075286873783625</v>
      </c>
    </row>
    <row r="238" spans="1:20">
      <c r="A238" s="145" t="s">
        <v>132</v>
      </c>
      <c r="B238" s="146">
        <v>43799</v>
      </c>
      <c r="C238" s="101">
        <v>160500</v>
      </c>
      <c r="D238" s="99"/>
      <c r="E238" s="99"/>
      <c r="F238" s="99"/>
      <c r="G238" s="95">
        <f t="shared" si="42"/>
        <v>8025</v>
      </c>
      <c r="H238" s="99"/>
      <c r="I238" s="99"/>
      <c r="J238" s="99"/>
      <c r="K238" s="99">
        <f t="shared" si="43"/>
        <v>122</v>
      </c>
      <c r="L238" s="95">
        <f t="shared" si="44"/>
        <v>0.33424657534246577</v>
      </c>
      <c r="M238" s="101">
        <v>2562.08</v>
      </c>
      <c r="N238" s="96">
        <f t="shared" si="45"/>
        <v>157937.92000000001</v>
      </c>
      <c r="O238" s="119">
        <f t="shared" si="46"/>
        <v>19.665753424657535</v>
      </c>
      <c r="P238" s="95">
        <f t="shared" si="47"/>
        <v>149912.92000000001</v>
      </c>
      <c r="Q238" s="96">
        <f t="shared" si="50"/>
        <v>7623.0448314293681</v>
      </c>
      <c r="R238" s="96">
        <f t="shared" si="48"/>
        <v>150314.87516857064</v>
      </c>
      <c r="S238" s="101">
        <v>-7623.75</v>
      </c>
      <c r="T238" s="147">
        <f t="shared" si="49"/>
        <v>-0.70516857063194038</v>
      </c>
    </row>
    <row r="239" spans="1:20">
      <c r="A239" s="145" t="s">
        <v>133</v>
      </c>
      <c r="B239" s="146">
        <v>43799</v>
      </c>
      <c r="C239" s="101">
        <v>19910</v>
      </c>
      <c r="D239" s="99"/>
      <c r="E239" s="99"/>
      <c r="F239" s="99"/>
      <c r="G239" s="95">
        <f t="shared" si="42"/>
        <v>995.5</v>
      </c>
      <c r="H239" s="99"/>
      <c r="I239" s="99"/>
      <c r="J239" s="99"/>
      <c r="K239" s="99">
        <f t="shared" si="43"/>
        <v>122</v>
      </c>
      <c r="L239" s="95">
        <f t="shared" si="44"/>
        <v>0.33424657534246577</v>
      </c>
      <c r="M239" s="101">
        <v>317.83</v>
      </c>
      <c r="N239" s="96">
        <f t="shared" si="45"/>
        <v>19592.169999999998</v>
      </c>
      <c r="O239" s="119">
        <f t="shared" si="46"/>
        <v>19.665753424657535</v>
      </c>
      <c r="P239" s="95">
        <f t="shared" si="47"/>
        <v>18596.669999999998</v>
      </c>
      <c r="Q239" s="96">
        <f t="shared" si="50"/>
        <v>945.63730147673436</v>
      </c>
      <c r="R239" s="96">
        <f t="shared" si="48"/>
        <v>18646.532698523264</v>
      </c>
      <c r="S239" s="101">
        <v>-945.73</v>
      </c>
      <c r="T239" s="147">
        <f t="shared" si="49"/>
        <v>-9.2698523265653421E-2</v>
      </c>
    </row>
    <row r="240" spans="1:20">
      <c r="A240" s="145" t="s">
        <v>134</v>
      </c>
      <c r="B240" s="146">
        <v>43810</v>
      </c>
      <c r="C240" s="101">
        <v>11800</v>
      </c>
      <c r="D240" s="99"/>
      <c r="E240" s="99"/>
      <c r="F240" s="99"/>
      <c r="G240" s="95">
        <f t="shared" si="42"/>
        <v>590</v>
      </c>
      <c r="H240" s="99"/>
      <c r="I240" s="99"/>
      <c r="J240" s="99"/>
      <c r="K240" s="99">
        <f t="shared" si="43"/>
        <v>111</v>
      </c>
      <c r="L240" s="95">
        <f t="shared" si="44"/>
        <v>0.30410958904109592</v>
      </c>
      <c r="M240" s="101">
        <v>171.52</v>
      </c>
      <c r="N240" s="96">
        <f t="shared" si="45"/>
        <v>11628.48</v>
      </c>
      <c r="O240" s="119">
        <f t="shared" si="46"/>
        <v>19.695890410958903</v>
      </c>
      <c r="P240" s="95">
        <f t="shared" si="47"/>
        <v>11038.48</v>
      </c>
      <c r="Q240" s="96">
        <f t="shared" si="50"/>
        <v>560.44584782306299</v>
      </c>
      <c r="R240" s="96">
        <f t="shared" si="48"/>
        <v>11068.034152176937</v>
      </c>
      <c r="S240" s="101">
        <v>-560.5</v>
      </c>
      <c r="T240" s="147">
        <f t="shared" si="49"/>
        <v>-5.4152176937009244E-2</v>
      </c>
    </row>
    <row r="241" spans="1:20">
      <c r="A241" s="145" t="s">
        <v>135</v>
      </c>
      <c r="B241" s="146">
        <v>43811</v>
      </c>
      <c r="C241" s="101">
        <v>0</v>
      </c>
      <c r="D241" s="99"/>
      <c r="E241" s="99"/>
      <c r="F241" s="99"/>
      <c r="G241" s="95">
        <f t="shared" si="42"/>
        <v>0</v>
      </c>
      <c r="H241" s="99"/>
      <c r="I241" s="99"/>
      <c r="J241" s="99"/>
      <c r="K241" s="99">
        <f t="shared" si="43"/>
        <v>110</v>
      </c>
      <c r="L241" s="95">
        <f t="shared" si="44"/>
        <v>0.30136986301369861</v>
      </c>
      <c r="M241" s="101">
        <v>0</v>
      </c>
      <c r="N241" s="96">
        <f t="shared" si="45"/>
        <v>0</v>
      </c>
      <c r="O241" s="119">
        <f t="shared" si="46"/>
        <v>19.698630136986303</v>
      </c>
      <c r="P241" s="95">
        <f t="shared" si="47"/>
        <v>0</v>
      </c>
      <c r="Q241" s="96">
        <f t="shared" si="50"/>
        <v>0</v>
      </c>
      <c r="R241" s="96">
        <f t="shared" si="48"/>
        <v>0</v>
      </c>
      <c r="S241" s="101">
        <v>0</v>
      </c>
      <c r="T241" s="147">
        <f t="shared" si="49"/>
        <v>0</v>
      </c>
    </row>
    <row r="242" spans="1:20">
      <c r="A242" s="145" t="s">
        <v>136</v>
      </c>
      <c r="B242" s="146">
        <v>43816</v>
      </c>
      <c r="C242" s="101">
        <v>2781000</v>
      </c>
      <c r="D242" s="99"/>
      <c r="E242" s="99"/>
      <c r="F242" s="99"/>
      <c r="G242" s="95">
        <f t="shared" si="42"/>
        <v>139050</v>
      </c>
      <c r="H242" s="99"/>
      <c r="I242" s="99"/>
      <c r="J242" s="99"/>
      <c r="K242" s="99">
        <f t="shared" si="43"/>
        <v>105</v>
      </c>
      <c r="L242" s="95">
        <f t="shared" si="44"/>
        <v>0.28767123287671231</v>
      </c>
      <c r="M242" s="101">
        <v>38257.75</v>
      </c>
      <c r="N242" s="96">
        <f t="shared" si="45"/>
        <v>2742742.25</v>
      </c>
      <c r="O242" s="119">
        <f t="shared" si="46"/>
        <v>19.712328767123289</v>
      </c>
      <c r="P242" s="95">
        <f t="shared" si="47"/>
        <v>2603692.25</v>
      </c>
      <c r="Q242" s="96">
        <f t="shared" si="50"/>
        <v>132084.45743571923</v>
      </c>
      <c r="R242" s="96">
        <f t="shared" si="48"/>
        <v>2610657.7925642808</v>
      </c>
      <c r="S242" s="101">
        <v>-132097.5</v>
      </c>
      <c r="T242" s="147">
        <f t="shared" si="49"/>
        <v>-13.042564280767692</v>
      </c>
    </row>
    <row r="243" spans="1:20">
      <c r="A243" s="145" t="s">
        <v>137</v>
      </c>
      <c r="B243" s="146">
        <v>43823</v>
      </c>
      <c r="C243" s="101">
        <v>30000</v>
      </c>
      <c r="D243" s="99"/>
      <c r="E243" s="99"/>
      <c r="F243" s="99"/>
      <c r="G243" s="95">
        <f t="shared" si="42"/>
        <v>1500</v>
      </c>
      <c r="H243" s="99"/>
      <c r="I243" s="99"/>
      <c r="J243" s="99"/>
      <c r="K243" s="99">
        <f t="shared" si="43"/>
        <v>98</v>
      </c>
      <c r="L243" s="95">
        <f t="shared" si="44"/>
        <v>0.26849315068493151</v>
      </c>
      <c r="M243" s="101">
        <v>385.45</v>
      </c>
      <c r="N243" s="96">
        <f t="shared" si="45"/>
        <v>29614.55</v>
      </c>
      <c r="O243" s="119">
        <f t="shared" si="46"/>
        <v>19.731506849315068</v>
      </c>
      <c r="P243" s="95">
        <f t="shared" si="47"/>
        <v>28114.55</v>
      </c>
      <c r="Q243" s="96">
        <f t="shared" si="50"/>
        <v>1424.8556998056097</v>
      </c>
      <c r="R243" s="96">
        <f t="shared" si="48"/>
        <v>28189.694300194391</v>
      </c>
      <c r="S243" s="101">
        <v>-1425</v>
      </c>
      <c r="T243" s="147">
        <f t="shared" si="49"/>
        <v>-0.14430019439032549</v>
      </c>
    </row>
    <row r="244" spans="1:20">
      <c r="A244" s="145" t="s">
        <v>138</v>
      </c>
      <c r="B244" s="146">
        <v>43823</v>
      </c>
      <c r="C244" s="101">
        <v>24500</v>
      </c>
      <c r="D244" s="99"/>
      <c r="E244" s="99"/>
      <c r="F244" s="99"/>
      <c r="G244" s="95">
        <f t="shared" si="42"/>
        <v>1225</v>
      </c>
      <c r="H244" s="99"/>
      <c r="I244" s="99"/>
      <c r="J244" s="99"/>
      <c r="K244" s="99">
        <f t="shared" si="43"/>
        <v>98</v>
      </c>
      <c r="L244" s="95">
        <f t="shared" si="44"/>
        <v>0.26849315068493151</v>
      </c>
      <c r="M244" s="101">
        <v>314.77999999999997</v>
      </c>
      <c r="N244" s="96">
        <f t="shared" si="45"/>
        <v>24185.22</v>
      </c>
      <c r="O244" s="119">
        <f t="shared" si="46"/>
        <v>19.731506849315068</v>
      </c>
      <c r="P244" s="95">
        <f t="shared" si="47"/>
        <v>22960.22</v>
      </c>
      <c r="Q244" s="96">
        <f t="shared" si="50"/>
        <v>1163.632366009442</v>
      </c>
      <c r="R244" s="96">
        <f t="shared" si="48"/>
        <v>23021.587633990559</v>
      </c>
      <c r="S244" s="101">
        <v>-1163.75</v>
      </c>
      <c r="T244" s="147">
        <f t="shared" si="49"/>
        <v>-0.11763399055803347</v>
      </c>
    </row>
    <row r="245" spans="1:20">
      <c r="A245" s="145" t="s">
        <v>139</v>
      </c>
      <c r="B245" s="146">
        <v>43823</v>
      </c>
      <c r="C245" s="101">
        <v>0</v>
      </c>
      <c r="D245" s="99"/>
      <c r="E245" s="99"/>
      <c r="F245" s="99"/>
      <c r="G245" s="95">
        <f t="shared" si="42"/>
        <v>0</v>
      </c>
      <c r="H245" s="99"/>
      <c r="I245" s="99"/>
      <c r="J245" s="99"/>
      <c r="K245" s="99">
        <f t="shared" si="43"/>
        <v>98</v>
      </c>
      <c r="L245" s="95">
        <f t="shared" si="44"/>
        <v>0.26849315068493151</v>
      </c>
      <c r="M245" s="101">
        <v>0</v>
      </c>
      <c r="N245" s="96">
        <f t="shared" si="45"/>
        <v>0</v>
      </c>
      <c r="O245" s="119">
        <f t="shared" si="46"/>
        <v>19.731506849315068</v>
      </c>
      <c r="P245" s="95">
        <f t="shared" si="47"/>
        <v>0</v>
      </c>
      <c r="Q245" s="96">
        <f t="shared" si="50"/>
        <v>0</v>
      </c>
      <c r="R245" s="96">
        <f t="shared" si="48"/>
        <v>0</v>
      </c>
      <c r="S245" s="101">
        <v>0</v>
      </c>
      <c r="T245" s="147">
        <f t="shared" si="49"/>
        <v>0</v>
      </c>
    </row>
    <row r="246" spans="1:20">
      <c r="A246" s="145" t="s">
        <v>140</v>
      </c>
      <c r="B246" s="146">
        <v>43825</v>
      </c>
      <c r="C246" s="101">
        <v>0</v>
      </c>
      <c r="D246" s="99"/>
      <c r="E246" s="99"/>
      <c r="F246" s="99"/>
      <c r="G246" s="95">
        <f t="shared" si="42"/>
        <v>0</v>
      </c>
      <c r="H246" s="99"/>
      <c r="I246" s="99"/>
      <c r="J246" s="99"/>
      <c r="K246" s="99">
        <f t="shared" si="43"/>
        <v>96</v>
      </c>
      <c r="L246" s="95">
        <f t="shared" si="44"/>
        <v>0.26301369863013696</v>
      </c>
      <c r="M246" s="101">
        <v>0</v>
      </c>
      <c r="N246" s="96">
        <f t="shared" si="45"/>
        <v>0</v>
      </c>
      <c r="O246" s="119">
        <f t="shared" si="46"/>
        <v>19.736986301369864</v>
      </c>
      <c r="P246" s="95">
        <f t="shared" si="47"/>
        <v>0</v>
      </c>
      <c r="Q246" s="96">
        <f t="shared" si="50"/>
        <v>0</v>
      </c>
      <c r="R246" s="96">
        <f t="shared" si="48"/>
        <v>0</v>
      </c>
      <c r="S246" s="101">
        <v>0</v>
      </c>
      <c r="T246" s="147">
        <f t="shared" si="49"/>
        <v>0</v>
      </c>
    </row>
    <row r="247" spans="1:20">
      <c r="A247" s="145" t="s">
        <v>141</v>
      </c>
      <c r="B247" s="146">
        <v>43862</v>
      </c>
      <c r="C247" s="101">
        <v>20000</v>
      </c>
      <c r="D247" s="99"/>
      <c r="E247" s="99"/>
      <c r="F247" s="99"/>
      <c r="G247" s="95">
        <f t="shared" si="42"/>
        <v>1000</v>
      </c>
      <c r="H247" s="99"/>
      <c r="I247" s="99"/>
      <c r="J247" s="99"/>
      <c r="K247" s="99">
        <f t="shared" si="43"/>
        <v>59</v>
      </c>
      <c r="L247" s="95">
        <f t="shared" si="44"/>
        <v>0.16164383561643836</v>
      </c>
      <c r="M247" s="101">
        <v>155.74</v>
      </c>
      <c r="N247" s="96">
        <f t="shared" si="45"/>
        <v>19844.259999999998</v>
      </c>
      <c r="O247" s="119">
        <f t="shared" si="46"/>
        <v>19.838356164383562</v>
      </c>
      <c r="P247" s="95">
        <f t="shared" si="47"/>
        <v>18844.259999999998</v>
      </c>
      <c r="Q247" s="96">
        <f t="shared" si="50"/>
        <v>949.89019472448547</v>
      </c>
      <c r="R247" s="96">
        <f t="shared" si="48"/>
        <v>18894.369805275513</v>
      </c>
      <c r="S247" s="101">
        <v>-950</v>
      </c>
      <c r="T247" s="147">
        <f t="shared" si="49"/>
        <v>-0.10980527551453179</v>
      </c>
    </row>
    <row r="248" spans="1:20">
      <c r="A248" s="145" t="s">
        <v>142</v>
      </c>
      <c r="B248" s="146">
        <v>43875</v>
      </c>
      <c r="C248" s="101">
        <v>33840</v>
      </c>
      <c r="D248" s="99"/>
      <c r="E248" s="99"/>
      <c r="F248" s="99"/>
      <c r="G248" s="95">
        <f t="shared" si="42"/>
        <v>1692</v>
      </c>
      <c r="H248" s="99"/>
      <c r="I248" s="99"/>
      <c r="J248" s="99"/>
      <c r="K248" s="99">
        <f t="shared" si="43"/>
        <v>46</v>
      </c>
      <c r="L248" s="95">
        <f t="shared" si="44"/>
        <v>0.12602739726027398</v>
      </c>
      <c r="M248" s="101">
        <v>206.41</v>
      </c>
      <c r="N248" s="96">
        <f t="shared" si="45"/>
        <v>33633.589999999997</v>
      </c>
      <c r="O248" s="119">
        <f t="shared" si="46"/>
        <v>19.873972602739727</v>
      </c>
      <c r="P248" s="95">
        <f t="shared" si="47"/>
        <v>31941.589999999997</v>
      </c>
      <c r="Q248" s="96">
        <f t="shared" si="50"/>
        <v>1607.2071064240417</v>
      </c>
      <c r="R248" s="96">
        <f t="shared" si="48"/>
        <v>32026.382893575956</v>
      </c>
      <c r="S248" s="101">
        <v>-1607.4</v>
      </c>
      <c r="T248" s="147">
        <f t="shared" si="49"/>
        <v>-0.19289357595835099</v>
      </c>
    </row>
    <row r="249" spans="1:20">
      <c r="A249" s="145" t="s">
        <v>143</v>
      </c>
      <c r="B249" s="146">
        <v>43875</v>
      </c>
      <c r="C249" s="101">
        <v>29070</v>
      </c>
      <c r="D249" s="99"/>
      <c r="E249" s="99"/>
      <c r="F249" s="99"/>
      <c r="G249" s="95">
        <f t="shared" si="42"/>
        <v>1453.5</v>
      </c>
      <c r="H249" s="99"/>
      <c r="I249" s="99"/>
      <c r="J249" s="99"/>
      <c r="K249" s="99">
        <f t="shared" si="43"/>
        <v>46</v>
      </c>
      <c r="L249" s="95">
        <f t="shared" si="44"/>
        <v>0.12602739726027398</v>
      </c>
      <c r="M249" s="101">
        <v>177.32</v>
      </c>
      <c r="N249" s="96">
        <f t="shared" si="45"/>
        <v>28892.68</v>
      </c>
      <c r="O249" s="119">
        <f t="shared" si="46"/>
        <v>19.873972602739727</v>
      </c>
      <c r="P249" s="95">
        <f t="shared" si="47"/>
        <v>27439.18</v>
      </c>
      <c r="Q249" s="96">
        <f t="shared" si="50"/>
        <v>1380.6590432864625</v>
      </c>
      <c r="R249" s="96">
        <f t="shared" si="48"/>
        <v>27512.020956713539</v>
      </c>
      <c r="S249" s="101">
        <v>-1380.83</v>
      </c>
      <c r="T249" s="147">
        <f t="shared" si="49"/>
        <v>-0.17095671353740727</v>
      </c>
    </row>
    <row r="250" spans="1:20">
      <c r="A250" s="145" t="s">
        <v>144</v>
      </c>
      <c r="B250" s="146">
        <v>43878</v>
      </c>
      <c r="C250" s="101">
        <v>7397.4</v>
      </c>
      <c r="D250" s="99"/>
      <c r="E250" s="99"/>
      <c r="F250" s="99"/>
      <c r="G250" s="95">
        <f t="shared" si="42"/>
        <v>369.87</v>
      </c>
      <c r="H250" s="99"/>
      <c r="I250" s="99"/>
      <c r="J250" s="99"/>
      <c r="K250" s="99">
        <f t="shared" si="43"/>
        <v>43</v>
      </c>
      <c r="L250" s="95">
        <f t="shared" si="44"/>
        <v>0.11780821917808219</v>
      </c>
      <c r="M250" s="101">
        <v>42.24</v>
      </c>
      <c r="N250" s="96">
        <f t="shared" si="45"/>
        <v>7355.16</v>
      </c>
      <c r="O250" s="119">
        <f t="shared" si="46"/>
        <v>19.882191780821916</v>
      </c>
      <c r="P250" s="95">
        <f t="shared" si="47"/>
        <v>6985.29</v>
      </c>
      <c r="Q250" s="96">
        <f t="shared" si="50"/>
        <v>351.33400165357591</v>
      </c>
      <c r="R250" s="96">
        <f t="shared" si="48"/>
        <v>7003.8259983464241</v>
      </c>
      <c r="S250" s="101">
        <v>-351.38</v>
      </c>
      <c r="T250" s="147">
        <f t="shared" si="49"/>
        <v>-4.5998346424084957E-2</v>
      </c>
    </row>
    <row r="251" spans="1:20">
      <c r="A251" s="145" t="s">
        <v>145</v>
      </c>
      <c r="B251" s="146">
        <v>43878</v>
      </c>
      <c r="C251" s="101">
        <v>19389.599999999999</v>
      </c>
      <c r="D251" s="99"/>
      <c r="E251" s="99"/>
      <c r="F251" s="99"/>
      <c r="G251" s="95">
        <f t="shared" si="42"/>
        <v>969.48</v>
      </c>
      <c r="H251" s="99"/>
      <c r="I251" s="99"/>
      <c r="J251" s="99"/>
      <c r="K251" s="99">
        <f t="shared" si="43"/>
        <v>43</v>
      </c>
      <c r="L251" s="95">
        <f t="shared" si="44"/>
        <v>0.11780821917808219</v>
      </c>
      <c r="M251" s="101">
        <v>110.72</v>
      </c>
      <c r="N251" s="96">
        <f t="shared" si="45"/>
        <v>19278.879999999997</v>
      </c>
      <c r="O251" s="119">
        <f t="shared" si="46"/>
        <v>19.882191780821916</v>
      </c>
      <c r="P251" s="95">
        <f t="shared" si="47"/>
        <v>18309.399999999998</v>
      </c>
      <c r="Q251" s="96">
        <f t="shared" si="50"/>
        <v>920.89444674107756</v>
      </c>
      <c r="R251" s="96">
        <f t="shared" si="48"/>
        <v>18357.985553258921</v>
      </c>
      <c r="S251" s="101">
        <v>-921.01</v>
      </c>
      <c r="T251" s="147">
        <f t="shared" si="49"/>
        <v>-0.11555325892243218</v>
      </c>
    </row>
    <row r="252" spans="1:20">
      <c r="A252" s="145" t="s">
        <v>146</v>
      </c>
      <c r="B252" s="146">
        <v>43878</v>
      </c>
      <c r="C252" s="101">
        <v>17846.7</v>
      </c>
      <c r="D252" s="99"/>
      <c r="E252" s="99"/>
      <c r="F252" s="99"/>
      <c r="G252" s="95">
        <f t="shared" si="42"/>
        <v>892.33500000000004</v>
      </c>
      <c r="H252" s="99"/>
      <c r="I252" s="99"/>
      <c r="J252" s="99"/>
      <c r="K252" s="99">
        <f t="shared" si="43"/>
        <v>43</v>
      </c>
      <c r="L252" s="95">
        <f t="shared" si="44"/>
        <v>0.11780821917808219</v>
      </c>
      <c r="M252" s="101">
        <v>101.91</v>
      </c>
      <c r="N252" s="96">
        <f t="shared" si="45"/>
        <v>17744.79</v>
      </c>
      <c r="O252" s="119">
        <f t="shared" si="46"/>
        <v>19.882191780821916</v>
      </c>
      <c r="P252" s="95">
        <f t="shared" si="47"/>
        <v>16852.455000000002</v>
      </c>
      <c r="Q252" s="96">
        <f t="shared" si="50"/>
        <v>847.61555394791253</v>
      </c>
      <c r="R252" s="96">
        <f t="shared" si="48"/>
        <v>16897.174446052089</v>
      </c>
      <c r="S252" s="101">
        <v>-847.72</v>
      </c>
      <c r="T252" s="147">
        <f t="shared" si="49"/>
        <v>-0.10444605208749635</v>
      </c>
    </row>
    <row r="253" spans="1:20">
      <c r="A253" s="145" t="s">
        <v>147</v>
      </c>
      <c r="B253" s="146">
        <v>43881</v>
      </c>
      <c r="C253" s="101">
        <v>0</v>
      </c>
      <c r="D253" s="99"/>
      <c r="E253" s="99"/>
      <c r="F253" s="99"/>
      <c r="G253" s="95">
        <f t="shared" si="42"/>
        <v>0</v>
      </c>
      <c r="H253" s="99"/>
      <c r="I253" s="99"/>
      <c r="J253" s="99"/>
      <c r="K253" s="99">
        <f t="shared" si="43"/>
        <v>40</v>
      </c>
      <c r="L253" s="95">
        <f t="shared" si="44"/>
        <v>0.1095890410958904</v>
      </c>
      <c r="M253" s="101">
        <v>0</v>
      </c>
      <c r="N253" s="96">
        <f t="shared" si="45"/>
        <v>0</v>
      </c>
      <c r="O253" s="119">
        <f t="shared" si="46"/>
        <v>19.890410958904109</v>
      </c>
      <c r="P253" s="95">
        <f t="shared" si="47"/>
        <v>0</v>
      </c>
      <c r="Q253" s="96">
        <f t="shared" si="50"/>
        <v>0</v>
      </c>
      <c r="R253" s="96">
        <f t="shared" si="48"/>
        <v>0</v>
      </c>
      <c r="S253" s="101">
        <v>0</v>
      </c>
      <c r="T253" s="147">
        <f t="shared" si="49"/>
        <v>0</v>
      </c>
    </row>
    <row r="254" spans="1:20">
      <c r="A254" s="145" t="s">
        <v>148</v>
      </c>
      <c r="B254" s="146">
        <v>43883</v>
      </c>
      <c r="C254" s="101">
        <v>0</v>
      </c>
      <c r="D254" s="99"/>
      <c r="E254" s="99"/>
      <c r="F254" s="99"/>
      <c r="G254" s="95">
        <f t="shared" si="42"/>
        <v>0</v>
      </c>
      <c r="H254" s="99"/>
      <c r="I254" s="99"/>
      <c r="J254" s="99"/>
      <c r="K254" s="99">
        <f t="shared" si="43"/>
        <v>38</v>
      </c>
      <c r="L254" s="95">
        <f t="shared" si="44"/>
        <v>0.10410958904109589</v>
      </c>
      <c r="M254" s="101">
        <v>0</v>
      </c>
      <c r="N254" s="96">
        <f t="shared" si="45"/>
        <v>0</v>
      </c>
      <c r="O254" s="119">
        <f t="shared" si="46"/>
        <v>19.895890410958906</v>
      </c>
      <c r="P254" s="95">
        <f t="shared" si="47"/>
        <v>0</v>
      </c>
      <c r="Q254" s="96">
        <f t="shared" si="50"/>
        <v>0</v>
      </c>
      <c r="R254" s="96">
        <f t="shared" si="48"/>
        <v>0</v>
      </c>
      <c r="S254" s="101">
        <v>0</v>
      </c>
      <c r="T254" s="147">
        <f t="shared" si="49"/>
        <v>0</v>
      </c>
    </row>
    <row r="255" spans="1:20">
      <c r="A255" s="145" t="s">
        <v>149</v>
      </c>
      <c r="B255" s="146">
        <v>43883</v>
      </c>
      <c r="C255" s="101">
        <v>0</v>
      </c>
      <c r="D255" s="99"/>
      <c r="E255" s="99"/>
      <c r="F255" s="99"/>
      <c r="G255" s="95">
        <f t="shared" si="42"/>
        <v>0</v>
      </c>
      <c r="H255" s="99"/>
      <c r="I255" s="99"/>
      <c r="J255" s="99"/>
      <c r="K255" s="99">
        <f t="shared" si="43"/>
        <v>38</v>
      </c>
      <c r="L255" s="95">
        <f t="shared" si="44"/>
        <v>0.10410958904109589</v>
      </c>
      <c r="M255" s="101">
        <v>0</v>
      </c>
      <c r="N255" s="96">
        <f t="shared" si="45"/>
        <v>0</v>
      </c>
      <c r="O255" s="119">
        <f t="shared" si="46"/>
        <v>19.895890410958906</v>
      </c>
      <c r="P255" s="95">
        <f t="shared" si="47"/>
        <v>0</v>
      </c>
      <c r="Q255" s="96">
        <f t="shared" si="50"/>
        <v>0</v>
      </c>
      <c r="R255" s="96">
        <f t="shared" si="48"/>
        <v>0</v>
      </c>
      <c r="S255" s="101">
        <v>0</v>
      </c>
      <c r="T255" s="147">
        <f t="shared" si="49"/>
        <v>0</v>
      </c>
    </row>
    <row r="256" spans="1:20">
      <c r="A256" s="145" t="s">
        <v>150</v>
      </c>
      <c r="B256" s="146">
        <v>43890</v>
      </c>
      <c r="C256" s="101">
        <v>0</v>
      </c>
      <c r="D256" s="99"/>
      <c r="E256" s="99"/>
      <c r="F256" s="99"/>
      <c r="G256" s="95">
        <f t="shared" si="42"/>
        <v>0</v>
      </c>
      <c r="H256" s="99"/>
      <c r="I256" s="99"/>
      <c r="J256" s="99"/>
      <c r="K256" s="99">
        <f t="shared" si="43"/>
        <v>31</v>
      </c>
      <c r="L256" s="95">
        <f t="shared" si="44"/>
        <v>8.4931506849315067E-2</v>
      </c>
      <c r="M256" s="101">
        <v>0</v>
      </c>
      <c r="N256" s="96">
        <f t="shared" si="45"/>
        <v>0</v>
      </c>
      <c r="O256" s="119">
        <f t="shared" si="46"/>
        <v>19.915068493150685</v>
      </c>
      <c r="P256" s="95">
        <f t="shared" si="47"/>
        <v>0</v>
      </c>
      <c r="Q256" s="96">
        <f t="shared" si="50"/>
        <v>0</v>
      </c>
      <c r="R256" s="96">
        <f t="shared" si="48"/>
        <v>0</v>
      </c>
      <c r="S256" s="101">
        <v>0</v>
      </c>
      <c r="T256" s="147">
        <f t="shared" si="49"/>
        <v>0</v>
      </c>
    </row>
    <row r="257" spans="1:21">
      <c r="A257" s="145" t="s">
        <v>151</v>
      </c>
      <c r="B257" s="146">
        <v>43897</v>
      </c>
      <c r="C257" s="101">
        <v>28500</v>
      </c>
      <c r="D257" s="99"/>
      <c r="E257" s="99"/>
      <c r="F257" s="99"/>
      <c r="G257" s="95">
        <f t="shared" si="42"/>
        <v>1425</v>
      </c>
      <c r="H257" s="99"/>
      <c r="I257" s="99"/>
      <c r="J257" s="99"/>
      <c r="K257" s="99">
        <f t="shared" si="43"/>
        <v>24</v>
      </c>
      <c r="L257" s="95">
        <f t="shared" si="44"/>
        <v>6.575342465753424E-2</v>
      </c>
      <c r="M257" s="101">
        <v>92.47</v>
      </c>
      <c r="N257" s="96">
        <f t="shared" si="45"/>
        <v>28407.53</v>
      </c>
      <c r="O257" s="119">
        <f t="shared" si="46"/>
        <v>19.934246575342467</v>
      </c>
      <c r="P257" s="95">
        <f t="shared" si="47"/>
        <v>26982.53</v>
      </c>
      <c r="Q257" s="96">
        <f t="shared" si="50"/>
        <v>1353.5766148982957</v>
      </c>
      <c r="R257" s="96">
        <f t="shared" si="48"/>
        <v>27053.953385101704</v>
      </c>
      <c r="S257" s="101">
        <v>-1353.75</v>
      </c>
      <c r="T257" s="147">
        <f t="shared" si="49"/>
        <v>-0.17338510170429799</v>
      </c>
    </row>
    <row r="258" spans="1:21">
      <c r="A258" s="145" t="s">
        <v>152</v>
      </c>
      <c r="B258" s="146">
        <v>43903</v>
      </c>
      <c r="C258" s="101">
        <v>33400</v>
      </c>
      <c r="D258" s="99"/>
      <c r="E258" s="99"/>
      <c r="F258" s="99"/>
      <c r="G258" s="95">
        <f t="shared" si="42"/>
        <v>1670</v>
      </c>
      <c r="H258" s="99"/>
      <c r="I258" s="99"/>
      <c r="J258" s="99"/>
      <c r="K258" s="99">
        <f t="shared" si="43"/>
        <v>18</v>
      </c>
      <c r="L258" s="95">
        <f t="shared" si="44"/>
        <v>4.9315068493150684E-2</v>
      </c>
      <c r="M258" s="101">
        <v>82.36</v>
      </c>
      <c r="N258" s="96">
        <f t="shared" si="45"/>
        <v>33317.64</v>
      </c>
      <c r="O258" s="119">
        <f t="shared" si="46"/>
        <v>19.950684931506849</v>
      </c>
      <c r="P258" s="95">
        <f t="shared" si="47"/>
        <v>31647.64</v>
      </c>
      <c r="Q258" s="96">
        <f t="shared" si="50"/>
        <v>1586.2934084042845</v>
      </c>
      <c r="R258" s="96">
        <f t="shared" si="48"/>
        <v>31731.346591595713</v>
      </c>
      <c r="S258" s="101">
        <v>-1586.5</v>
      </c>
      <c r="T258" s="147">
        <f t="shared" si="49"/>
        <v>-0.20659159571550845</v>
      </c>
    </row>
    <row r="259" spans="1:21" ht="16.5">
      <c r="A259" s="114" t="s">
        <v>153</v>
      </c>
      <c r="B259" s="115"/>
      <c r="C259" s="117">
        <f>SUM(C15:C258)</f>
        <v>356476918.19999987</v>
      </c>
      <c r="D259" s="115"/>
      <c r="E259" s="115"/>
      <c r="F259" s="115"/>
      <c r="G259" s="85"/>
      <c r="H259" s="115"/>
      <c r="I259" s="115"/>
      <c r="J259" s="115"/>
      <c r="K259" s="115"/>
      <c r="L259" s="85"/>
      <c r="M259" s="117">
        <f>SUM(M15:M258)</f>
        <v>152353529.60636345</v>
      </c>
      <c r="N259" s="117">
        <f>SUM(N15:N258)</f>
        <v>204123388.59363651</v>
      </c>
      <c r="O259" s="85"/>
      <c r="P259" s="85"/>
      <c r="Q259" s="117">
        <f>SUM(Q15:Q258)</f>
        <v>16904862.087170571</v>
      </c>
      <c r="R259" s="117">
        <f>SUM(R15:R258)</f>
        <v>187218526.50646573</v>
      </c>
      <c r="S259" s="148"/>
      <c r="T259" s="148"/>
      <c r="U259" s="149">
        <f>-SUM(S15:S258)</f>
        <v>16932653.780000005</v>
      </c>
    </row>
    <row r="260" spans="1:21" ht="16.5">
      <c r="A260" s="114"/>
      <c r="B260" s="115"/>
      <c r="C260" s="116"/>
      <c r="D260" s="115"/>
      <c r="E260" s="115"/>
      <c r="F260" s="115"/>
      <c r="G260" s="85"/>
      <c r="H260" s="115"/>
      <c r="I260" s="115"/>
      <c r="J260" s="115"/>
      <c r="K260" s="115"/>
      <c r="L260" s="85"/>
      <c r="M260" s="85"/>
      <c r="N260" s="117"/>
      <c r="O260" s="85"/>
      <c r="P260" s="85"/>
      <c r="Q260" s="117"/>
      <c r="R260" s="117"/>
      <c r="S260" s="148"/>
      <c r="T260" s="148">
        <f t="shared" ref="T260:T306" si="51">+Q260+S260</f>
        <v>0</v>
      </c>
    </row>
    <row r="261" spans="1:21" ht="16.5">
      <c r="A261" s="114" t="s">
        <v>154</v>
      </c>
      <c r="B261" s="115"/>
      <c r="C261" s="115"/>
      <c r="D261" s="115"/>
      <c r="E261" s="115"/>
      <c r="F261" s="115"/>
      <c r="G261" s="85"/>
      <c r="H261" s="115"/>
      <c r="I261" s="115"/>
      <c r="J261" s="115"/>
      <c r="K261" s="115"/>
      <c r="L261" s="85"/>
      <c r="M261" s="85"/>
      <c r="N261" s="86"/>
      <c r="O261" s="85">
        <v>10</v>
      </c>
      <c r="P261" s="85"/>
      <c r="Q261" s="86"/>
      <c r="R261" s="86"/>
      <c r="S261" s="148"/>
      <c r="T261" s="148">
        <f t="shared" si="51"/>
        <v>0</v>
      </c>
    </row>
    <row r="262" spans="1:21">
      <c r="A262" s="99" t="s">
        <v>155</v>
      </c>
      <c r="B262" s="94">
        <v>38479</v>
      </c>
      <c r="C262" s="100">
        <v>11600</v>
      </c>
      <c r="D262" s="99"/>
      <c r="E262" s="99"/>
      <c r="F262" s="99"/>
      <c r="G262" s="95">
        <f t="shared" ref="G262" si="52">C262*5%</f>
        <v>580</v>
      </c>
      <c r="H262" s="99"/>
      <c r="I262" s="99"/>
      <c r="J262" s="99"/>
      <c r="K262" s="99">
        <f t="shared" ref="K262:K283" si="53">$K$2-B262</f>
        <v>5442</v>
      </c>
      <c r="L262" s="95">
        <f t="shared" ref="L262" si="54">K262/365</f>
        <v>14.90958904109589</v>
      </c>
      <c r="M262" s="150">
        <v>11600</v>
      </c>
      <c r="N262" s="96"/>
      <c r="O262" s="119">
        <f t="shared" ref="O262:O263" si="55">$O$261-L262</f>
        <v>-4.9095890410958898</v>
      </c>
      <c r="P262" s="119">
        <v>0</v>
      </c>
      <c r="Q262" s="96">
        <v>0</v>
      </c>
      <c r="R262" s="96"/>
      <c r="S262" s="151">
        <v>0</v>
      </c>
      <c r="T262" s="148">
        <f t="shared" si="51"/>
        <v>0</v>
      </c>
    </row>
    <row r="263" spans="1:21">
      <c r="A263" s="99" t="s">
        <v>155</v>
      </c>
      <c r="B263" s="94">
        <v>38796</v>
      </c>
      <c r="C263" s="100">
        <v>8600</v>
      </c>
      <c r="D263" s="99"/>
      <c r="E263" s="99"/>
      <c r="F263" s="99"/>
      <c r="G263" s="95">
        <f>C263*5%</f>
        <v>430</v>
      </c>
      <c r="H263" s="99"/>
      <c r="I263" s="99"/>
      <c r="J263" s="99"/>
      <c r="K263" s="99">
        <f t="shared" si="53"/>
        <v>5125</v>
      </c>
      <c r="L263" s="95">
        <f>K263/365</f>
        <v>14.04109589041096</v>
      </c>
      <c r="M263" s="150">
        <v>8235.01</v>
      </c>
      <c r="N263" s="96">
        <f t="shared" ref="N263:N283" si="56">C263-M263</f>
        <v>364.98999999999978</v>
      </c>
      <c r="O263" s="119">
        <f t="shared" si="55"/>
        <v>-4.0410958904109595</v>
      </c>
      <c r="P263" s="95">
        <v>0</v>
      </c>
      <c r="Q263" s="96">
        <f t="shared" ref="Q263" si="57">P263/O263</f>
        <v>0</v>
      </c>
      <c r="R263" s="96">
        <f t="shared" ref="R263:R283" si="58">N263-Q263</f>
        <v>364.98999999999978</v>
      </c>
      <c r="S263" s="151">
        <v>0</v>
      </c>
      <c r="T263" s="148">
        <f t="shared" si="51"/>
        <v>0</v>
      </c>
    </row>
    <row r="264" spans="1:21">
      <c r="A264" s="99" t="s">
        <v>155</v>
      </c>
      <c r="B264" s="94">
        <v>39081</v>
      </c>
      <c r="C264" s="100">
        <v>2600</v>
      </c>
      <c r="D264" s="99"/>
      <c r="E264" s="99"/>
      <c r="F264" s="99"/>
      <c r="G264" s="95">
        <f>C264*5%</f>
        <v>130</v>
      </c>
      <c r="H264" s="99"/>
      <c r="I264" s="99"/>
      <c r="J264" s="99"/>
      <c r="K264" s="99">
        <f t="shared" si="53"/>
        <v>4840</v>
      </c>
      <c r="L264" s="95">
        <f>K264/365</f>
        <v>13.260273972602739</v>
      </c>
      <c r="M264" s="150">
        <v>2590.15</v>
      </c>
      <c r="N264" s="96">
        <f t="shared" si="56"/>
        <v>9.8499999999999091</v>
      </c>
      <c r="O264" s="119">
        <f>$O$261-L264</f>
        <v>-3.2602739726027394</v>
      </c>
      <c r="P264" s="95">
        <v>0</v>
      </c>
      <c r="Q264" s="96">
        <f>P264/O264</f>
        <v>0</v>
      </c>
      <c r="R264" s="96">
        <f t="shared" si="58"/>
        <v>9.8499999999999091</v>
      </c>
      <c r="S264" s="151">
        <v>0</v>
      </c>
      <c r="T264" s="148">
        <f t="shared" si="51"/>
        <v>0</v>
      </c>
    </row>
    <row r="265" spans="1:21">
      <c r="A265" s="99" t="s">
        <v>155</v>
      </c>
      <c r="B265" s="94">
        <v>39148</v>
      </c>
      <c r="C265" s="100">
        <v>9300</v>
      </c>
      <c r="D265" s="99"/>
      <c r="E265" s="99"/>
      <c r="F265" s="99"/>
      <c r="G265" s="95">
        <f>C265*5%</f>
        <v>465</v>
      </c>
      <c r="H265" s="99"/>
      <c r="I265" s="99"/>
      <c r="J265" s="99"/>
      <c r="K265" s="99">
        <f t="shared" si="53"/>
        <v>4773</v>
      </c>
      <c r="L265" s="95">
        <f>K265/365</f>
        <v>13.076712328767123</v>
      </c>
      <c r="M265" s="150">
        <v>8953</v>
      </c>
      <c r="N265" s="96">
        <f t="shared" si="56"/>
        <v>347</v>
      </c>
      <c r="O265" s="119">
        <f>$O$261-L265</f>
        <v>-3.0767123287671225</v>
      </c>
      <c r="P265" s="95">
        <v>0</v>
      </c>
      <c r="Q265" s="96">
        <f>P265/O265</f>
        <v>0</v>
      </c>
      <c r="R265" s="96">
        <f t="shared" si="58"/>
        <v>347</v>
      </c>
      <c r="S265" s="151">
        <v>0</v>
      </c>
      <c r="T265" s="148">
        <f t="shared" si="51"/>
        <v>0</v>
      </c>
    </row>
    <row r="266" spans="1:21">
      <c r="A266" s="99" t="s">
        <v>155</v>
      </c>
      <c r="B266" s="94">
        <v>39156</v>
      </c>
      <c r="C266" s="100">
        <v>390</v>
      </c>
      <c r="D266" s="99"/>
      <c r="E266" s="99"/>
      <c r="F266" s="99"/>
      <c r="G266" s="95">
        <f>C266*5%</f>
        <v>19.5</v>
      </c>
      <c r="H266" s="99"/>
      <c r="I266" s="99"/>
      <c r="J266" s="99"/>
      <c r="K266" s="99">
        <f t="shared" si="53"/>
        <v>4765</v>
      </c>
      <c r="L266" s="95">
        <f>K266/365</f>
        <v>13.054794520547945</v>
      </c>
      <c r="M266" s="150">
        <v>373</v>
      </c>
      <c r="N266" s="96">
        <f t="shared" si="56"/>
        <v>17</v>
      </c>
      <c r="O266" s="119">
        <f>$O$261-L266</f>
        <v>-3.0547945205479454</v>
      </c>
      <c r="P266" s="95">
        <v>0</v>
      </c>
      <c r="Q266" s="96">
        <f>P266/O266</f>
        <v>0</v>
      </c>
      <c r="R266" s="96">
        <f t="shared" si="58"/>
        <v>17</v>
      </c>
      <c r="S266" s="151">
        <v>0</v>
      </c>
      <c r="T266" s="148">
        <f t="shared" si="51"/>
        <v>0</v>
      </c>
    </row>
    <row r="267" spans="1:21">
      <c r="A267" s="99" t="s">
        <v>155</v>
      </c>
      <c r="B267" s="94">
        <v>39330</v>
      </c>
      <c r="C267" s="100">
        <v>5600</v>
      </c>
      <c r="D267" s="99"/>
      <c r="E267" s="99"/>
      <c r="F267" s="99"/>
      <c r="G267" s="95">
        <v>280</v>
      </c>
      <c r="H267" s="99"/>
      <c r="I267" s="99"/>
      <c r="J267" s="99"/>
      <c r="K267" s="99">
        <f t="shared" si="53"/>
        <v>4591</v>
      </c>
      <c r="L267" s="95">
        <f>K267/365</f>
        <v>12.578082191780823</v>
      </c>
      <c r="M267" s="150">
        <v>5320</v>
      </c>
      <c r="N267" s="96">
        <f t="shared" si="56"/>
        <v>280</v>
      </c>
      <c r="O267" s="119">
        <f>$O$261-L267</f>
        <v>-2.5780821917808225</v>
      </c>
      <c r="P267" s="95">
        <v>0</v>
      </c>
      <c r="Q267" s="96">
        <f>P267/O267</f>
        <v>0</v>
      </c>
      <c r="R267" s="96">
        <f t="shared" si="58"/>
        <v>280</v>
      </c>
      <c r="S267" s="127">
        <v>0</v>
      </c>
      <c r="T267" s="148">
        <f t="shared" si="51"/>
        <v>0</v>
      </c>
    </row>
    <row r="268" spans="1:21">
      <c r="A268" s="106" t="s">
        <v>156</v>
      </c>
      <c r="B268" s="152">
        <v>43314</v>
      </c>
      <c r="C268" s="108">
        <v>28500</v>
      </c>
      <c r="D268" s="99"/>
      <c r="E268" s="99"/>
      <c r="F268" s="99"/>
      <c r="G268" s="95">
        <f t="shared" ref="G268:G283" si="59">C268*5%</f>
        <v>1425</v>
      </c>
      <c r="H268" s="99"/>
      <c r="I268" s="99"/>
      <c r="J268" s="99"/>
      <c r="K268" s="99">
        <f t="shared" si="53"/>
        <v>607</v>
      </c>
      <c r="L268" s="95">
        <f t="shared" ref="L268:L289" si="60">K268/365</f>
        <v>1.6630136986301369</v>
      </c>
      <c r="M268" s="101">
        <v>4495.1899999999996</v>
      </c>
      <c r="N268" s="96">
        <f t="shared" si="56"/>
        <v>24004.81</v>
      </c>
      <c r="O268" s="119">
        <f t="shared" ref="O268:O283" si="61">$O$261-L268</f>
        <v>8.3369863013698637</v>
      </c>
      <c r="P268" s="95">
        <f>N268-G268</f>
        <v>22579.81</v>
      </c>
      <c r="Q268" s="96">
        <f>+(C268-G268)/$O$261</f>
        <v>2707.5</v>
      </c>
      <c r="R268" s="96">
        <f t="shared" si="58"/>
        <v>21297.31</v>
      </c>
      <c r="S268" s="151">
        <f>+[1]Sheet1!$I$213</f>
        <v>-2707.5</v>
      </c>
      <c r="T268" s="148">
        <f>-(Q268+S268)</f>
        <v>0</v>
      </c>
    </row>
    <row r="269" spans="1:21">
      <c r="A269" s="106" t="s">
        <v>156</v>
      </c>
      <c r="B269" s="152">
        <v>43518</v>
      </c>
      <c r="C269" s="108">
        <v>24152.53</v>
      </c>
      <c r="D269" s="99"/>
      <c r="E269" s="99"/>
      <c r="F269" s="99"/>
      <c r="G269" s="95">
        <f t="shared" si="59"/>
        <v>1207.6265000000001</v>
      </c>
      <c r="H269" s="99"/>
      <c r="I269" s="99"/>
      <c r="J269" s="99"/>
      <c r="K269" s="99">
        <f t="shared" si="53"/>
        <v>403</v>
      </c>
      <c r="L269" s="95">
        <f t="shared" si="60"/>
        <v>1.1041095890410959</v>
      </c>
      <c r="M269" s="101">
        <v>2527.08</v>
      </c>
      <c r="N269" s="96">
        <f t="shared" si="56"/>
        <v>21625.449999999997</v>
      </c>
      <c r="O269" s="119">
        <f t="shared" si="61"/>
        <v>8.8958904109589039</v>
      </c>
      <c r="P269" s="95">
        <f>N269-G269</f>
        <v>20417.823499999999</v>
      </c>
      <c r="Q269" s="96">
        <f>+(C269-G269)/$O$261</f>
        <v>2294.49035</v>
      </c>
      <c r="R269" s="96">
        <f t="shared" si="58"/>
        <v>19330.959649999997</v>
      </c>
      <c r="S269" s="127">
        <f>+[1]Sheet1!$I$219</f>
        <v>-2294.4899999999998</v>
      </c>
      <c r="T269" s="148">
        <f t="shared" ref="T269:T289" si="62">-(Q269+S269)</f>
        <v>-3.5000000025320332E-4</v>
      </c>
    </row>
    <row r="270" spans="1:21">
      <c r="A270" s="106" t="s">
        <v>157</v>
      </c>
      <c r="B270" s="152">
        <v>43314</v>
      </c>
      <c r="C270" s="108">
        <v>7500</v>
      </c>
      <c r="D270" s="99"/>
      <c r="E270" s="99"/>
      <c r="F270" s="99"/>
      <c r="G270" s="95">
        <f t="shared" si="59"/>
        <v>375</v>
      </c>
      <c r="H270" s="99"/>
      <c r="I270" s="99"/>
      <c r="J270" s="99"/>
      <c r="K270" s="99">
        <f t="shared" si="53"/>
        <v>607</v>
      </c>
      <c r="L270" s="95">
        <f t="shared" si="60"/>
        <v>1.6630136986301369</v>
      </c>
      <c r="M270" s="101">
        <v>1182.5</v>
      </c>
      <c r="N270" s="96">
        <f t="shared" si="56"/>
        <v>6317.5</v>
      </c>
      <c r="O270" s="119">
        <f t="shared" si="61"/>
        <v>8.3369863013698637</v>
      </c>
      <c r="P270" s="95">
        <f>N270-G270</f>
        <v>5942.5</v>
      </c>
      <c r="Q270" s="96">
        <f>+(C270-G270)/$O$261</f>
        <v>712.5</v>
      </c>
      <c r="R270" s="96">
        <f t="shared" si="58"/>
        <v>5605</v>
      </c>
      <c r="S270" s="127">
        <f>+[1]Sheet1!$I$212</f>
        <v>-712.5</v>
      </c>
      <c r="T270" s="148">
        <f t="shared" si="62"/>
        <v>0</v>
      </c>
    </row>
    <row r="271" spans="1:21">
      <c r="A271" s="106" t="s">
        <v>157</v>
      </c>
      <c r="B271" s="152">
        <v>43516</v>
      </c>
      <c r="C271" s="108">
        <v>90000</v>
      </c>
      <c r="D271" s="99"/>
      <c r="E271" s="99"/>
      <c r="F271" s="99"/>
      <c r="G271" s="95">
        <f t="shared" si="59"/>
        <v>4500</v>
      </c>
      <c r="H271" s="99"/>
      <c r="I271" s="99"/>
      <c r="J271" s="99"/>
      <c r="K271" s="99">
        <f t="shared" si="53"/>
        <v>405</v>
      </c>
      <c r="L271" s="95">
        <f t="shared" si="60"/>
        <v>1.1095890410958904</v>
      </c>
      <c r="M271" s="101">
        <v>9463.56</v>
      </c>
      <c r="N271" s="96">
        <f t="shared" si="56"/>
        <v>80536.44</v>
      </c>
      <c r="O271" s="119">
        <f t="shared" si="61"/>
        <v>8.8904109589041092</v>
      </c>
      <c r="P271" s="95">
        <f>N271-G271</f>
        <v>76036.44</v>
      </c>
      <c r="Q271" s="96">
        <f>+(C271-G271)/$O$261</f>
        <v>8550</v>
      </c>
      <c r="R271" s="96">
        <f t="shared" si="58"/>
        <v>71986.44</v>
      </c>
      <c r="S271" s="127">
        <f>+[1]Sheet1!$I$218</f>
        <v>-8550</v>
      </c>
      <c r="T271" s="148">
        <f t="shared" si="62"/>
        <v>0</v>
      </c>
    </row>
    <row r="272" spans="1:21">
      <c r="A272" s="145" t="s">
        <v>158</v>
      </c>
      <c r="B272" s="146">
        <v>43668</v>
      </c>
      <c r="C272" s="101">
        <v>30000</v>
      </c>
      <c r="D272" s="99"/>
      <c r="E272" s="99"/>
      <c r="F272" s="99"/>
      <c r="G272" s="95">
        <f t="shared" si="59"/>
        <v>1500</v>
      </c>
      <c r="H272" s="99"/>
      <c r="I272" s="99"/>
      <c r="J272" s="99"/>
      <c r="K272" s="99">
        <f t="shared" si="53"/>
        <v>253</v>
      </c>
      <c r="L272" s="95">
        <f t="shared" si="60"/>
        <v>0.69315068493150689</v>
      </c>
      <c r="M272" s="101">
        <v>1977.87</v>
      </c>
      <c r="N272" s="96">
        <f t="shared" si="56"/>
        <v>28022.13</v>
      </c>
      <c r="O272" s="119">
        <f t="shared" si="61"/>
        <v>9.3068493150684937</v>
      </c>
      <c r="P272" s="95">
        <f t="shared" ref="P272:P283" si="63">N272-G272</f>
        <v>26522.13</v>
      </c>
      <c r="Q272" s="96">
        <f t="shared" ref="Q272:Q283" si="64">+(C272-G272)/$O$261</f>
        <v>2850</v>
      </c>
      <c r="R272" s="96">
        <f t="shared" si="58"/>
        <v>25172.13</v>
      </c>
      <c r="S272" s="127">
        <v>-2850</v>
      </c>
      <c r="T272" s="148">
        <f t="shared" si="62"/>
        <v>0</v>
      </c>
    </row>
    <row r="273" spans="1:20">
      <c r="A273" s="145" t="s">
        <v>159</v>
      </c>
      <c r="B273" s="146">
        <v>43799</v>
      </c>
      <c r="C273" s="101">
        <v>18000</v>
      </c>
      <c r="D273" s="99"/>
      <c r="E273" s="99"/>
      <c r="F273" s="99"/>
      <c r="G273" s="95">
        <f t="shared" si="59"/>
        <v>900</v>
      </c>
      <c r="H273" s="99"/>
      <c r="I273" s="99"/>
      <c r="J273" s="99"/>
      <c r="K273" s="99">
        <f t="shared" si="53"/>
        <v>122</v>
      </c>
      <c r="L273" s="95">
        <f t="shared" si="60"/>
        <v>0.33424657534246577</v>
      </c>
      <c r="M273" s="101">
        <v>574.66999999999996</v>
      </c>
      <c r="N273" s="96">
        <f t="shared" si="56"/>
        <v>17425.330000000002</v>
      </c>
      <c r="O273" s="119">
        <f t="shared" si="61"/>
        <v>9.6657534246575345</v>
      </c>
      <c r="P273" s="95">
        <f t="shared" si="63"/>
        <v>16525.330000000002</v>
      </c>
      <c r="Q273" s="96">
        <f t="shared" si="64"/>
        <v>1710</v>
      </c>
      <c r="R273" s="96">
        <f t="shared" si="58"/>
        <v>15715.330000000002</v>
      </c>
      <c r="S273" s="127">
        <v>-1710</v>
      </c>
      <c r="T273" s="148">
        <f t="shared" si="62"/>
        <v>0</v>
      </c>
    </row>
    <row r="274" spans="1:20">
      <c r="A274" s="145" t="s">
        <v>160</v>
      </c>
      <c r="B274" s="146">
        <v>43819</v>
      </c>
      <c r="C274" s="101">
        <v>5500</v>
      </c>
      <c r="D274" s="99"/>
      <c r="E274" s="99"/>
      <c r="F274" s="99"/>
      <c r="G274" s="95">
        <f t="shared" si="59"/>
        <v>275</v>
      </c>
      <c r="H274" s="99"/>
      <c r="I274" s="99"/>
      <c r="J274" s="99"/>
      <c r="K274" s="99">
        <f t="shared" si="53"/>
        <v>102</v>
      </c>
      <c r="L274" s="95">
        <f t="shared" si="60"/>
        <v>0.27945205479452057</v>
      </c>
      <c r="M274" s="101">
        <v>147.04</v>
      </c>
      <c r="N274" s="96">
        <f t="shared" si="56"/>
        <v>5352.96</v>
      </c>
      <c r="O274" s="119">
        <f t="shared" si="61"/>
        <v>9.7205479452054799</v>
      </c>
      <c r="P274" s="95">
        <f t="shared" si="63"/>
        <v>5077.96</v>
      </c>
      <c r="Q274" s="96">
        <f t="shared" si="64"/>
        <v>522.5</v>
      </c>
      <c r="R274" s="96">
        <f t="shared" si="58"/>
        <v>4830.46</v>
      </c>
      <c r="S274" s="127">
        <v>-522.5</v>
      </c>
      <c r="T274" s="148">
        <f t="shared" si="62"/>
        <v>0</v>
      </c>
    </row>
    <row r="275" spans="1:20">
      <c r="A275" s="145" t="s">
        <v>161</v>
      </c>
      <c r="B275" s="146">
        <v>43819</v>
      </c>
      <c r="C275" s="101">
        <v>5500</v>
      </c>
      <c r="D275" s="99"/>
      <c r="E275" s="99"/>
      <c r="F275" s="99"/>
      <c r="G275" s="95">
        <f t="shared" si="59"/>
        <v>275</v>
      </c>
      <c r="H275" s="99"/>
      <c r="I275" s="99"/>
      <c r="J275" s="99"/>
      <c r="K275" s="99">
        <f t="shared" si="53"/>
        <v>102</v>
      </c>
      <c r="L275" s="95">
        <f t="shared" si="60"/>
        <v>0.27945205479452057</v>
      </c>
      <c r="M275" s="101">
        <v>147.04</v>
      </c>
      <c r="N275" s="96">
        <f t="shared" si="56"/>
        <v>5352.96</v>
      </c>
      <c r="O275" s="119">
        <f t="shared" si="61"/>
        <v>9.7205479452054799</v>
      </c>
      <c r="P275" s="95">
        <f t="shared" si="63"/>
        <v>5077.96</v>
      </c>
      <c r="Q275" s="96">
        <f t="shared" si="64"/>
        <v>522.5</v>
      </c>
      <c r="R275" s="96">
        <f t="shared" si="58"/>
        <v>4830.46</v>
      </c>
      <c r="S275" s="127">
        <v>-522.5</v>
      </c>
      <c r="T275" s="148">
        <f t="shared" si="62"/>
        <v>0</v>
      </c>
    </row>
    <row r="276" spans="1:20">
      <c r="A276" s="145" t="s">
        <v>162</v>
      </c>
      <c r="B276" s="146">
        <v>43819</v>
      </c>
      <c r="C276" s="101">
        <v>5500</v>
      </c>
      <c r="D276" s="99"/>
      <c r="E276" s="99"/>
      <c r="F276" s="99"/>
      <c r="G276" s="95">
        <f t="shared" si="59"/>
        <v>275</v>
      </c>
      <c r="H276" s="99"/>
      <c r="I276" s="99"/>
      <c r="J276" s="99"/>
      <c r="K276" s="99">
        <f t="shared" si="53"/>
        <v>102</v>
      </c>
      <c r="L276" s="95">
        <f t="shared" si="60"/>
        <v>0.27945205479452057</v>
      </c>
      <c r="M276" s="101">
        <v>147.04</v>
      </c>
      <c r="N276" s="96">
        <f t="shared" si="56"/>
        <v>5352.96</v>
      </c>
      <c r="O276" s="119">
        <f t="shared" si="61"/>
        <v>9.7205479452054799</v>
      </c>
      <c r="P276" s="95">
        <f t="shared" si="63"/>
        <v>5077.96</v>
      </c>
      <c r="Q276" s="96">
        <f t="shared" si="64"/>
        <v>522.5</v>
      </c>
      <c r="R276" s="96">
        <f t="shared" si="58"/>
        <v>4830.46</v>
      </c>
      <c r="S276" s="127">
        <v>-522.5</v>
      </c>
      <c r="T276" s="148">
        <f t="shared" si="62"/>
        <v>0</v>
      </c>
    </row>
    <row r="277" spans="1:20">
      <c r="A277" s="145" t="s">
        <v>163</v>
      </c>
      <c r="B277" s="146">
        <v>43819</v>
      </c>
      <c r="C277" s="101">
        <v>5500</v>
      </c>
      <c r="D277" s="99"/>
      <c r="E277" s="99"/>
      <c r="F277" s="99"/>
      <c r="G277" s="95">
        <f t="shared" si="59"/>
        <v>275</v>
      </c>
      <c r="H277" s="99"/>
      <c r="I277" s="99"/>
      <c r="J277" s="99"/>
      <c r="K277" s="99">
        <f t="shared" si="53"/>
        <v>102</v>
      </c>
      <c r="L277" s="95">
        <f t="shared" si="60"/>
        <v>0.27945205479452057</v>
      </c>
      <c r="M277" s="101">
        <v>147.04</v>
      </c>
      <c r="N277" s="96">
        <f t="shared" si="56"/>
        <v>5352.96</v>
      </c>
      <c r="O277" s="119">
        <f t="shared" si="61"/>
        <v>9.7205479452054799</v>
      </c>
      <c r="P277" s="95">
        <f t="shared" si="63"/>
        <v>5077.96</v>
      </c>
      <c r="Q277" s="96">
        <f t="shared" si="64"/>
        <v>522.5</v>
      </c>
      <c r="R277" s="96">
        <f t="shared" si="58"/>
        <v>4830.46</v>
      </c>
      <c r="S277" s="127">
        <v>-522.5</v>
      </c>
      <c r="T277" s="148">
        <f t="shared" si="62"/>
        <v>0</v>
      </c>
    </row>
    <row r="278" spans="1:20">
      <c r="A278" s="145" t="s">
        <v>164</v>
      </c>
      <c r="B278" s="146">
        <v>43855</v>
      </c>
      <c r="C278" s="101">
        <v>3950</v>
      </c>
      <c r="D278" s="99"/>
      <c r="E278" s="99"/>
      <c r="F278" s="99"/>
      <c r="G278" s="95">
        <f t="shared" si="59"/>
        <v>197.5</v>
      </c>
      <c r="H278" s="99"/>
      <c r="I278" s="99"/>
      <c r="J278" s="99"/>
      <c r="K278" s="99">
        <f t="shared" si="53"/>
        <v>66</v>
      </c>
      <c r="L278" s="95">
        <f t="shared" si="60"/>
        <v>0.18082191780821918</v>
      </c>
      <c r="M278" s="101">
        <v>68.69</v>
      </c>
      <c r="N278" s="96">
        <f t="shared" si="56"/>
        <v>3881.31</v>
      </c>
      <c r="O278" s="119">
        <f t="shared" si="61"/>
        <v>9.8191780821917813</v>
      </c>
      <c r="P278" s="95">
        <f t="shared" si="63"/>
        <v>3683.81</v>
      </c>
      <c r="Q278" s="96">
        <f t="shared" si="64"/>
        <v>375.25</v>
      </c>
      <c r="R278" s="96">
        <f t="shared" si="58"/>
        <v>3506.06</v>
      </c>
      <c r="S278" s="127">
        <v>-375.25</v>
      </c>
      <c r="T278" s="148">
        <f t="shared" si="62"/>
        <v>0</v>
      </c>
    </row>
    <row r="279" spans="1:20">
      <c r="A279" s="145" t="s">
        <v>165</v>
      </c>
      <c r="B279" s="146">
        <v>43855</v>
      </c>
      <c r="C279" s="101">
        <v>3950</v>
      </c>
      <c r="D279" s="99"/>
      <c r="E279" s="99"/>
      <c r="F279" s="99"/>
      <c r="G279" s="95">
        <f t="shared" si="59"/>
        <v>197.5</v>
      </c>
      <c r="H279" s="99"/>
      <c r="I279" s="99"/>
      <c r="J279" s="99"/>
      <c r="K279" s="99">
        <f t="shared" si="53"/>
        <v>66</v>
      </c>
      <c r="L279" s="95">
        <f t="shared" si="60"/>
        <v>0.18082191780821918</v>
      </c>
      <c r="M279" s="101">
        <v>68.69</v>
      </c>
      <c r="N279" s="96">
        <f t="shared" si="56"/>
        <v>3881.31</v>
      </c>
      <c r="O279" s="119">
        <f t="shared" si="61"/>
        <v>9.8191780821917813</v>
      </c>
      <c r="P279" s="95">
        <f t="shared" si="63"/>
        <v>3683.81</v>
      </c>
      <c r="Q279" s="96">
        <f t="shared" si="64"/>
        <v>375.25</v>
      </c>
      <c r="R279" s="96">
        <f t="shared" si="58"/>
        <v>3506.06</v>
      </c>
      <c r="S279" s="127">
        <v>-375.25</v>
      </c>
      <c r="T279" s="148">
        <f t="shared" si="62"/>
        <v>0</v>
      </c>
    </row>
    <row r="280" spans="1:20">
      <c r="A280" s="145" t="s">
        <v>166</v>
      </c>
      <c r="B280" s="146">
        <v>43890</v>
      </c>
      <c r="C280" s="101">
        <v>12000</v>
      </c>
      <c r="D280" s="99"/>
      <c r="E280" s="99"/>
      <c r="F280" s="99"/>
      <c r="G280" s="95">
        <f t="shared" si="59"/>
        <v>600</v>
      </c>
      <c r="H280" s="99"/>
      <c r="I280" s="99"/>
      <c r="J280" s="99"/>
      <c r="K280" s="99">
        <f t="shared" si="53"/>
        <v>31</v>
      </c>
      <c r="L280" s="95">
        <f t="shared" si="60"/>
        <v>8.4931506849315067E-2</v>
      </c>
      <c r="M280" s="101">
        <v>99.67</v>
      </c>
      <c r="N280" s="96">
        <f t="shared" si="56"/>
        <v>11900.33</v>
      </c>
      <c r="O280" s="119">
        <f t="shared" si="61"/>
        <v>9.9150684931506845</v>
      </c>
      <c r="P280" s="95">
        <f t="shared" si="63"/>
        <v>11300.33</v>
      </c>
      <c r="Q280" s="96">
        <f t="shared" si="64"/>
        <v>1140</v>
      </c>
      <c r="R280" s="96">
        <f t="shared" si="58"/>
        <v>10760.33</v>
      </c>
      <c r="S280" s="127">
        <v>-1140</v>
      </c>
      <c r="T280" s="148">
        <f t="shared" si="62"/>
        <v>0</v>
      </c>
    </row>
    <row r="281" spans="1:20">
      <c r="A281" s="145" t="s">
        <v>167</v>
      </c>
      <c r="B281" s="146">
        <v>43890</v>
      </c>
      <c r="C281" s="101">
        <v>14000</v>
      </c>
      <c r="D281" s="99"/>
      <c r="E281" s="99"/>
      <c r="F281" s="99"/>
      <c r="G281" s="95">
        <f t="shared" si="59"/>
        <v>700</v>
      </c>
      <c r="H281" s="99"/>
      <c r="I281" s="99"/>
      <c r="J281" s="99"/>
      <c r="K281" s="99">
        <f t="shared" si="53"/>
        <v>31</v>
      </c>
      <c r="L281" s="95">
        <f t="shared" si="60"/>
        <v>8.4931506849315067E-2</v>
      </c>
      <c r="M281" s="101">
        <v>116.28</v>
      </c>
      <c r="N281" s="96">
        <f t="shared" si="56"/>
        <v>13883.72</v>
      </c>
      <c r="O281" s="119">
        <f t="shared" si="61"/>
        <v>9.9150684931506845</v>
      </c>
      <c r="P281" s="95">
        <f t="shared" si="63"/>
        <v>13183.72</v>
      </c>
      <c r="Q281" s="96">
        <f t="shared" si="64"/>
        <v>1330</v>
      </c>
      <c r="R281" s="96">
        <f t="shared" si="58"/>
        <v>12553.72</v>
      </c>
      <c r="S281" s="127">
        <v>-1330</v>
      </c>
      <c r="T281" s="148">
        <f t="shared" si="62"/>
        <v>0</v>
      </c>
    </row>
    <row r="282" spans="1:20">
      <c r="A282" s="145" t="s">
        <v>168</v>
      </c>
      <c r="B282" s="146">
        <v>43890</v>
      </c>
      <c r="C282" s="101">
        <v>3814</v>
      </c>
      <c r="D282" s="99"/>
      <c r="E282" s="99"/>
      <c r="F282" s="99"/>
      <c r="G282" s="95">
        <f t="shared" si="59"/>
        <v>190.70000000000002</v>
      </c>
      <c r="H282" s="99"/>
      <c r="I282" s="99"/>
      <c r="J282" s="99"/>
      <c r="K282" s="99">
        <f t="shared" si="53"/>
        <v>31</v>
      </c>
      <c r="L282" s="95">
        <f t="shared" si="60"/>
        <v>8.4931506849315067E-2</v>
      </c>
      <c r="M282" s="101">
        <v>31.68</v>
      </c>
      <c r="N282" s="96">
        <f t="shared" si="56"/>
        <v>3782.32</v>
      </c>
      <c r="O282" s="119">
        <f t="shared" si="61"/>
        <v>9.9150684931506845</v>
      </c>
      <c r="P282" s="95">
        <f t="shared" si="63"/>
        <v>3591.6200000000003</v>
      </c>
      <c r="Q282" s="96">
        <f t="shared" si="64"/>
        <v>362.33000000000004</v>
      </c>
      <c r="R282" s="96">
        <f t="shared" si="58"/>
        <v>3419.9900000000002</v>
      </c>
      <c r="S282" s="127">
        <v>-362.33</v>
      </c>
      <c r="T282" s="148">
        <f t="shared" si="62"/>
        <v>-5.6843418860808015E-14</v>
      </c>
    </row>
    <row r="283" spans="1:20">
      <c r="A283" s="145" t="s">
        <v>169</v>
      </c>
      <c r="B283" s="146">
        <v>43890</v>
      </c>
      <c r="C283" s="101">
        <v>5796</v>
      </c>
      <c r="D283" s="99"/>
      <c r="E283" s="99"/>
      <c r="F283" s="99"/>
      <c r="G283" s="95">
        <f t="shared" si="59"/>
        <v>289.8</v>
      </c>
      <c r="H283" s="99"/>
      <c r="I283" s="99"/>
      <c r="J283" s="99"/>
      <c r="K283" s="99">
        <f t="shared" si="53"/>
        <v>31</v>
      </c>
      <c r="L283" s="95">
        <f t="shared" si="60"/>
        <v>8.4931506849315067E-2</v>
      </c>
      <c r="M283" s="101">
        <v>48.14</v>
      </c>
      <c r="N283" s="96">
        <f t="shared" si="56"/>
        <v>5747.86</v>
      </c>
      <c r="O283" s="119">
        <f t="shared" si="61"/>
        <v>9.9150684931506845</v>
      </c>
      <c r="P283" s="95">
        <f t="shared" si="63"/>
        <v>5458.0599999999995</v>
      </c>
      <c r="Q283" s="96">
        <f t="shared" si="64"/>
        <v>550.62</v>
      </c>
      <c r="R283" s="96">
        <f t="shared" si="58"/>
        <v>5197.24</v>
      </c>
      <c r="S283" s="127">
        <v>-550.62</v>
      </c>
      <c r="T283" s="148">
        <f t="shared" si="62"/>
        <v>0</v>
      </c>
    </row>
    <row r="284" spans="1:20">
      <c r="A284" s="153" t="s">
        <v>170</v>
      </c>
      <c r="B284" s="152"/>
      <c r="C284" s="108"/>
      <c r="D284" s="99"/>
      <c r="E284" s="99"/>
      <c r="F284" s="99"/>
      <c r="G284" s="95"/>
      <c r="H284" s="99"/>
      <c r="I284" s="99"/>
      <c r="J284" s="99"/>
      <c r="K284" s="99"/>
      <c r="L284" s="95"/>
      <c r="M284" s="150"/>
      <c r="N284" s="96"/>
      <c r="O284" s="119"/>
      <c r="P284" s="95"/>
      <c r="Q284" s="96"/>
      <c r="R284" s="96"/>
      <c r="S284" s="127"/>
      <c r="T284" s="148">
        <f t="shared" si="62"/>
        <v>0</v>
      </c>
    </row>
    <row r="285" spans="1:20">
      <c r="A285" s="106" t="s">
        <v>171</v>
      </c>
      <c r="B285" s="152">
        <v>43511</v>
      </c>
      <c r="C285" s="108">
        <v>16960</v>
      </c>
      <c r="D285" s="99"/>
      <c r="E285" s="99"/>
      <c r="F285" s="99"/>
      <c r="G285" s="95">
        <f t="shared" ref="G285:G289" si="65">C285*5%</f>
        <v>848</v>
      </c>
      <c r="H285" s="99"/>
      <c r="I285" s="99"/>
      <c r="J285" s="99"/>
      <c r="K285" s="99">
        <f>$K$2-B285</f>
        <v>410</v>
      </c>
      <c r="L285" s="95">
        <f t="shared" si="60"/>
        <v>1.1232876712328768</v>
      </c>
      <c r="M285" s="150">
        <v>1805.41</v>
      </c>
      <c r="N285" s="96">
        <f>C285-M285</f>
        <v>15154.59</v>
      </c>
      <c r="O285" s="119">
        <f t="shared" ref="O285:O289" si="66">$O$261-L285</f>
        <v>8.8767123287671232</v>
      </c>
      <c r="P285" s="95">
        <f>N285-G285</f>
        <v>14306.59</v>
      </c>
      <c r="Q285" s="96">
        <f>+(C285-G285)/$O$261</f>
        <v>1611.2</v>
      </c>
      <c r="R285" s="96">
        <f>N285-Q285</f>
        <v>13543.39</v>
      </c>
      <c r="S285" s="127">
        <f>+([1]Sheet1!$I$215+[1]Sheet1!$I$216)</f>
        <v>-1611.2</v>
      </c>
      <c r="T285" s="148">
        <f t="shared" si="62"/>
        <v>0</v>
      </c>
    </row>
    <row r="286" spans="1:20">
      <c r="A286" s="106" t="s">
        <v>172</v>
      </c>
      <c r="B286" s="152">
        <v>43555</v>
      </c>
      <c r="C286" s="108">
        <v>3500</v>
      </c>
      <c r="D286" s="99"/>
      <c r="E286" s="99"/>
      <c r="F286" s="99"/>
      <c r="G286" s="95">
        <f t="shared" si="65"/>
        <v>175</v>
      </c>
      <c r="H286" s="99"/>
      <c r="I286" s="99"/>
      <c r="J286" s="99"/>
      <c r="K286" s="99">
        <f>$K$2-B286</f>
        <v>366</v>
      </c>
      <c r="L286" s="95">
        <f t="shared" si="60"/>
        <v>1.0027397260273974</v>
      </c>
      <c r="M286" s="150">
        <f>-[1]Sheet1!$G$223</f>
        <v>332.5</v>
      </c>
      <c r="N286" s="96">
        <f>C286-M286</f>
        <v>3167.5</v>
      </c>
      <c r="O286" s="119">
        <f t="shared" si="66"/>
        <v>8.9972602739726035</v>
      </c>
      <c r="P286" s="95">
        <f>N286-G286</f>
        <v>2992.5</v>
      </c>
      <c r="Q286" s="96">
        <f>+(C286-G286)/$O$261</f>
        <v>332.5</v>
      </c>
      <c r="R286" s="96">
        <f>N286-Q286</f>
        <v>2835</v>
      </c>
      <c r="S286" s="127">
        <f>+([1]Sheet1!$I$223)</f>
        <v>-332.5</v>
      </c>
      <c r="T286" s="148">
        <f t="shared" si="62"/>
        <v>0</v>
      </c>
    </row>
    <row r="287" spans="1:20">
      <c r="A287" s="106" t="s">
        <v>173</v>
      </c>
      <c r="B287" s="152">
        <v>43555</v>
      </c>
      <c r="C287" s="108">
        <v>8400</v>
      </c>
      <c r="D287" s="99"/>
      <c r="E287" s="99"/>
      <c r="F287" s="99"/>
      <c r="G287" s="95">
        <f t="shared" si="65"/>
        <v>420</v>
      </c>
      <c r="H287" s="99"/>
      <c r="I287" s="99"/>
      <c r="J287" s="99"/>
      <c r="K287" s="99">
        <f>$K$2-B287</f>
        <v>366</v>
      </c>
      <c r="L287" s="95">
        <f t="shared" si="60"/>
        <v>1.0027397260273974</v>
      </c>
      <c r="M287" s="150">
        <f>-[1]Sheet1!$G$224</f>
        <v>798</v>
      </c>
      <c r="N287" s="96">
        <f>C287-M287</f>
        <v>7602</v>
      </c>
      <c r="O287" s="119">
        <f t="shared" si="66"/>
        <v>8.9972602739726035</v>
      </c>
      <c r="P287" s="95">
        <f>N287-G287</f>
        <v>7182</v>
      </c>
      <c r="Q287" s="96">
        <f t="shared" ref="Q287:Q289" si="67">+(C287-G287)/$O$261</f>
        <v>798</v>
      </c>
      <c r="R287" s="96">
        <f>N287-Q287</f>
        <v>6804</v>
      </c>
      <c r="S287" s="127">
        <f>[1]Sheet1!$I$224</f>
        <v>-798</v>
      </c>
      <c r="T287" s="148">
        <f t="shared" si="62"/>
        <v>0</v>
      </c>
    </row>
    <row r="288" spans="1:20">
      <c r="A288" s="106" t="s">
        <v>174</v>
      </c>
      <c r="B288" s="152">
        <v>43555</v>
      </c>
      <c r="C288" s="108">
        <v>30400</v>
      </c>
      <c r="D288" s="99"/>
      <c r="E288" s="99"/>
      <c r="F288" s="99"/>
      <c r="G288" s="95">
        <f t="shared" si="65"/>
        <v>1520</v>
      </c>
      <c r="H288" s="99"/>
      <c r="I288" s="99"/>
      <c r="J288" s="99"/>
      <c r="K288" s="99">
        <f>$K$2-B288</f>
        <v>366</v>
      </c>
      <c r="L288" s="95">
        <f t="shared" si="60"/>
        <v>1.0027397260273974</v>
      </c>
      <c r="M288" s="150">
        <f>-[1]Sheet1!$G$225</f>
        <v>2888</v>
      </c>
      <c r="N288" s="96">
        <f>C288-M288</f>
        <v>27512</v>
      </c>
      <c r="O288" s="119">
        <f t="shared" si="66"/>
        <v>8.9972602739726035</v>
      </c>
      <c r="P288" s="95">
        <f>N288-G288</f>
        <v>25992</v>
      </c>
      <c r="Q288" s="96">
        <f t="shared" si="67"/>
        <v>2888</v>
      </c>
      <c r="R288" s="96">
        <f>N288-Q288</f>
        <v>24624</v>
      </c>
      <c r="S288" s="127">
        <f>[1]Sheet1!$I$225</f>
        <v>-2888</v>
      </c>
      <c r="T288" s="148">
        <f t="shared" si="62"/>
        <v>0</v>
      </c>
    </row>
    <row r="289" spans="1:21">
      <c r="A289" s="106" t="s">
        <v>175</v>
      </c>
      <c r="B289" s="152">
        <v>43512</v>
      </c>
      <c r="C289" s="108">
        <v>25000</v>
      </c>
      <c r="D289" s="99"/>
      <c r="E289" s="99"/>
      <c r="F289" s="99"/>
      <c r="G289" s="95">
        <f t="shared" si="65"/>
        <v>1250</v>
      </c>
      <c r="H289" s="99"/>
      <c r="I289" s="99"/>
      <c r="J289" s="99"/>
      <c r="K289" s="99">
        <f>$K$2-B289</f>
        <v>409</v>
      </c>
      <c r="L289" s="95">
        <f t="shared" si="60"/>
        <v>1.1205479452054794</v>
      </c>
      <c r="M289" s="150">
        <f>-[1]Sheet1!$G$217</f>
        <v>2655</v>
      </c>
      <c r="N289" s="96">
        <f>C289-M289</f>
        <v>22345</v>
      </c>
      <c r="O289" s="119">
        <f t="shared" si="66"/>
        <v>8.8794520547945197</v>
      </c>
      <c r="P289" s="95">
        <f>N289-G289</f>
        <v>21095</v>
      </c>
      <c r="Q289" s="96">
        <f t="shared" si="67"/>
        <v>2375</v>
      </c>
      <c r="R289" s="96">
        <f>N289-Q289</f>
        <v>19970</v>
      </c>
      <c r="S289" s="127">
        <f>[1]Sheet1!$I$217</f>
        <v>-2375</v>
      </c>
      <c r="T289" s="148">
        <f t="shared" si="62"/>
        <v>0</v>
      </c>
    </row>
    <row r="290" spans="1:21" ht="16.5">
      <c r="A290" s="87" t="s">
        <v>176</v>
      </c>
      <c r="B290" s="99"/>
      <c r="C290" s="154">
        <f>SUM(C262:C289)</f>
        <v>386012.53</v>
      </c>
      <c r="D290" s="99"/>
      <c r="E290" s="99"/>
      <c r="F290" s="99"/>
      <c r="G290" s="95"/>
      <c r="H290" s="99"/>
      <c r="I290" s="99"/>
      <c r="J290" s="99"/>
      <c r="K290" s="99"/>
      <c r="L290" s="95"/>
      <c r="M290" s="111">
        <f>SUM(M262:M289)</f>
        <v>66792.250000000015</v>
      </c>
      <c r="N290" s="111">
        <f>SUM(N262:N289)</f>
        <v>319220.27999999991</v>
      </c>
      <c r="O290" s="119"/>
      <c r="P290" s="95"/>
      <c r="Q290" s="111">
        <f>SUM(Q262:Q289)</f>
        <v>33052.640350000001</v>
      </c>
      <c r="R290" s="111">
        <f>SUM(R263:R289)</f>
        <v>286167.63964999997</v>
      </c>
      <c r="S290" s="112"/>
      <c r="T290" s="148"/>
      <c r="U290" s="149">
        <f>-SUM(S262:S289)</f>
        <v>33052.639999999999</v>
      </c>
    </row>
    <row r="291" spans="1:21" ht="16.5">
      <c r="A291" s="114"/>
      <c r="B291" s="115"/>
      <c r="C291" s="116"/>
      <c r="D291" s="115"/>
      <c r="E291" s="115"/>
      <c r="F291" s="115"/>
      <c r="G291" s="85"/>
      <c r="H291" s="115"/>
      <c r="I291" s="115"/>
      <c r="J291" s="115"/>
      <c r="K291" s="115"/>
      <c r="L291" s="85"/>
      <c r="M291" s="85"/>
      <c r="N291" s="117"/>
      <c r="O291" s="118"/>
      <c r="P291" s="85"/>
      <c r="Q291" s="117"/>
      <c r="R291" s="117"/>
      <c r="S291" s="148"/>
      <c r="T291" s="148">
        <f t="shared" si="51"/>
        <v>0</v>
      </c>
    </row>
    <row r="292" spans="1:21" ht="16.5">
      <c r="A292" s="114" t="s">
        <v>177</v>
      </c>
      <c r="B292" s="115"/>
      <c r="C292" s="115"/>
      <c r="D292" s="115"/>
      <c r="E292" s="115"/>
      <c r="F292" s="115"/>
      <c r="G292" s="85"/>
      <c r="H292" s="115"/>
      <c r="I292" s="115"/>
      <c r="J292" s="115"/>
      <c r="K292" s="115"/>
      <c r="L292" s="85"/>
      <c r="M292" s="85"/>
      <c r="N292" s="86"/>
      <c r="O292" s="85">
        <v>5</v>
      </c>
      <c r="P292" s="85"/>
      <c r="Q292" s="86"/>
      <c r="R292" s="86"/>
      <c r="S292" s="148"/>
      <c r="T292" s="148">
        <f t="shared" si="51"/>
        <v>0</v>
      </c>
    </row>
    <row r="293" spans="1:21">
      <c r="A293" s="115" t="s">
        <v>178</v>
      </c>
      <c r="B293" s="84">
        <v>39172</v>
      </c>
      <c r="C293" s="115">
        <v>44795</v>
      </c>
      <c r="D293" s="115"/>
      <c r="E293" s="115"/>
      <c r="F293" s="115"/>
      <c r="G293" s="85">
        <f>C293*5%</f>
        <v>2239.75</v>
      </c>
      <c r="H293" s="115"/>
      <c r="I293" s="115"/>
      <c r="J293" s="115"/>
      <c r="K293" s="115">
        <f t="shared" ref="K293:K349" si="68">$K$2-B293</f>
        <v>4749</v>
      </c>
      <c r="L293" s="85">
        <f>K293/365</f>
        <v>13.010958904109589</v>
      </c>
      <c r="M293" s="76">
        <v>42555.25</v>
      </c>
      <c r="N293" s="86">
        <f t="shared" ref="N293:N349" si="69">C293-M293</f>
        <v>2239.75</v>
      </c>
      <c r="O293" s="85">
        <f t="shared" ref="O293:O349" si="70">$O$292-L293</f>
        <v>-8.0109589041095894</v>
      </c>
      <c r="P293" s="85">
        <f t="shared" ref="P293:P349" si="71">N293-G293</f>
        <v>0</v>
      </c>
      <c r="Q293" s="86">
        <v>0</v>
      </c>
      <c r="R293" s="86">
        <f t="shared" ref="R293" si="72">G293</f>
        <v>2239.75</v>
      </c>
      <c r="S293" s="148"/>
      <c r="T293" s="148">
        <f>+Q293+S293</f>
        <v>0</v>
      </c>
    </row>
    <row r="294" spans="1:21">
      <c r="A294" s="115" t="s">
        <v>179</v>
      </c>
      <c r="B294" s="84">
        <v>39165</v>
      </c>
      <c r="C294" s="115">
        <v>6800</v>
      </c>
      <c r="D294" s="115"/>
      <c r="E294" s="115"/>
      <c r="F294" s="115"/>
      <c r="G294" s="85">
        <f t="shared" ref="G294:G349" si="73">C294*5%</f>
        <v>340</v>
      </c>
      <c r="H294" s="115"/>
      <c r="I294" s="115"/>
      <c r="J294" s="115"/>
      <c r="K294" s="115">
        <f t="shared" si="68"/>
        <v>4756</v>
      </c>
      <c r="L294" s="85">
        <f t="shared" ref="L294:L349" si="74">K294/365</f>
        <v>13.03013698630137</v>
      </c>
      <c r="M294" s="76">
        <v>6460</v>
      </c>
      <c r="N294" s="86">
        <f t="shared" si="69"/>
        <v>340</v>
      </c>
      <c r="O294" s="85">
        <f t="shared" si="70"/>
        <v>-8.0301369863013701</v>
      </c>
      <c r="P294" s="85">
        <f t="shared" si="71"/>
        <v>0</v>
      </c>
      <c r="Q294" s="86">
        <v>0</v>
      </c>
      <c r="R294" s="86">
        <f>G294</f>
        <v>340</v>
      </c>
      <c r="S294" s="148"/>
      <c r="T294" s="148">
        <f t="shared" si="51"/>
        <v>0</v>
      </c>
    </row>
    <row r="295" spans="1:21">
      <c r="A295" s="115" t="s">
        <v>179</v>
      </c>
      <c r="B295" s="84">
        <v>39679</v>
      </c>
      <c r="C295" s="115">
        <v>8850</v>
      </c>
      <c r="D295" s="115"/>
      <c r="E295" s="115"/>
      <c r="F295" s="115"/>
      <c r="G295" s="85">
        <f t="shared" si="73"/>
        <v>442.5</v>
      </c>
      <c r="H295" s="115"/>
      <c r="I295" s="115"/>
      <c r="J295" s="115"/>
      <c r="K295" s="115">
        <f t="shared" si="68"/>
        <v>4242</v>
      </c>
      <c r="L295" s="85">
        <f t="shared" si="74"/>
        <v>11.621917808219179</v>
      </c>
      <c r="M295" s="76">
        <v>8407.5</v>
      </c>
      <c r="N295" s="86">
        <f t="shared" si="69"/>
        <v>442.5</v>
      </c>
      <c r="O295" s="85">
        <f t="shared" si="70"/>
        <v>-6.6219178082191785</v>
      </c>
      <c r="P295" s="85">
        <f t="shared" si="71"/>
        <v>0</v>
      </c>
      <c r="Q295" s="86">
        <v>0</v>
      </c>
      <c r="R295" s="86">
        <f>G295</f>
        <v>442.5</v>
      </c>
      <c r="S295" s="148"/>
      <c r="T295" s="148">
        <f t="shared" si="51"/>
        <v>0</v>
      </c>
    </row>
    <row r="296" spans="1:21">
      <c r="A296" s="115" t="s">
        <v>180</v>
      </c>
      <c r="B296" s="84">
        <v>39736</v>
      </c>
      <c r="C296" s="115">
        <v>23500</v>
      </c>
      <c r="D296" s="115"/>
      <c r="E296" s="115"/>
      <c r="F296" s="115"/>
      <c r="G296" s="85">
        <f t="shared" si="73"/>
        <v>1175</v>
      </c>
      <c r="H296" s="115"/>
      <c r="I296" s="115"/>
      <c r="J296" s="115"/>
      <c r="K296" s="115">
        <f t="shared" si="68"/>
        <v>4185</v>
      </c>
      <c r="L296" s="85">
        <f t="shared" si="74"/>
        <v>11.465753424657533</v>
      </c>
      <c r="M296" s="76">
        <v>22325</v>
      </c>
      <c r="N296" s="86">
        <f t="shared" si="69"/>
        <v>1175</v>
      </c>
      <c r="O296" s="85">
        <f t="shared" si="70"/>
        <v>-6.4657534246575334</v>
      </c>
      <c r="P296" s="85">
        <f t="shared" si="71"/>
        <v>0</v>
      </c>
      <c r="Q296" s="86">
        <v>0</v>
      </c>
      <c r="R296" s="86">
        <f>G296</f>
        <v>1175</v>
      </c>
      <c r="S296" s="148"/>
      <c r="T296" s="148">
        <f t="shared" si="51"/>
        <v>0</v>
      </c>
    </row>
    <row r="297" spans="1:21">
      <c r="A297" s="115" t="s">
        <v>181</v>
      </c>
      <c r="B297" s="94">
        <v>39880</v>
      </c>
      <c r="C297" s="99">
        <v>13000</v>
      </c>
      <c r="D297" s="99"/>
      <c r="E297" s="99"/>
      <c r="F297" s="99"/>
      <c r="G297" s="95">
        <f t="shared" si="73"/>
        <v>650</v>
      </c>
      <c r="H297" s="99"/>
      <c r="I297" s="99"/>
      <c r="J297" s="99"/>
      <c r="K297" s="99">
        <f t="shared" si="68"/>
        <v>4041</v>
      </c>
      <c r="L297" s="95">
        <f t="shared" si="74"/>
        <v>11.07123287671233</v>
      </c>
      <c r="M297" s="98">
        <f>-[1]Sheet1!$G$399</f>
        <v>12350</v>
      </c>
      <c r="N297" s="86">
        <f t="shared" si="69"/>
        <v>650</v>
      </c>
      <c r="O297" s="85">
        <f t="shared" si="70"/>
        <v>-6.0712328767123296</v>
      </c>
      <c r="P297" s="85">
        <f t="shared" si="71"/>
        <v>0</v>
      </c>
      <c r="Q297" s="86">
        <v>0</v>
      </c>
      <c r="R297" s="86">
        <f>G297</f>
        <v>650</v>
      </c>
      <c r="S297" s="148"/>
      <c r="T297" s="148">
        <f t="shared" si="51"/>
        <v>0</v>
      </c>
    </row>
    <row r="298" spans="1:21">
      <c r="A298" s="115" t="s">
        <v>182</v>
      </c>
      <c r="B298" s="94">
        <v>39967</v>
      </c>
      <c r="C298" s="99">
        <v>12375</v>
      </c>
      <c r="D298" s="99"/>
      <c r="E298" s="99"/>
      <c r="F298" s="99"/>
      <c r="G298" s="95">
        <f t="shared" si="73"/>
        <v>618.75</v>
      </c>
      <c r="H298" s="99"/>
      <c r="I298" s="99"/>
      <c r="J298" s="99"/>
      <c r="K298" s="99">
        <f t="shared" si="68"/>
        <v>3954</v>
      </c>
      <c r="L298" s="95">
        <f t="shared" si="74"/>
        <v>10.832876712328767</v>
      </c>
      <c r="M298" s="98">
        <f>-[1]Sheet1!$G$400</f>
        <v>11756.25</v>
      </c>
      <c r="N298" s="86">
        <f t="shared" si="69"/>
        <v>618.75</v>
      </c>
      <c r="O298" s="85">
        <f t="shared" si="70"/>
        <v>-5.8328767123287673</v>
      </c>
      <c r="P298" s="85">
        <f t="shared" si="71"/>
        <v>0</v>
      </c>
      <c r="Q298" s="86">
        <f>P298</f>
        <v>0</v>
      </c>
      <c r="R298" s="86">
        <f t="shared" ref="R298:R349" si="75">N298-Q298</f>
        <v>618.75</v>
      </c>
      <c r="S298" s="148"/>
      <c r="T298" s="148">
        <f t="shared" si="51"/>
        <v>0</v>
      </c>
    </row>
    <row r="299" spans="1:21">
      <c r="A299" s="115" t="s">
        <v>183</v>
      </c>
      <c r="B299" s="94">
        <v>40292</v>
      </c>
      <c r="C299" s="99">
        <v>6400</v>
      </c>
      <c r="D299" s="99"/>
      <c r="E299" s="99"/>
      <c r="F299" s="99"/>
      <c r="G299" s="95">
        <f t="shared" si="73"/>
        <v>320</v>
      </c>
      <c r="H299" s="99"/>
      <c r="I299" s="99"/>
      <c r="J299" s="99"/>
      <c r="K299" s="99">
        <f t="shared" si="68"/>
        <v>3629</v>
      </c>
      <c r="L299" s="95">
        <f t="shared" si="74"/>
        <v>9.9424657534246581</v>
      </c>
      <c r="M299" s="98">
        <v>6080</v>
      </c>
      <c r="N299" s="86">
        <f t="shared" si="69"/>
        <v>320</v>
      </c>
      <c r="O299" s="85">
        <f t="shared" si="70"/>
        <v>-4.9424657534246581</v>
      </c>
      <c r="P299" s="85">
        <f t="shared" si="71"/>
        <v>0</v>
      </c>
      <c r="Q299" s="86">
        <f t="shared" ref="Q299:Q303" si="76">P299/O299</f>
        <v>0</v>
      </c>
      <c r="R299" s="86">
        <f t="shared" si="75"/>
        <v>320</v>
      </c>
      <c r="S299" s="148"/>
      <c r="T299" s="148">
        <f t="shared" si="51"/>
        <v>0</v>
      </c>
    </row>
    <row r="300" spans="1:21">
      <c r="A300" s="115" t="s">
        <v>184</v>
      </c>
      <c r="B300" s="94">
        <v>40637</v>
      </c>
      <c r="C300" s="99">
        <v>48700</v>
      </c>
      <c r="D300" s="99"/>
      <c r="E300" s="99"/>
      <c r="F300" s="99"/>
      <c r="G300" s="95">
        <f t="shared" si="73"/>
        <v>2435</v>
      </c>
      <c r="H300" s="99"/>
      <c r="I300" s="99"/>
      <c r="J300" s="99"/>
      <c r="K300" s="99">
        <f t="shared" si="68"/>
        <v>3284</v>
      </c>
      <c r="L300" s="95">
        <f t="shared" si="74"/>
        <v>8.9972602739726035</v>
      </c>
      <c r="M300" s="98">
        <v>46265</v>
      </c>
      <c r="N300" s="86">
        <f t="shared" si="69"/>
        <v>2435</v>
      </c>
      <c r="O300" s="85">
        <f t="shared" si="70"/>
        <v>-3.9972602739726035</v>
      </c>
      <c r="P300" s="85">
        <f t="shared" si="71"/>
        <v>0</v>
      </c>
      <c r="Q300" s="86">
        <f t="shared" si="76"/>
        <v>0</v>
      </c>
      <c r="R300" s="86">
        <f t="shared" si="75"/>
        <v>2435</v>
      </c>
      <c r="S300" s="148"/>
      <c r="T300" s="148">
        <f t="shared" si="51"/>
        <v>0</v>
      </c>
    </row>
    <row r="301" spans="1:21">
      <c r="A301" s="115" t="s">
        <v>184</v>
      </c>
      <c r="B301" s="94">
        <v>40673</v>
      </c>
      <c r="C301" s="99">
        <v>53600</v>
      </c>
      <c r="D301" s="99"/>
      <c r="E301" s="99"/>
      <c r="F301" s="99"/>
      <c r="G301" s="95">
        <f t="shared" si="73"/>
        <v>2680</v>
      </c>
      <c r="H301" s="99"/>
      <c r="I301" s="99"/>
      <c r="J301" s="99"/>
      <c r="K301" s="99">
        <f t="shared" si="68"/>
        <v>3248</v>
      </c>
      <c r="L301" s="95">
        <f t="shared" si="74"/>
        <v>8.8986301369863021</v>
      </c>
      <c r="M301" s="98">
        <v>50920</v>
      </c>
      <c r="N301" s="86">
        <f t="shared" si="69"/>
        <v>2680</v>
      </c>
      <c r="O301" s="85">
        <f t="shared" si="70"/>
        <v>-3.8986301369863021</v>
      </c>
      <c r="P301" s="85">
        <f t="shared" si="71"/>
        <v>0</v>
      </c>
      <c r="Q301" s="86">
        <f t="shared" si="76"/>
        <v>0</v>
      </c>
      <c r="R301" s="86">
        <f t="shared" si="75"/>
        <v>2680</v>
      </c>
      <c r="S301" s="148"/>
      <c r="T301" s="148">
        <f t="shared" si="51"/>
        <v>0</v>
      </c>
    </row>
    <row r="302" spans="1:21">
      <c r="A302" s="115" t="s">
        <v>185</v>
      </c>
      <c r="B302" s="94">
        <v>40637</v>
      </c>
      <c r="C302" s="99">
        <v>30998</v>
      </c>
      <c r="D302" s="99"/>
      <c r="E302" s="99"/>
      <c r="F302" s="99"/>
      <c r="G302" s="95">
        <f t="shared" si="73"/>
        <v>1549.9</v>
      </c>
      <c r="H302" s="99"/>
      <c r="I302" s="99"/>
      <c r="J302" s="99"/>
      <c r="K302" s="99">
        <f t="shared" si="68"/>
        <v>3284</v>
      </c>
      <c r="L302" s="95">
        <f t="shared" si="74"/>
        <v>8.9972602739726035</v>
      </c>
      <c r="M302" s="98">
        <v>29448.1</v>
      </c>
      <c r="N302" s="86">
        <f t="shared" si="69"/>
        <v>1549.9000000000015</v>
      </c>
      <c r="O302" s="85">
        <f t="shared" si="70"/>
        <v>-3.9972602739726035</v>
      </c>
      <c r="P302" s="85">
        <f t="shared" si="71"/>
        <v>0</v>
      </c>
      <c r="Q302" s="86">
        <f t="shared" si="76"/>
        <v>0</v>
      </c>
      <c r="R302" s="86">
        <f t="shared" si="75"/>
        <v>1549.9000000000015</v>
      </c>
      <c r="S302" s="148"/>
      <c r="T302" s="148">
        <f t="shared" si="51"/>
        <v>0</v>
      </c>
    </row>
    <row r="303" spans="1:21">
      <c r="A303" s="115" t="s">
        <v>186</v>
      </c>
      <c r="B303" s="94">
        <v>41240</v>
      </c>
      <c r="C303" s="99">
        <v>75000</v>
      </c>
      <c r="D303" s="99"/>
      <c r="E303" s="99"/>
      <c r="F303" s="99"/>
      <c r="G303" s="95">
        <f t="shared" si="73"/>
        <v>3750</v>
      </c>
      <c r="H303" s="99"/>
      <c r="I303" s="99"/>
      <c r="J303" s="99"/>
      <c r="K303" s="99">
        <f t="shared" si="68"/>
        <v>2681</v>
      </c>
      <c r="L303" s="95">
        <f t="shared" si="74"/>
        <v>7.3452054794520549</v>
      </c>
      <c r="M303" s="98">
        <v>71250</v>
      </c>
      <c r="N303" s="86">
        <f t="shared" si="69"/>
        <v>3750</v>
      </c>
      <c r="O303" s="85">
        <f t="shared" si="70"/>
        <v>-2.3452054794520549</v>
      </c>
      <c r="P303" s="85">
        <f t="shared" si="71"/>
        <v>0</v>
      </c>
      <c r="Q303" s="86">
        <f t="shared" si="76"/>
        <v>0</v>
      </c>
      <c r="R303" s="86">
        <f t="shared" si="75"/>
        <v>3750</v>
      </c>
      <c r="S303" s="148"/>
      <c r="T303" s="148">
        <f t="shared" si="51"/>
        <v>0</v>
      </c>
    </row>
    <row r="304" spans="1:21">
      <c r="A304" s="115" t="s">
        <v>184</v>
      </c>
      <c r="B304" s="94">
        <v>41495</v>
      </c>
      <c r="C304" s="99">
        <v>38500</v>
      </c>
      <c r="D304" s="99"/>
      <c r="E304" s="99"/>
      <c r="F304" s="99"/>
      <c r="G304" s="95">
        <f t="shared" si="73"/>
        <v>1925</v>
      </c>
      <c r="H304" s="99"/>
      <c r="I304" s="99"/>
      <c r="J304" s="99"/>
      <c r="K304" s="99">
        <f t="shared" si="68"/>
        <v>2426</v>
      </c>
      <c r="L304" s="95">
        <f t="shared" si="74"/>
        <v>6.646575342465753</v>
      </c>
      <c r="M304" s="98">
        <v>36575</v>
      </c>
      <c r="N304" s="86">
        <f t="shared" si="69"/>
        <v>1925</v>
      </c>
      <c r="O304" s="85">
        <f t="shared" si="70"/>
        <v>-1.646575342465753</v>
      </c>
      <c r="P304" s="85">
        <f t="shared" si="71"/>
        <v>0</v>
      </c>
      <c r="Q304" s="86">
        <f>P304</f>
        <v>0</v>
      </c>
      <c r="R304" s="86">
        <f t="shared" si="75"/>
        <v>1925</v>
      </c>
      <c r="S304" s="148"/>
      <c r="T304" s="148">
        <f t="shared" si="51"/>
        <v>0</v>
      </c>
    </row>
    <row r="305" spans="1:20">
      <c r="A305" s="115" t="s">
        <v>187</v>
      </c>
      <c r="B305" s="94">
        <v>41712</v>
      </c>
      <c r="C305" s="99">
        <v>14900</v>
      </c>
      <c r="D305" s="99"/>
      <c r="E305" s="99"/>
      <c r="F305" s="99"/>
      <c r="G305" s="95">
        <f t="shared" si="73"/>
        <v>745</v>
      </c>
      <c r="H305" s="99"/>
      <c r="I305" s="99"/>
      <c r="J305" s="99"/>
      <c r="K305" s="99">
        <f t="shared" si="68"/>
        <v>2209</v>
      </c>
      <c r="L305" s="95">
        <f t="shared" si="74"/>
        <v>6.0520547945205481</v>
      </c>
      <c r="M305" s="98">
        <v>14155</v>
      </c>
      <c r="N305" s="86">
        <f t="shared" si="69"/>
        <v>745</v>
      </c>
      <c r="O305" s="85">
        <f t="shared" si="70"/>
        <v>-1.0520547945205481</v>
      </c>
      <c r="P305" s="85">
        <f t="shared" si="71"/>
        <v>0</v>
      </c>
      <c r="Q305" s="86">
        <f>P305</f>
        <v>0</v>
      </c>
      <c r="R305" s="86">
        <f t="shared" si="75"/>
        <v>745</v>
      </c>
      <c r="S305" s="148"/>
      <c r="T305" s="148">
        <f t="shared" si="51"/>
        <v>0</v>
      </c>
    </row>
    <row r="306" spans="1:20">
      <c r="A306" s="139" t="s">
        <v>187</v>
      </c>
      <c r="B306" s="94">
        <v>41730</v>
      </c>
      <c r="C306" s="106">
        <v>33000</v>
      </c>
      <c r="D306" s="99"/>
      <c r="E306" s="99"/>
      <c r="F306" s="99"/>
      <c r="G306" s="95">
        <f t="shared" si="73"/>
        <v>1650</v>
      </c>
      <c r="H306" s="99"/>
      <c r="I306" s="99"/>
      <c r="J306" s="99"/>
      <c r="K306" s="99">
        <f t="shared" si="68"/>
        <v>2191</v>
      </c>
      <c r="L306" s="95">
        <f t="shared" si="74"/>
        <v>6.0027397260273974</v>
      </c>
      <c r="M306" s="98">
        <v>31350</v>
      </c>
      <c r="N306" s="86">
        <f t="shared" si="69"/>
        <v>1650</v>
      </c>
      <c r="O306" s="85">
        <f t="shared" si="70"/>
        <v>-1.0027397260273974</v>
      </c>
      <c r="P306" s="85">
        <f t="shared" si="71"/>
        <v>0</v>
      </c>
      <c r="Q306" s="86">
        <f>P306</f>
        <v>0</v>
      </c>
      <c r="R306" s="86">
        <f t="shared" si="75"/>
        <v>1650</v>
      </c>
      <c r="S306" s="148"/>
      <c r="T306" s="148">
        <f t="shared" si="51"/>
        <v>0</v>
      </c>
    </row>
    <row r="307" spans="1:20">
      <c r="A307" s="139" t="s">
        <v>187</v>
      </c>
      <c r="B307" s="94">
        <v>41733</v>
      </c>
      <c r="C307" s="106">
        <f>6750+1000+3400</f>
        <v>11150</v>
      </c>
      <c r="D307" s="99"/>
      <c r="E307" s="99"/>
      <c r="F307" s="99"/>
      <c r="G307" s="95">
        <f t="shared" si="73"/>
        <v>557.5</v>
      </c>
      <c r="H307" s="99"/>
      <c r="I307" s="99"/>
      <c r="J307" s="99"/>
      <c r="K307" s="99">
        <f t="shared" si="68"/>
        <v>2188</v>
      </c>
      <c r="L307" s="95">
        <f t="shared" si="74"/>
        <v>5.9945205479452053</v>
      </c>
      <c r="M307" s="98">
        <f>-[1]Sheet1!$G$417</f>
        <v>10592.43</v>
      </c>
      <c r="N307" s="86">
        <f t="shared" si="69"/>
        <v>557.56999999999971</v>
      </c>
      <c r="O307" s="85">
        <f t="shared" si="70"/>
        <v>-0.99452054794520528</v>
      </c>
      <c r="P307" s="85">
        <f t="shared" si="71"/>
        <v>6.9999999999708962E-2</v>
      </c>
      <c r="Q307" s="125">
        <v>0</v>
      </c>
      <c r="R307" s="86">
        <f t="shared" si="75"/>
        <v>557.56999999999971</v>
      </c>
      <c r="S307" s="148">
        <v>0</v>
      </c>
      <c r="T307" s="148">
        <f>-(Q307+S307)</f>
        <v>0</v>
      </c>
    </row>
    <row r="308" spans="1:20">
      <c r="A308" s="139" t="s">
        <v>187</v>
      </c>
      <c r="B308" s="94">
        <v>41746</v>
      </c>
      <c r="C308" s="106">
        <f>3350+4400</f>
        <v>7750</v>
      </c>
      <c r="D308" s="99"/>
      <c r="E308" s="99"/>
      <c r="F308" s="99"/>
      <c r="G308" s="95">
        <f t="shared" si="73"/>
        <v>387.5</v>
      </c>
      <c r="H308" s="99"/>
      <c r="I308" s="99"/>
      <c r="J308" s="99"/>
      <c r="K308" s="99">
        <f t="shared" si="68"/>
        <v>2175</v>
      </c>
      <c r="L308" s="95">
        <f t="shared" si="74"/>
        <v>5.9589041095890414</v>
      </c>
      <c r="M308" s="98">
        <f>-[1]Sheet1!$G$419</f>
        <v>7362.26</v>
      </c>
      <c r="N308" s="86">
        <f t="shared" si="69"/>
        <v>387.73999999999978</v>
      </c>
      <c r="O308" s="85">
        <f t="shared" si="70"/>
        <v>-0.95890410958904138</v>
      </c>
      <c r="P308" s="85">
        <f t="shared" si="71"/>
        <v>0.23999999999978172</v>
      </c>
      <c r="Q308" s="125">
        <v>0</v>
      </c>
      <c r="R308" s="86">
        <f t="shared" si="75"/>
        <v>387.73999999999978</v>
      </c>
      <c r="S308" s="148">
        <v>0</v>
      </c>
      <c r="T308" s="148">
        <f t="shared" ref="T308:T349" si="77">-(Q308+S308)</f>
        <v>0</v>
      </c>
    </row>
    <row r="309" spans="1:20">
      <c r="A309" s="139" t="s">
        <v>187</v>
      </c>
      <c r="B309" s="94">
        <v>41889</v>
      </c>
      <c r="C309" s="106">
        <v>4600</v>
      </c>
      <c r="D309" s="99"/>
      <c r="E309" s="99"/>
      <c r="F309" s="99"/>
      <c r="G309" s="95">
        <f t="shared" si="73"/>
        <v>230</v>
      </c>
      <c r="H309" s="99"/>
      <c r="I309" s="99"/>
      <c r="J309" s="99"/>
      <c r="K309" s="99">
        <f t="shared" si="68"/>
        <v>2032</v>
      </c>
      <c r="L309" s="95">
        <f t="shared" si="74"/>
        <v>5.5671232876712331</v>
      </c>
      <c r="M309" s="98">
        <f>-[1]Sheet1!$G$421</f>
        <v>4368.66</v>
      </c>
      <c r="N309" s="86">
        <f t="shared" si="69"/>
        <v>231.34000000000015</v>
      </c>
      <c r="O309" s="85">
        <f t="shared" si="70"/>
        <v>-0.5671232876712331</v>
      </c>
      <c r="P309" s="85">
        <f t="shared" si="71"/>
        <v>1.3400000000001455</v>
      </c>
      <c r="Q309" s="125">
        <v>0</v>
      </c>
      <c r="R309" s="86">
        <f t="shared" si="75"/>
        <v>231.34000000000015</v>
      </c>
      <c r="S309" s="148">
        <f>-[1]Sheet1!$I$421</f>
        <v>0</v>
      </c>
      <c r="T309" s="148">
        <f t="shared" si="77"/>
        <v>0</v>
      </c>
    </row>
    <row r="310" spans="1:20">
      <c r="A310" s="139" t="s">
        <v>187</v>
      </c>
      <c r="B310" s="94">
        <v>42061</v>
      </c>
      <c r="C310" s="106">
        <v>5590</v>
      </c>
      <c r="D310" s="99"/>
      <c r="E310" s="99"/>
      <c r="F310" s="99"/>
      <c r="G310" s="95">
        <f t="shared" si="73"/>
        <v>279.5</v>
      </c>
      <c r="H310" s="99"/>
      <c r="I310" s="99"/>
      <c r="J310" s="99"/>
      <c r="K310" s="99">
        <f t="shared" si="68"/>
        <v>1860</v>
      </c>
      <c r="L310" s="95">
        <f t="shared" si="74"/>
        <v>5.095890410958904</v>
      </c>
      <c r="M310" s="98">
        <f>-[1]Sheet1!$G$426</f>
        <v>5307.19</v>
      </c>
      <c r="N310" s="86">
        <f t="shared" si="69"/>
        <v>282.8100000000004</v>
      </c>
      <c r="O310" s="85">
        <f t="shared" si="70"/>
        <v>-9.5890410958904049E-2</v>
      </c>
      <c r="P310" s="85">
        <f t="shared" si="71"/>
        <v>3.3100000000004002</v>
      </c>
      <c r="Q310" s="125">
        <v>3</v>
      </c>
      <c r="R310" s="86">
        <f t="shared" si="75"/>
        <v>279.8100000000004</v>
      </c>
      <c r="S310" s="148">
        <v>0</v>
      </c>
      <c r="T310" s="148">
        <f t="shared" si="77"/>
        <v>-3</v>
      </c>
    </row>
    <row r="311" spans="1:20">
      <c r="A311" s="139" t="s">
        <v>188</v>
      </c>
      <c r="B311" s="94">
        <v>41904</v>
      </c>
      <c r="C311" s="106">
        <v>35000</v>
      </c>
      <c r="D311" s="99"/>
      <c r="E311" s="99"/>
      <c r="F311" s="99"/>
      <c r="G311" s="95">
        <f t="shared" si="73"/>
        <v>1750</v>
      </c>
      <c r="H311" s="99"/>
      <c r="I311" s="99"/>
      <c r="J311" s="99"/>
      <c r="K311" s="99">
        <f t="shared" si="68"/>
        <v>2017</v>
      </c>
      <c r="L311" s="95">
        <f t="shared" si="74"/>
        <v>5.5260273972602736</v>
      </c>
      <c r="M311" s="98">
        <f>-[1]Sheet1!$G$422</f>
        <v>33238.839999999997</v>
      </c>
      <c r="N311" s="86">
        <f t="shared" si="69"/>
        <v>1761.1600000000035</v>
      </c>
      <c r="O311" s="85">
        <f t="shared" si="70"/>
        <v>-0.52602739726027359</v>
      </c>
      <c r="P311" s="85">
        <f t="shared" si="71"/>
        <v>11.160000000003492</v>
      </c>
      <c r="Q311" s="125">
        <v>11</v>
      </c>
      <c r="R311" s="86">
        <f t="shared" si="75"/>
        <v>1750.1600000000035</v>
      </c>
      <c r="S311" s="148">
        <v>0</v>
      </c>
      <c r="T311" s="148">
        <f t="shared" si="77"/>
        <v>-11</v>
      </c>
    </row>
    <row r="312" spans="1:20">
      <c r="A312" s="139" t="s">
        <v>188</v>
      </c>
      <c r="B312" s="94">
        <v>41923</v>
      </c>
      <c r="C312" s="106">
        <v>11450</v>
      </c>
      <c r="D312" s="99"/>
      <c r="E312" s="99"/>
      <c r="F312" s="99"/>
      <c r="G312" s="95">
        <f t="shared" si="73"/>
        <v>572.5</v>
      </c>
      <c r="H312" s="99"/>
      <c r="I312" s="99"/>
      <c r="J312" s="99"/>
      <c r="K312" s="99">
        <f t="shared" si="68"/>
        <v>1998</v>
      </c>
      <c r="L312" s="95">
        <f t="shared" si="74"/>
        <v>5.4739726027397264</v>
      </c>
      <c r="M312" s="98">
        <f>-[1]Sheet1!$G$424</f>
        <v>10873.46</v>
      </c>
      <c r="N312" s="86">
        <f t="shared" si="69"/>
        <v>576.54000000000087</v>
      </c>
      <c r="O312" s="85">
        <f t="shared" si="70"/>
        <v>-0.47397260273972641</v>
      </c>
      <c r="P312" s="85">
        <f t="shared" si="71"/>
        <v>4.0400000000008731</v>
      </c>
      <c r="Q312" s="125">
        <v>4.04</v>
      </c>
      <c r="R312" s="86">
        <f t="shared" si="75"/>
        <v>572.50000000000091</v>
      </c>
      <c r="S312" s="148">
        <v>0</v>
      </c>
      <c r="T312" s="148">
        <f t="shared" si="77"/>
        <v>-4.04</v>
      </c>
    </row>
    <row r="313" spans="1:20" ht="15.75">
      <c r="A313" s="137" t="s">
        <v>189</v>
      </c>
      <c r="B313" s="94">
        <v>42138</v>
      </c>
      <c r="C313" s="155">
        <v>5000</v>
      </c>
      <c r="D313" s="99"/>
      <c r="E313" s="99"/>
      <c r="F313" s="99"/>
      <c r="G313" s="95">
        <f t="shared" si="73"/>
        <v>250</v>
      </c>
      <c r="H313" s="99"/>
      <c r="I313" s="99"/>
      <c r="J313" s="99"/>
      <c r="K313" s="99">
        <f t="shared" si="68"/>
        <v>1783</v>
      </c>
      <c r="L313" s="95">
        <f t="shared" si="74"/>
        <v>4.8849315068493153</v>
      </c>
      <c r="M313" s="76">
        <f>-[1]Sheet1!$G$430</f>
        <v>4638.08</v>
      </c>
      <c r="N313" s="96">
        <f t="shared" si="69"/>
        <v>361.92000000000007</v>
      </c>
      <c r="O313" s="95">
        <f t="shared" si="70"/>
        <v>0.11506849315068468</v>
      </c>
      <c r="P313" s="95">
        <f t="shared" si="71"/>
        <v>111.92000000000007</v>
      </c>
      <c r="Q313" s="96">
        <v>111.92</v>
      </c>
      <c r="R313" s="96">
        <f t="shared" si="75"/>
        <v>250.00000000000006</v>
      </c>
      <c r="S313" s="112">
        <f>+[1]Sheet1!$I$430</f>
        <v>-111.92</v>
      </c>
      <c r="T313" s="148">
        <f t="shared" si="77"/>
        <v>0</v>
      </c>
    </row>
    <row r="314" spans="1:20" ht="15.75">
      <c r="A314" s="137" t="s">
        <v>190</v>
      </c>
      <c r="B314" s="94">
        <v>42142</v>
      </c>
      <c r="C314" s="155">
        <v>5000</v>
      </c>
      <c r="D314" s="99"/>
      <c r="E314" s="99"/>
      <c r="F314" s="99"/>
      <c r="G314" s="95">
        <f t="shared" si="73"/>
        <v>250</v>
      </c>
      <c r="H314" s="99"/>
      <c r="I314" s="99"/>
      <c r="J314" s="99"/>
      <c r="K314" s="99">
        <f t="shared" si="68"/>
        <v>1779</v>
      </c>
      <c r="L314" s="95">
        <f t="shared" si="74"/>
        <v>4.8739726027397259</v>
      </c>
      <c r="M314" s="156">
        <f>-[1]Sheet1!$G$432</f>
        <v>4627.67</v>
      </c>
      <c r="N314" s="96">
        <f t="shared" si="69"/>
        <v>372.32999999999993</v>
      </c>
      <c r="O314" s="95">
        <f t="shared" si="70"/>
        <v>0.12602739726027412</v>
      </c>
      <c r="P314" s="95">
        <f t="shared" si="71"/>
        <v>122.32999999999993</v>
      </c>
      <c r="Q314" s="96">
        <v>122.33</v>
      </c>
      <c r="R314" s="96">
        <f t="shared" si="75"/>
        <v>249.99999999999994</v>
      </c>
      <c r="S314" s="112">
        <f>+[1]Sheet1!$I$432</f>
        <v>-122.33</v>
      </c>
      <c r="T314" s="148">
        <f t="shared" si="77"/>
        <v>0</v>
      </c>
    </row>
    <row r="315" spans="1:20" ht="15.75">
      <c r="A315" s="137" t="s">
        <v>187</v>
      </c>
      <c r="B315" s="94">
        <v>42146</v>
      </c>
      <c r="C315" s="155">
        <v>5000</v>
      </c>
      <c r="D315" s="99"/>
      <c r="E315" s="99"/>
      <c r="F315" s="99"/>
      <c r="G315" s="95">
        <f t="shared" si="73"/>
        <v>250</v>
      </c>
      <c r="H315" s="99"/>
      <c r="I315" s="99"/>
      <c r="J315" s="99"/>
      <c r="K315" s="99">
        <f t="shared" si="68"/>
        <v>1775</v>
      </c>
      <c r="L315" s="95">
        <f t="shared" si="74"/>
        <v>4.8630136986301373</v>
      </c>
      <c r="M315" s="76">
        <f>-[1]Sheet1!$G$437</f>
        <v>4617.26</v>
      </c>
      <c r="N315" s="96">
        <f t="shared" si="69"/>
        <v>382.73999999999978</v>
      </c>
      <c r="O315" s="95">
        <f t="shared" si="70"/>
        <v>0.13698630136986267</v>
      </c>
      <c r="P315" s="95">
        <f t="shared" si="71"/>
        <v>132.73999999999978</v>
      </c>
      <c r="Q315" s="96">
        <v>132.74</v>
      </c>
      <c r="R315" s="96">
        <f t="shared" si="75"/>
        <v>249.99999999999977</v>
      </c>
      <c r="S315" s="112">
        <f>+[1]Sheet1!$I$437</f>
        <v>-132.74</v>
      </c>
      <c r="T315" s="148">
        <f t="shared" si="77"/>
        <v>0</v>
      </c>
    </row>
    <row r="316" spans="1:20" ht="15.75">
      <c r="A316" s="137" t="s">
        <v>187</v>
      </c>
      <c r="B316" s="94">
        <v>42203</v>
      </c>
      <c r="C316" s="155">
        <v>14900</v>
      </c>
      <c r="D316" s="99"/>
      <c r="E316" s="99"/>
      <c r="F316" s="99"/>
      <c r="G316" s="95">
        <f t="shared" si="73"/>
        <v>745</v>
      </c>
      <c r="H316" s="99"/>
      <c r="I316" s="99"/>
      <c r="J316" s="99"/>
      <c r="K316" s="99">
        <f t="shared" si="68"/>
        <v>1718</v>
      </c>
      <c r="L316" s="95">
        <f t="shared" si="74"/>
        <v>4.7068493150684931</v>
      </c>
      <c r="M316" s="76">
        <f>-[1]Sheet1!$G$441</f>
        <v>13317.33</v>
      </c>
      <c r="N316" s="96">
        <f t="shared" si="69"/>
        <v>1582.67</v>
      </c>
      <c r="O316" s="95">
        <f t="shared" si="70"/>
        <v>0.29315068493150687</v>
      </c>
      <c r="P316" s="95">
        <f t="shared" si="71"/>
        <v>837.67000000000007</v>
      </c>
      <c r="Q316" s="96">
        <v>837.67</v>
      </c>
      <c r="R316" s="96">
        <f t="shared" si="75"/>
        <v>745.00000000000011</v>
      </c>
      <c r="S316" s="112">
        <f>+[1]Sheet1!$I$441</f>
        <v>-837.67</v>
      </c>
      <c r="T316" s="148">
        <f t="shared" si="77"/>
        <v>0</v>
      </c>
    </row>
    <row r="317" spans="1:20" ht="15.75">
      <c r="A317" s="137" t="s">
        <v>191</v>
      </c>
      <c r="B317" s="94">
        <v>42105</v>
      </c>
      <c r="C317" s="155">
        <v>22614</v>
      </c>
      <c r="D317" s="99"/>
      <c r="E317" s="99"/>
      <c r="F317" s="99"/>
      <c r="G317" s="95">
        <f t="shared" si="73"/>
        <v>1130.7</v>
      </c>
      <c r="H317" s="99"/>
      <c r="I317" s="99"/>
      <c r="J317" s="99"/>
      <c r="K317" s="99">
        <f t="shared" si="68"/>
        <v>1816</v>
      </c>
      <c r="L317" s="95">
        <f t="shared" si="74"/>
        <v>4.9753424657534246</v>
      </c>
      <c r="M317" s="76">
        <f>-[1]Sheet1!$G$427</f>
        <v>21365.58</v>
      </c>
      <c r="N317" s="96">
        <f t="shared" si="69"/>
        <v>1248.4199999999983</v>
      </c>
      <c r="O317" s="95">
        <f t="shared" si="70"/>
        <v>2.4657534246575352E-2</v>
      </c>
      <c r="P317" s="95">
        <f t="shared" si="71"/>
        <v>117.71999999999821</v>
      </c>
      <c r="Q317" s="96">
        <v>117.72</v>
      </c>
      <c r="R317" s="96">
        <f t="shared" si="75"/>
        <v>1130.6999999999982</v>
      </c>
      <c r="S317" s="112">
        <f>+[1]Sheet1!$I$427</f>
        <v>-117.72</v>
      </c>
      <c r="T317" s="148">
        <f t="shared" si="77"/>
        <v>0</v>
      </c>
    </row>
    <row r="318" spans="1:20" ht="15.75">
      <c r="A318" s="137" t="s">
        <v>191</v>
      </c>
      <c r="B318" s="94">
        <v>42144</v>
      </c>
      <c r="C318" s="155">
        <v>189911</v>
      </c>
      <c r="D318" s="99"/>
      <c r="E318" s="99"/>
      <c r="F318" s="99"/>
      <c r="G318" s="95">
        <f t="shared" si="73"/>
        <v>9495.5500000000011</v>
      </c>
      <c r="H318" s="99"/>
      <c r="I318" s="99"/>
      <c r="J318" s="99"/>
      <c r="K318" s="99">
        <f t="shared" si="68"/>
        <v>1777</v>
      </c>
      <c r="L318" s="95">
        <f t="shared" si="74"/>
        <v>4.8684931506849312</v>
      </c>
      <c r="M318" s="76">
        <f>-[1]Sheet1!$G$435</f>
        <v>180415.45</v>
      </c>
      <c r="N318" s="96">
        <f t="shared" si="69"/>
        <v>9495.5499999999884</v>
      </c>
      <c r="O318" s="95">
        <f t="shared" si="70"/>
        <v>0.13150684931506884</v>
      </c>
      <c r="P318" s="95">
        <f t="shared" si="71"/>
        <v>0</v>
      </c>
      <c r="Q318" s="96">
        <f t="shared" ref="Q318:Q349" si="78">P318/O318</f>
        <v>0</v>
      </c>
      <c r="R318" s="96">
        <f t="shared" si="75"/>
        <v>9495.5499999999884</v>
      </c>
      <c r="S318" s="112">
        <f>+[1]Sheet1!$I$435</f>
        <v>0</v>
      </c>
      <c r="T318" s="148">
        <f t="shared" si="77"/>
        <v>0</v>
      </c>
    </row>
    <row r="319" spans="1:20" ht="15.75">
      <c r="A319" s="137" t="s">
        <v>191</v>
      </c>
      <c r="B319" s="94">
        <v>42171</v>
      </c>
      <c r="C319" s="155">
        <v>49597</v>
      </c>
      <c r="D319" s="99"/>
      <c r="E319" s="99"/>
      <c r="F319" s="99"/>
      <c r="G319" s="95">
        <f t="shared" si="73"/>
        <v>2479.8500000000004</v>
      </c>
      <c r="H319" s="99"/>
      <c r="I319" s="99"/>
      <c r="J319" s="99"/>
      <c r="K319" s="99">
        <f t="shared" si="68"/>
        <v>1750</v>
      </c>
      <c r="L319" s="95">
        <f t="shared" si="74"/>
        <v>4.7945205479452051</v>
      </c>
      <c r="M319" s="76">
        <f>-[1]Sheet1!$G$438</f>
        <v>45155.01</v>
      </c>
      <c r="N319" s="96">
        <f t="shared" si="69"/>
        <v>4441.989999999998</v>
      </c>
      <c r="O319" s="95">
        <f t="shared" si="70"/>
        <v>0.2054794520547949</v>
      </c>
      <c r="P319" s="95">
        <f t="shared" si="71"/>
        <v>1962.1399999999976</v>
      </c>
      <c r="Q319" s="96">
        <v>1962.14</v>
      </c>
      <c r="R319" s="96">
        <f t="shared" si="75"/>
        <v>2479.8499999999976</v>
      </c>
      <c r="S319" s="112">
        <f>+[1]Sheet1!$I$438</f>
        <v>-1962.14</v>
      </c>
      <c r="T319" s="148">
        <f t="shared" si="77"/>
        <v>0</v>
      </c>
    </row>
    <row r="320" spans="1:20" ht="15.75">
      <c r="A320" s="137" t="s">
        <v>192</v>
      </c>
      <c r="B320" s="94">
        <v>42247</v>
      </c>
      <c r="C320" s="155">
        <v>32025</v>
      </c>
      <c r="D320" s="99"/>
      <c r="E320" s="99"/>
      <c r="F320" s="99"/>
      <c r="G320" s="95">
        <f t="shared" si="73"/>
        <v>1601.25</v>
      </c>
      <c r="H320" s="99"/>
      <c r="I320" s="99"/>
      <c r="J320" s="99"/>
      <c r="K320" s="99">
        <f t="shared" si="68"/>
        <v>1674</v>
      </c>
      <c r="L320" s="95">
        <f t="shared" si="74"/>
        <v>4.5863013698630137</v>
      </c>
      <c r="M320" s="76">
        <f>-[1]Sheet1!$G$442</f>
        <v>27889.83</v>
      </c>
      <c r="N320" s="96">
        <f t="shared" si="69"/>
        <v>4135.1699999999983</v>
      </c>
      <c r="O320" s="95">
        <f t="shared" si="70"/>
        <v>0.41369863013698627</v>
      </c>
      <c r="P320" s="95">
        <f t="shared" si="71"/>
        <v>2533.9199999999983</v>
      </c>
      <c r="Q320" s="96">
        <v>2533.92</v>
      </c>
      <c r="R320" s="96">
        <f t="shared" si="75"/>
        <v>1601.2499999999982</v>
      </c>
      <c r="S320" s="112">
        <f>+[1]Sheet1!$I$442</f>
        <v>-2533.92</v>
      </c>
      <c r="T320" s="148">
        <f t="shared" si="77"/>
        <v>0</v>
      </c>
    </row>
    <row r="321" spans="1:20" ht="15.75">
      <c r="A321" s="137" t="s">
        <v>192</v>
      </c>
      <c r="B321" s="94">
        <v>42263</v>
      </c>
      <c r="C321" s="155">
        <v>21000</v>
      </c>
      <c r="D321" s="99"/>
      <c r="E321" s="99"/>
      <c r="F321" s="99"/>
      <c r="G321" s="95">
        <f t="shared" si="73"/>
        <v>1050</v>
      </c>
      <c r="H321" s="99"/>
      <c r="I321" s="99"/>
      <c r="J321" s="99"/>
      <c r="K321" s="99">
        <f t="shared" si="68"/>
        <v>1658</v>
      </c>
      <c r="L321" s="95">
        <f t="shared" si="74"/>
        <v>4.5424657534246577</v>
      </c>
      <c r="M321" s="157">
        <v>18113.509999999998</v>
      </c>
      <c r="N321" s="96">
        <f t="shared" si="69"/>
        <v>2886.4900000000016</v>
      </c>
      <c r="O321" s="95">
        <f t="shared" si="70"/>
        <v>0.45753424657534225</v>
      </c>
      <c r="P321" s="95">
        <f t="shared" si="71"/>
        <v>1836.4900000000016</v>
      </c>
      <c r="Q321" s="96">
        <v>1836.49</v>
      </c>
      <c r="R321" s="96">
        <f t="shared" si="75"/>
        <v>1050.0000000000016</v>
      </c>
      <c r="S321" s="112">
        <f>+[1]Sheet1!$I$443</f>
        <v>-1836.49</v>
      </c>
      <c r="T321" s="148">
        <f t="shared" si="77"/>
        <v>0</v>
      </c>
    </row>
    <row r="322" spans="1:20" ht="15.75">
      <c r="A322" s="137" t="s">
        <v>192</v>
      </c>
      <c r="B322" s="94">
        <v>42269</v>
      </c>
      <c r="C322" s="155">
        <v>63525</v>
      </c>
      <c r="D322" s="99"/>
      <c r="E322" s="99"/>
      <c r="F322" s="99"/>
      <c r="G322" s="95">
        <f t="shared" si="73"/>
        <v>3176.25</v>
      </c>
      <c r="H322" s="99"/>
      <c r="I322" s="99"/>
      <c r="J322" s="99"/>
      <c r="K322" s="99">
        <f t="shared" si="68"/>
        <v>1652</v>
      </c>
      <c r="L322" s="95">
        <f t="shared" si="74"/>
        <v>4.5260273972602736</v>
      </c>
      <c r="M322" s="157">
        <v>54594.95</v>
      </c>
      <c r="N322" s="96">
        <f t="shared" si="69"/>
        <v>8930.0500000000029</v>
      </c>
      <c r="O322" s="95">
        <f t="shared" si="70"/>
        <v>0.47397260273972641</v>
      </c>
      <c r="P322" s="95">
        <f t="shared" si="71"/>
        <v>5753.8000000000029</v>
      </c>
      <c r="Q322" s="96">
        <v>5753.8</v>
      </c>
      <c r="R322" s="96">
        <f t="shared" si="75"/>
        <v>3176.2500000000027</v>
      </c>
      <c r="S322" s="112">
        <f>+[1]Sheet1!$I$444</f>
        <v>-5753.8</v>
      </c>
      <c r="T322" s="148">
        <f t="shared" si="77"/>
        <v>0</v>
      </c>
    </row>
    <row r="323" spans="1:20" ht="15.75">
      <c r="A323" s="133" t="s">
        <v>193</v>
      </c>
      <c r="B323" s="94">
        <v>42529</v>
      </c>
      <c r="C323" s="158">
        <v>6749</v>
      </c>
      <c r="D323" s="99"/>
      <c r="E323" s="99"/>
      <c r="F323" s="99"/>
      <c r="G323" s="95">
        <f t="shared" si="73"/>
        <v>337.45000000000005</v>
      </c>
      <c r="H323" s="99"/>
      <c r="I323" s="99"/>
      <c r="J323" s="99"/>
      <c r="K323" s="99">
        <f t="shared" si="68"/>
        <v>1392</v>
      </c>
      <c r="L323" s="95">
        <f t="shared" si="74"/>
        <v>3.8136986301369862</v>
      </c>
      <c r="M323" s="76">
        <f>-[1]Sheet1!$G$453</f>
        <v>4886.83</v>
      </c>
      <c r="N323" s="96">
        <f t="shared" si="69"/>
        <v>1862.17</v>
      </c>
      <c r="O323" s="95">
        <f t="shared" si="70"/>
        <v>1.1863013698630138</v>
      </c>
      <c r="P323" s="95">
        <f t="shared" si="71"/>
        <v>1524.72</v>
      </c>
      <c r="Q323" s="96">
        <f t="shared" si="78"/>
        <v>1285.2720554272516</v>
      </c>
      <c r="R323" s="96">
        <f t="shared" si="75"/>
        <v>576.89794457274843</v>
      </c>
      <c r="S323" s="112">
        <f>+[1]Sheet1!$I$453</f>
        <v>-1282.31</v>
      </c>
      <c r="T323" s="148">
        <f t="shared" si="77"/>
        <v>-2.9620554272516983</v>
      </c>
    </row>
    <row r="324" spans="1:20" ht="15.75">
      <c r="A324" s="133" t="s">
        <v>194</v>
      </c>
      <c r="B324" s="94">
        <v>42480</v>
      </c>
      <c r="C324" s="158">
        <v>70393</v>
      </c>
      <c r="D324" s="99"/>
      <c r="E324" s="99"/>
      <c r="F324" s="99"/>
      <c r="G324" s="95">
        <f t="shared" si="73"/>
        <v>3519.65</v>
      </c>
      <c r="H324" s="99"/>
      <c r="I324" s="99"/>
      <c r="J324" s="99"/>
      <c r="K324" s="99">
        <f t="shared" si="68"/>
        <v>1441</v>
      </c>
      <c r="L324" s="95">
        <f t="shared" si="74"/>
        <v>3.9479452054794519</v>
      </c>
      <c r="M324" s="76">
        <f>-[1]Sheet1!$G$451</f>
        <v>52765.82</v>
      </c>
      <c r="N324" s="96">
        <f t="shared" si="69"/>
        <v>17627.18</v>
      </c>
      <c r="O324" s="95">
        <f t="shared" si="70"/>
        <v>1.0520547945205481</v>
      </c>
      <c r="P324" s="95">
        <f t="shared" si="71"/>
        <v>14107.53</v>
      </c>
      <c r="Q324" s="96">
        <f t="shared" si="78"/>
        <v>13409.501171874999</v>
      </c>
      <c r="R324" s="96">
        <f t="shared" si="75"/>
        <v>4217.678828125001</v>
      </c>
      <c r="S324" s="112">
        <f>+[1]Sheet1!$I$451</f>
        <v>-13374.67</v>
      </c>
      <c r="T324" s="148">
        <f t="shared" si="77"/>
        <v>-34.8311718749992</v>
      </c>
    </row>
    <row r="325" spans="1:20" ht="15.75">
      <c r="A325" s="133" t="s">
        <v>195</v>
      </c>
      <c r="B325" s="94">
        <v>42464</v>
      </c>
      <c r="C325" s="158">
        <f>360323.16+143195</f>
        <v>503518.16</v>
      </c>
      <c r="D325" s="99"/>
      <c r="E325" s="99"/>
      <c r="F325" s="99"/>
      <c r="G325" s="95">
        <f t="shared" si="73"/>
        <v>25175.907999999999</v>
      </c>
      <c r="H325" s="99"/>
      <c r="I325" s="99"/>
      <c r="J325" s="99"/>
      <c r="K325" s="99">
        <f t="shared" si="68"/>
        <v>1457</v>
      </c>
      <c r="L325" s="95">
        <f t="shared" si="74"/>
        <v>3.9917808219178084</v>
      </c>
      <c r="M325" s="76">
        <f>-[1]Sheet1!$G$445</f>
        <v>381625.38</v>
      </c>
      <c r="N325" s="96">
        <f t="shared" si="69"/>
        <v>121892.77999999997</v>
      </c>
      <c r="O325" s="95">
        <f t="shared" si="70"/>
        <v>1.0082191780821916</v>
      </c>
      <c r="P325" s="95">
        <f t="shared" si="71"/>
        <v>96716.871999999974</v>
      </c>
      <c r="Q325" s="96">
        <f t="shared" si="78"/>
        <v>95928.419239130424</v>
      </c>
      <c r="R325" s="96">
        <f t="shared" si="75"/>
        <v>25964.360760869546</v>
      </c>
      <c r="S325" s="112">
        <f>+[1]Sheet1!$I$445</f>
        <v>-95668.45</v>
      </c>
      <c r="T325" s="148">
        <f t="shared" si="77"/>
        <v>-259.96923913042701</v>
      </c>
    </row>
    <row r="326" spans="1:20" ht="15.75">
      <c r="A326" s="133" t="s">
        <v>195</v>
      </c>
      <c r="B326" s="94">
        <v>42468</v>
      </c>
      <c r="C326" s="158">
        <v>117381</v>
      </c>
      <c r="D326" s="99"/>
      <c r="E326" s="99"/>
      <c r="F326" s="99"/>
      <c r="G326" s="95">
        <f t="shared" si="73"/>
        <v>5869.05</v>
      </c>
      <c r="H326" s="99"/>
      <c r="I326" s="99"/>
      <c r="J326" s="99"/>
      <c r="K326" s="99">
        <f t="shared" si="68"/>
        <v>1453</v>
      </c>
      <c r="L326" s="95">
        <f t="shared" si="74"/>
        <v>3.9808219178082194</v>
      </c>
      <c r="M326" s="76">
        <f>-[1]Sheet1!$G$447</f>
        <v>88720.74</v>
      </c>
      <c r="N326" s="96">
        <f t="shared" si="69"/>
        <v>28660.259999999995</v>
      </c>
      <c r="O326" s="95">
        <f t="shared" si="70"/>
        <v>1.0191780821917806</v>
      </c>
      <c r="P326" s="95">
        <f t="shared" si="71"/>
        <v>22791.209999999995</v>
      </c>
      <c r="Q326" s="96">
        <f t="shared" si="78"/>
        <v>22362.343145161289</v>
      </c>
      <c r="R326" s="96">
        <f t="shared" si="75"/>
        <v>6297.9168548387061</v>
      </c>
      <c r="S326" s="112">
        <f>+[1]Sheet1!$I$447</f>
        <v>-22302.39</v>
      </c>
      <c r="T326" s="148">
        <f t="shared" si="77"/>
        <v>-59.953145161289285</v>
      </c>
    </row>
    <row r="327" spans="1:20" ht="15.75">
      <c r="A327" s="133" t="s">
        <v>195</v>
      </c>
      <c r="B327" s="94">
        <v>42475</v>
      </c>
      <c r="C327" s="158">
        <v>352143</v>
      </c>
      <c r="D327" s="99"/>
      <c r="E327" s="99"/>
      <c r="F327" s="99"/>
      <c r="G327" s="95">
        <f t="shared" si="73"/>
        <v>17607.150000000001</v>
      </c>
      <c r="H327" s="99"/>
      <c r="I327" s="99"/>
      <c r="J327" s="99"/>
      <c r="K327" s="99">
        <f t="shared" si="68"/>
        <v>1446</v>
      </c>
      <c r="L327" s="95">
        <f t="shared" si="74"/>
        <v>3.9616438356164383</v>
      </c>
      <c r="M327" s="76">
        <f>-[1]Sheet1!$G$449</f>
        <v>264879.07</v>
      </c>
      <c r="N327" s="96">
        <f t="shared" si="69"/>
        <v>87263.93</v>
      </c>
      <c r="O327" s="95">
        <f t="shared" si="70"/>
        <v>1.0383561643835617</v>
      </c>
      <c r="P327" s="95">
        <f t="shared" si="71"/>
        <v>69656.78</v>
      </c>
      <c r="Q327" s="96">
        <f t="shared" si="78"/>
        <v>67083.706332453818</v>
      </c>
      <c r="R327" s="96">
        <f t="shared" si="75"/>
        <v>20180.223667546175</v>
      </c>
      <c r="S327" s="112">
        <f>+[1]Sheet1!$I$449</f>
        <v>-66907.17</v>
      </c>
      <c r="T327" s="148">
        <f t="shared" si="77"/>
        <v>-176.53633245381934</v>
      </c>
    </row>
    <row r="328" spans="1:20" ht="15.75">
      <c r="A328" s="133" t="s">
        <v>187</v>
      </c>
      <c r="B328" s="94">
        <v>42816</v>
      </c>
      <c r="C328" s="158">
        <v>6200</v>
      </c>
      <c r="D328" s="99"/>
      <c r="E328" s="99"/>
      <c r="F328" s="99"/>
      <c r="G328" s="95">
        <f t="shared" si="73"/>
        <v>310</v>
      </c>
      <c r="H328" s="99"/>
      <c r="I328" s="99"/>
      <c r="J328" s="99"/>
      <c r="K328" s="99">
        <f t="shared" si="68"/>
        <v>1105</v>
      </c>
      <c r="L328" s="95">
        <f t="shared" si="74"/>
        <v>3.0273972602739727</v>
      </c>
      <c r="M328" s="76">
        <f>-[1]Sheet1!$G$461</f>
        <v>3563.05</v>
      </c>
      <c r="N328" s="96">
        <f>C328-M328</f>
        <v>2636.95</v>
      </c>
      <c r="O328" s="95">
        <f t="shared" si="70"/>
        <v>1.9726027397260273</v>
      </c>
      <c r="P328" s="95">
        <f t="shared" si="71"/>
        <v>2326.9499999999998</v>
      </c>
      <c r="Q328" s="96">
        <f>P328/O328</f>
        <v>1179.6343749999999</v>
      </c>
      <c r="R328" s="96">
        <f t="shared" si="75"/>
        <v>1457.315625</v>
      </c>
      <c r="S328" s="112">
        <f>[1]Sheet1!$I$461</f>
        <v>-1178</v>
      </c>
      <c r="T328" s="148">
        <f t="shared" si="77"/>
        <v>-1.6343749999998636</v>
      </c>
    </row>
    <row r="329" spans="1:20" ht="15.75">
      <c r="A329" s="133" t="s">
        <v>188</v>
      </c>
      <c r="B329" s="94">
        <v>42632</v>
      </c>
      <c r="C329" s="158">
        <v>18800</v>
      </c>
      <c r="D329" s="99"/>
      <c r="E329" s="99"/>
      <c r="F329" s="99"/>
      <c r="G329" s="95">
        <f t="shared" si="73"/>
        <v>940</v>
      </c>
      <c r="H329" s="99"/>
      <c r="I329" s="99"/>
      <c r="J329" s="99"/>
      <c r="K329" s="99">
        <f t="shared" si="68"/>
        <v>1289</v>
      </c>
      <c r="L329" s="95">
        <f t="shared" si="74"/>
        <v>3.5315068493150683</v>
      </c>
      <c r="M329" s="76">
        <f>-[1]Sheet1!$G$457</f>
        <v>12604.76</v>
      </c>
      <c r="N329" s="96">
        <f t="shared" si="69"/>
        <v>6195.24</v>
      </c>
      <c r="O329" s="95">
        <f t="shared" si="70"/>
        <v>1.4684931506849317</v>
      </c>
      <c r="P329" s="95">
        <f t="shared" si="71"/>
        <v>5255.24</v>
      </c>
      <c r="Q329" s="96">
        <f t="shared" si="78"/>
        <v>3578.6615671641785</v>
      </c>
      <c r="R329" s="96">
        <f t="shared" si="75"/>
        <v>2616.5784328358213</v>
      </c>
      <c r="S329" s="112">
        <f>+[1]Sheet1!$I$457</f>
        <v>-3572</v>
      </c>
      <c r="T329" s="148">
        <f t="shared" si="77"/>
        <v>-6.6615671641784502</v>
      </c>
    </row>
    <row r="330" spans="1:20" ht="15.75">
      <c r="A330" s="133" t="s">
        <v>188</v>
      </c>
      <c r="B330" s="94">
        <v>42632</v>
      </c>
      <c r="C330" s="158">
        <v>4950</v>
      </c>
      <c r="D330" s="99"/>
      <c r="E330" s="99"/>
      <c r="F330" s="99"/>
      <c r="G330" s="95">
        <f t="shared" si="73"/>
        <v>247.5</v>
      </c>
      <c r="H330" s="99"/>
      <c r="I330" s="99"/>
      <c r="J330" s="99"/>
      <c r="K330" s="99">
        <f t="shared" si="68"/>
        <v>1289</v>
      </c>
      <c r="L330" s="95">
        <f t="shared" si="74"/>
        <v>3.5315068493150683</v>
      </c>
      <c r="M330" s="76">
        <f>-[1]Sheet1!$G$458</f>
        <v>3318.81</v>
      </c>
      <c r="N330" s="96">
        <f t="shared" si="69"/>
        <v>1631.19</v>
      </c>
      <c r="O330" s="95">
        <f t="shared" si="70"/>
        <v>1.4684931506849317</v>
      </c>
      <c r="P330" s="95">
        <f t="shared" si="71"/>
        <v>1383.69</v>
      </c>
      <c r="Q330" s="96">
        <f t="shared" si="78"/>
        <v>942.25158582089546</v>
      </c>
      <c r="R330" s="96">
        <f t="shared" si="75"/>
        <v>688.9384141791046</v>
      </c>
      <c r="S330" s="112">
        <f>+[1]Sheet1!$I$458</f>
        <v>-940.5</v>
      </c>
      <c r="T330" s="148">
        <f t="shared" si="77"/>
        <v>-1.7515858208954569</v>
      </c>
    </row>
    <row r="331" spans="1:20" ht="15.75">
      <c r="A331" s="133" t="s">
        <v>196</v>
      </c>
      <c r="B331" s="94">
        <v>42541</v>
      </c>
      <c r="C331" s="158">
        <v>75373</v>
      </c>
      <c r="D331" s="99"/>
      <c r="E331" s="99"/>
      <c r="F331" s="99"/>
      <c r="G331" s="95">
        <f t="shared" si="73"/>
        <v>3768.65</v>
      </c>
      <c r="H331" s="99"/>
      <c r="I331" s="99"/>
      <c r="J331" s="99"/>
      <c r="K331" s="99">
        <f t="shared" si="68"/>
        <v>1380</v>
      </c>
      <c r="L331" s="95">
        <f t="shared" si="74"/>
        <v>3.7808219178082192</v>
      </c>
      <c r="M331" s="157">
        <v>54105.42</v>
      </c>
      <c r="N331" s="96">
        <f t="shared" si="69"/>
        <v>21267.58</v>
      </c>
      <c r="O331" s="95">
        <f t="shared" si="70"/>
        <v>1.2191780821917808</v>
      </c>
      <c r="P331" s="95">
        <f t="shared" si="71"/>
        <v>17498.93</v>
      </c>
      <c r="Q331" s="96">
        <f t="shared" si="78"/>
        <v>14353.054943820225</v>
      </c>
      <c r="R331" s="96">
        <f t="shared" si="75"/>
        <v>6914.5250561797766</v>
      </c>
      <c r="S331" s="112">
        <f>+[1]Sheet1!$I$455</f>
        <v>-14320.87</v>
      </c>
      <c r="T331" s="148">
        <f t="shared" si="77"/>
        <v>-32.184943820224362</v>
      </c>
    </row>
    <row r="332" spans="1:20" ht="15.75">
      <c r="A332" s="137" t="s">
        <v>194</v>
      </c>
      <c r="B332" s="107">
        <v>42829</v>
      </c>
      <c r="C332" s="155">
        <v>41048.03</v>
      </c>
      <c r="D332" s="99"/>
      <c r="E332" s="99"/>
      <c r="F332" s="99"/>
      <c r="G332" s="95">
        <f t="shared" si="73"/>
        <v>2052.4014999999999</v>
      </c>
      <c r="H332" s="99"/>
      <c r="I332" s="99"/>
      <c r="J332" s="99"/>
      <c r="K332" s="99">
        <f t="shared" si="68"/>
        <v>1092</v>
      </c>
      <c r="L332" s="95">
        <f t="shared" si="74"/>
        <v>2.9917808219178084</v>
      </c>
      <c r="M332" s="76">
        <f>-[1]Sheet1!$G$463</f>
        <v>23312.17</v>
      </c>
      <c r="N332" s="96">
        <f t="shared" si="69"/>
        <v>17735.86</v>
      </c>
      <c r="O332" s="95">
        <f t="shared" si="70"/>
        <v>2.0082191780821916</v>
      </c>
      <c r="P332" s="95">
        <f t="shared" si="71"/>
        <v>15683.458500000001</v>
      </c>
      <c r="Q332" s="96">
        <f t="shared" si="78"/>
        <v>7809.6348601637119</v>
      </c>
      <c r="R332" s="96">
        <f t="shared" si="75"/>
        <v>9926.2251398362896</v>
      </c>
      <c r="S332" s="112">
        <f>+[1]Sheet1!$I$463</f>
        <v>-7799.13</v>
      </c>
      <c r="T332" s="148">
        <f>-(Q332+S332)</f>
        <v>-10.504860163711783</v>
      </c>
    </row>
    <row r="333" spans="1:20">
      <c r="A333" s="106" t="s">
        <v>197</v>
      </c>
      <c r="B333" s="107">
        <v>43231</v>
      </c>
      <c r="C333" s="159">
        <v>37890.629999999997</v>
      </c>
      <c r="D333" s="99"/>
      <c r="E333" s="99"/>
      <c r="F333" s="99"/>
      <c r="G333" s="95">
        <f t="shared" si="73"/>
        <v>1894.5315000000001</v>
      </c>
      <c r="H333" s="99"/>
      <c r="I333" s="99"/>
      <c r="J333" s="99"/>
      <c r="K333" s="99">
        <f t="shared" si="68"/>
        <v>690</v>
      </c>
      <c r="L333" s="95">
        <f t="shared" si="74"/>
        <v>1.8904109589041096</v>
      </c>
      <c r="M333" s="76">
        <f>-[1]Sheet1!$G$465</f>
        <v>13589.76</v>
      </c>
      <c r="N333" s="96">
        <f t="shared" si="69"/>
        <v>24300.869999999995</v>
      </c>
      <c r="O333" s="95">
        <f t="shared" si="70"/>
        <v>3.1095890410958904</v>
      </c>
      <c r="P333" s="95">
        <f t="shared" si="71"/>
        <v>22406.338499999994</v>
      </c>
      <c r="Q333" s="96">
        <f t="shared" si="78"/>
        <v>7205.5626013215842</v>
      </c>
      <c r="R333" s="96">
        <f t="shared" si="75"/>
        <v>17095.307398678411</v>
      </c>
      <c r="S333" s="112">
        <f>+[1]Sheet1!$I$465</f>
        <v>-7199.22</v>
      </c>
      <c r="T333" s="148">
        <f t="shared" si="77"/>
        <v>-6.3426013215839703</v>
      </c>
    </row>
    <row r="334" spans="1:20">
      <c r="A334" s="106" t="s">
        <v>198</v>
      </c>
      <c r="B334" s="107">
        <v>43537</v>
      </c>
      <c r="C334" s="159">
        <v>10500</v>
      </c>
      <c r="D334" s="99"/>
      <c r="E334" s="99"/>
      <c r="F334" s="99"/>
      <c r="G334" s="95">
        <f t="shared" si="73"/>
        <v>525</v>
      </c>
      <c r="H334" s="99"/>
      <c r="I334" s="99"/>
      <c r="J334" s="99"/>
      <c r="K334" s="99">
        <f t="shared" si="68"/>
        <v>384</v>
      </c>
      <c r="L334" s="95">
        <f t="shared" si="74"/>
        <v>1.0520547945205478</v>
      </c>
      <c r="M334" s="76">
        <f>-[1]Sheet1!$G$468</f>
        <v>2093.38</v>
      </c>
      <c r="N334" s="96">
        <f t="shared" si="69"/>
        <v>8406.619999999999</v>
      </c>
      <c r="O334" s="95">
        <f t="shared" si="70"/>
        <v>3.9479452054794519</v>
      </c>
      <c r="P334" s="95">
        <f t="shared" si="71"/>
        <v>7881.619999999999</v>
      </c>
      <c r="Q334" s="96">
        <f t="shared" si="78"/>
        <v>1996.3853573907006</v>
      </c>
      <c r="R334" s="96">
        <f t="shared" si="75"/>
        <v>6410.2346426092981</v>
      </c>
      <c r="S334" s="112">
        <f>+[1]Sheet1!$I$468</f>
        <v>-1995</v>
      </c>
      <c r="T334" s="148">
        <f t="shared" si="77"/>
        <v>-1.3853573907006194</v>
      </c>
    </row>
    <row r="335" spans="1:20">
      <c r="A335" s="106" t="s">
        <v>199</v>
      </c>
      <c r="B335" s="107">
        <v>43555</v>
      </c>
      <c r="C335" s="159">
        <v>7800</v>
      </c>
      <c r="D335" s="99"/>
      <c r="E335" s="99"/>
      <c r="F335" s="99"/>
      <c r="G335" s="95">
        <f t="shared" si="73"/>
        <v>390</v>
      </c>
      <c r="H335" s="99"/>
      <c r="I335" s="99"/>
      <c r="J335" s="99"/>
      <c r="K335" s="99">
        <f t="shared" si="68"/>
        <v>366</v>
      </c>
      <c r="L335" s="95">
        <f t="shared" si="74"/>
        <v>1.0027397260273974</v>
      </c>
      <c r="M335" s="76">
        <f>-[1]Sheet1!$G$472</f>
        <v>1482</v>
      </c>
      <c r="N335" s="96">
        <f t="shared" si="69"/>
        <v>6318</v>
      </c>
      <c r="O335" s="95">
        <f t="shared" si="70"/>
        <v>3.9972602739726026</v>
      </c>
      <c r="P335" s="95">
        <f t="shared" si="71"/>
        <v>5928</v>
      </c>
      <c r="Q335" s="96">
        <f t="shared" si="78"/>
        <v>1483.0157642220699</v>
      </c>
      <c r="R335" s="96">
        <f t="shared" si="75"/>
        <v>4834.9842357779298</v>
      </c>
      <c r="S335" s="112">
        <f>+[1]Sheet1!$I$472</f>
        <v>-1482</v>
      </c>
      <c r="T335" s="148">
        <f t="shared" si="77"/>
        <v>-1.0157642220699472</v>
      </c>
    </row>
    <row r="336" spans="1:20">
      <c r="A336" s="106" t="s">
        <v>199</v>
      </c>
      <c r="B336" s="107">
        <v>43555</v>
      </c>
      <c r="C336" s="159">
        <v>14000</v>
      </c>
      <c r="D336" s="99"/>
      <c r="E336" s="99"/>
      <c r="F336" s="99"/>
      <c r="G336" s="95">
        <f t="shared" si="73"/>
        <v>700</v>
      </c>
      <c r="H336" s="99"/>
      <c r="I336" s="99"/>
      <c r="J336" s="99"/>
      <c r="K336" s="99">
        <f t="shared" si="68"/>
        <v>366</v>
      </c>
      <c r="L336" s="95">
        <f t="shared" si="74"/>
        <v>1.0027397260273974</v>
      </c>
      <c r="M336" s="76">
        <f>-[1]Sheet1!$G$473</f>
        <v>2660</v>
      </c>
      <c r="N336" s="96">
        <f t="shared" si="69"/>
        <v>11340</v>
      </c>
      <c r="O336" s="95">
        <f t="shared" si="70"/>
        <v>3.9972602739726026</v>
      </c>
      <c r="P336" s="95">
        <f t="shared" si="71"/>
        <v>10640</v>
      </c>
      <c r="Q336" s="96">
        <f t="shared" si="78"/>
        <v>2661.8231665524331</v>
      </c>
      <c r="R336" s="96">
        <f t="shared" si="75"/>
        <v>8678.1768334475673</v>
      </c>
      <c r="S336" s="112">
        <f>+[1]Sheet1!$I$473</f>
        <v>-2660</v>
      </c>
      <c r="T336" s="148">
        <f t="shared" si="77"/>
        <v>-1.823166552433122</v>
      </c>
    </row>
    <row r="337" spans="1:21">
      <c r="A337" s="160" t="s">
        <v>200</v>
      </c>
      <c r="B337" s="161">
        <v>43555</v>
      </c>
      <c r="C337" s="162">
        <v>20700</v>
      </c>
      <c r="D337" s="163"/>
      <c r="E337" s="163"/>
      <c r="F337" s="163"/>
      <c r="G337" s="164">
        <f t="shared" si="73"/>
        <v>1035</v>
      </c>
      <c r="H337" s="163"/>
      <c r="I337" s="163"/>
      <c r="J337" s="163"/>
      <c r="K337" s="163">
        <f t="shared" si="68"/>
        <v>366</v>
      </c>
      <c r="L337" s="164">
        <f t="shared" si="74"/>
        <v>1.0027397260273974</v>
      </c>
      <c r="M337" s="76">
        <f>-[1]Sheet1!$G$474</f>
        <v>3933</v>
      </c>
      <c r="N337" s="96">
        <f t="shared" si="69"/>
        <v>16767</v>
      </c>
      <c r="O337" s="95">
        <f t="shared" si="70"/>
        <v>3.9972602739726026</v>
      </c>
      <c r="P337" s="95">
        <f t="shared" si="71"/>
        <v>15732</v>
      </c>
      <c r="Q337" s="96">
        <f t="shared" si="78"/>
        <v>3935.6956819739548</v>
      </c>
      <c r="R337" s="96">
        <f t="shared" si="75"/>
        <v>12831.304318026045</v>
      </c>
      <c r="S337" s="112">
        <f>+[1]Sheet1!$I$474</f>
        <v>-3933</v>
      </c>
      <c r="T337" s="148">
        <f t="shared" si="77"/>
        <v>-2.6956819739548337</v>
      </c>
    </row>
    <row r="338" spans="1:21">
      <c r="A338" s="165" t="s">
        <v>201</v>
      </c>
      <c r="B338" s="166">
        <v>43658</v>
      </c>
      <c r="C338" s="167">
        <v>15340</v>
      </c>
      <c r="D338" s="99"/>
      <c r="E338" s="99"/>
      <c r="F338" s="99"/>
      <c r="G338" s="95">
        <f t="shared" si="73"/>
        <v>767</v>
      </c>
      <c r="H338" s="99"/>
      <c r="I338" s="99"/>
      <c r="J338" s="99"/>
      <c r="K338" s="99">
        <f t="shared" si="68"/>
        <v>263</v>
      </c>
      <c r="L338" s="95">
        <f t="shared" si="74"/>
        <v>0.72054794520547949</v>
      </c>
      <c r="M338" s="168">
        <v>2102.33</v>
      </c>
      <c r="N338" s="96">
        <f t="shared" si="69"/>
        <v>13237.67</v>
      </c>
      <c r="O338" s="95">
        <f t="shared" si="70"/>
        <v>4.2794520547945201</v>
      </c>
      <c r="P338" s="95">
        <f t="shared" si="71"/>
        <v>12470.67</v>
      </c>
      <c r="Q338" s="96">
        <f t="shared" si="78"/>
        <v>2914.0810179257364</v>
      </c>
      <c r="R338" s="96">
        <f t="shared" si="75"/>
        <v>10323.588982074263</v>
      </c>
      <c r="S338" s="112">
        <f>+[1]Sheet1!$I$475</f>
        <v>-2914.6</v>
      </c>
      <c r="T338" s="148">
        <f t="shared" si="77"/>
        <v>0.51898207426347653</v>
      </c>
    </row>
    <row r="339" spans="1:21">
      <c r="A339" s="165" t="s">
        <v>202</v>
      </c>
      <c r="B339" s="166">
        <v>43708</v>
      </c>
      <c r="C339" s="167">
        <v>1200</v>
      </c>
      <c r="D339" s="99"/>
      <c r="E339" s="99"/>
      <c r="F339" s="99"/>
      <c r="G339" s="95">
        <f t="shared" si="73"/>
        <v>60</v>
      </c>
      <c r="H339" s="99"/>
      <c r="I339" s="99"/>
      <c r="J339" s="99"/>
      <c r="K339" s="99">
        <f t="shared" si="68"/>
        <v>213</v>
      </c>
      <c r="L339" s="95">
        <f t="shared" si="74"/>
        <v>0.58356164383561648</v>
      </c>
      <c r="M339" s="168">
        <v>133.31</v>
      </c>
      <c r="N339" s="96">
        <f t="shared" si="69"/>
        <v>1066.69</v>
      </c>
      <c r="O339" s="95">
        <f t="shared" si="70"/>
        <v>4.4164383561643836</v>
      </c>
      <c r="P339" s="95">
        <f t="shared" si="71"/>
        <v>1006.69</v>
      </c>
      <c r="Q339" s="96">
        <f t="shared" si="78"/>
        <v>227.94159429280398</v>
      </c>
      <c r="R339" s="96">
        <f t="shared" si="75"/>
        <v>838.74840570719607</v>
      </c>
      <c r="S339" s="112">
        <f>+[1]Sheet1!$I$476</f>
        <v>-228</v>
      </c>
      <c r="T339" s="148">
        <f t="shared" si="77"/>
        <v>5.840570719601601E-2</v>
      </c>
    </row>
    <row r="340" spans="1:21">
      <c r="A340" s="165" t="s">
        <v>203</v>
      </c>
      <c r="B340" s="166">
        <v>43794</v>
      </c>
      <c r="C340" s="167">
        <v>25423.74</v>
      </c>
      <c r="D340" s="99"/>
      <c r="E340" s="99"/>
      <c r="F340" s="99"/>
      <c r="G340" s="95">
        <f t="shared" si="73"/>
        <v>1271.1870000000001</v>
      </c>
      <c r="H340" s="99"/>
      <c r="I340" s="99"/>
      <c r="J340" s="99"/>
      <c r="K340" s="99">
        <f t="shared" si="68"/>
        <v>127</v>
      </c>
      <c r="L340" s="95">
        <f t="shared" si="74"/>
        <v>0.34794520547945207</v>
      </c>
      <c r="M340" s="168">
        <v>1689.36</v>
      </c>
      <c r="N340" s="96">
        <f t="shared" si="69"/>
        <v>23734.38</v>
      </c>
      <c r="O340" s="95">
        <f t="shared" si="70"/>
        <v>4.6520547945205477</v>
      </c>
      <c r="P340" s="95">
        <f t="shared" si="71"/>
        <v>22463.192999999999</v>
      </c>
      <c r="Q340" s="96">
        <f t="shared" si="78"/>
        <v>4828.6604505300356</v>
      </c>
      <c r="R340" s="96">
        <f t="shared" si="75"/>
        <v>18905.719549469966</v>
      </c>
      <c r="S340" s="112">
        <f>+[1]Sheet1!$I$477</f>
        <v>-4830.51</v>
      </c>
      <c r="T340" s="148">
        <f t="shared" si="77"/>
        <v>1.849549469964586</v>
      </c>
    </row>
    <row r="341" spans="1:21">
      <c r="A341" s="165" t="s">
        <v>204</v>
      </c>
      <c r="B341" s="166">
        <v>43901</v>
      </c>
      <c r="C341" s="167">
        <v>16000</v>
      </c>
      <c r="D341" s="99"/>
      <c r="E341" s="99"/>
      <c r="F341" s="99"/>
      <c r="G341" s="95">
        <f t="shared" si="73"/>
        <v>800</v>
      </c>
      <c r="H341" s="99"/>
      <c r="I341" s="99"/>
      <c r="J341" s="99"/>
      <c r="K341" s="99">
        <f t="shared" si="68"/>
        <v>20</v>
      </c>
      <c r="L341" s="95">
        <f t="shared" si="74"/>
        <v>5.4794520547945202E-2</v>
      </c>
      <c r="M341" s="168">
        <v>174.43</v>
      </c>
      <c r="N341" s="96">
        <f t="shared" si="69"/>
        <v>15825.57</v>
      </c>
      <c r="O341" s="95">
        <f t="shared" si="70"/>
        <v>4.9452054794520546</v>
      </c>
      <c r="P341" s="95">
        <f t="shared" si="71"/>
        <v>15025.57</v>
      </c>
      <c r="Q341" s="96">
        <f t="shared" si="78"/>
        <v>3038.4116620498617</v>
      </c>
      <c r="R341" s="96">
        <f t="shared" si="75"/>
        <v>12787.158337950139</v>
      </c>
      <c r="S341" s="112">
        <f>+[1]Sheet1!$I$478</f>
        <v>-3040</v>
      </c>
      <c r="T341" s="148">
        <f t="shared" si="77"/>
        <v>1.5883379501383388</v>
      </c>
    </row>
    <row r="342" spans="1:21">
      <c r="A342" s="165" t="s">
        <v>205</v>
      </c>
      <c r="B342" s="166">
        <v>43677</v>
      </c>
      <c r="C342" s="167">
        <v>285700</v>
      </c>
      <c r="D342" s="99"/>
      <c r="E342" s="99"/>
      <c r="F342" s="99"/>
      <c r="G342" s="95">
        <f t="shared" si="73"/>
        <v>14285</v>
      </c>
      <c r="H342" s="99"/>
      <c r="I342" s="99"/>
      <c r="J342" s="99"/>
      <c r="K342" s="99">
        <f t="shared" si="68"/>
        <v>244</v>
      </c>
      <c r="L342" s="95">
        <f t="shared" si="74"/>
        <v>0.66849315068493154</v>
      </c>
      <c r="M342" s="169">
        <v>18168.490000000002</v>
      </c>
      <c r="N342" s="96">
        <f t="shared" si="69"/>
        <v>267531.51</v>
      </c>
      <c r="O342" s="95">
        <f t="shared" si="70"/>
        <v>4.3315068493150681</v>
      </c>
      <c r="P342" s="95">
        <f t="shared" si="71"/>
        <v>253246.51</v>
      </c>
      <c r="Q342" s="96">
        <f t="shared" si="78"/>
        <v>58466.145572422523</v>
      </c>
      <c r="R342" s="96">
        <f t="shared" si="75"/>
        <v>209065.36442757747</v>
      </c>
      <c r="S342" s="112">
        <f>+[1]Sheet1!$I$497</f>
        <v>-27141.5</v>
      </c>
      <c r="T342" s="148">
        <f t="shared" si="77"/>
        <v>-31324.645572422523</v>
      </c>
    </row>
    <row r="343" spans="1:21">
      <c r="A343" s="165" t="s">
        <v>206</v>
      </c>
      <c r="B343" s="166">
        <v>43683</v>
      </c>
      <c r="C343" s="167">
        <v>93052.5</v>
      </c>
      <c r="D343" s="99"/>
      <c r="E343" s="99"/>
      <c r="F343" s="99"/>
      <c r="G343" s="95">
        <f t="shared" si="73"/>
        <v>4652.625</v>
      </c>
      <c r="H343" s="99"/>
      <c r="I343" s="99"/>
      <c r="J343" s="99"/>
      <c r="K343" s="99">
        <f t="shared" si="68"/>
        <v>238</v>
      </c>
      <c r="L343" s="95">
        <f t="shared" si="74"/>
        <v>0.65205479452054793</v>
      </c>
      <c r="M343" s="169">
        <v>5772.56</v>
      </c>
      <c r="N343" s="96">
        <f t="shared" si="69"/>
        <v>87279.94</v>
      </c>
      <c r="O343" s="95">
        <f t="shared" si="70"/>
        <v>4.3479452054794523</v>
      </c>
      <c r="P343" s="95">
        <f t="shared" si="71"/>
        <v>82627.315000000002</v>
      </c>
      <c r="Q343" s="96">
        <f t="shared" si="78"/>
        <v>19003.761798991807</v>
      </c>
      <c r="R343" s="96">
        <f t="shared" si="75"/>
        <v>68276.178201008195</v>
      </c>
      <c r="S343" s="112">
        <f>+[1]Sheet1!$I$498</f>
        <v>-8839.99</v>
      </c>
      <c r="T343" s="148">
        <f t="shared" si="77"/>
        <v>-10163.771798991807</v>
      </c>
    </row>
    <row r="344" spans="1:21">
      <c r="A344" s="145" t="s">
        <v>207</v>
      </c>
      <c r="B344" s="146">
        <v>43564</v>
      </c>
      <c r="C344" s="170">
        <v>9196.42</v>
      </c>
      <c r="D344" s="99"/>
      <c r="E344" s="99"/>
      <c r="F344" s="99"/>
      <c r="G344" s="95">
        <f t="shared" si="73"/>
        <v>459.82100000000003</v>
      </c>
      <c r="H344" s="99"/>
      <c r="I344" s="99"/>
      <c r="J344" s="99"/>
      <c r="K344" s="99">
        <f t="shared" si="68"/>
        <v>357</v>
      </c>
      <c r="L344" s="95">
        <f t="shared" si="74"/>
        <v>0.9780821917808219</v>
      </c>
      <c r="M344" s="169">
        <v>1723.45</v>
      </c>
      <c r="N344" s="96">
        <f t="shared" si="69"/>
        <v>7472.97</v>
      </c>
      <c r="O344" s="95">
        <f t="shared" si="70"/>
        <v>4.021917808219178</v>
      </c>
      <c r="P344" s="95">
        <f t="shared" si="71"/>
        <v>7013.1490000000003</v>
      </c>
      <c r="Q344" s="96">
        <f t="shared" si="78"/>
        <v>1743.7325510899184</v>
      </c>
      <c r="R344" s="96">
        <f t="shared" si="75"/>
        <v>5729.2374489100821</v>
      </c>
      <c r="S344" s="169">
        <v>-1747.32</v>
      </c>
      <c r="T344" s="148">
        <f t="shared" si="77"/>
        <v>3.5874489100815481</v>
      </c>
    </row>
    <row r="345" spans="1:21">
      <c r="A345" s="145" t="s">
        <v>208</v>
      </c>
      <c r="B345" s="146">
        <v>43648</v>
      </c>
      <c r="C345" s="170">
        <v>9600</v>
      </c>
      <c r="D345" s="99"/>
      <c r="E345" s="99"/>
      <c r="F345" s="99"/>
      <c r="G345" s="95">
        <f t="shared" si="73"/>
        <v>480</v>
      </c>
      <c r="H345" s="99"/>
      <c r="I345" s="99"/>
      <c r="J345" s="99"/>
      <c r="K345" s="99">
        <f t="shared" si="68"/>
        <v>273</v>
      </c>
      <c r="L345" s="95">
        <f t="shared" si="74"/>
        <v>0.74794520547945209</v>
      </c>
      <c r="M345" s="169">
        <v>1365.51</v>
      </c>
      <c r="N345" s="96">
        <f t="shared" si="69"/>
        <v>8234.49</v>
      </c>
      <c r="O345" s="95">
        <f t="shared" si="70"/>
        <v>4.2520547945205482</v>
      </c>
      <c r="P345" s="95">
        <f t="shared" si="71"/>
        <v>7754.49</v>
      </c>
      <c r="Q345" s="96">
        <f t="shared" si="78"/>
        <v>1823.7041559278348</v>
      </c>
      <c r="R345" s="96">
        <f t="shared" si="75"/>
        <v>6410.7858440721648</v>
      </c>
      <c r="S345" s="169">
        <v>-1824</v>
      </c>
      <c r="T345" s="148">
        <f t="shared" si="77"/>
        <v>0.29584407216520958</v>
      </c>
    </row>
    <row r="346" spans="1:21">
      <c r="A346" s="145" t="s">
        <v>209</v>
      </c>
      <c r="B346" s="146">
        <v>43705</v>
      </c>
      <c r="C346" s="170">
        <v>14276.78</v>
      </c>
      <c r="D346" s="99"/>
      <c r="E346" s="99"/>
      <c r="F346" s="99"/>
      <c r="G346" s="95">
        <f t="shared" si="73"/>
        <v>713.83900000000006</v>
      </c>
      <c r="H346" s="99"/>
      <c r="I346" s="99"/>
      <c r="J346" s="99"/>
      <c r="K346" s="99">
        <f t="shared" si="68"/>
        <v>216</v>
      </c>
      <c r="L346" s="95">
        <f t="shared" si="74"/>
        <v>0.59178082191780823</v>
      </c>
      <c r="M346" s="169">
        <v>1608.28</v>
      </c>
      <c r="N346" s="96">
        <f t="shared" si="69"/>
        <v>12668.5</v>
      </c>
      <c r="O346" s="95">
        <f t="shared" si="70"/>
        <v>4.4082191780821915</v>
      </c>
      <c r="P346" s="95">
        <f t="shared" si="71"/>
        <v>11954.661</v>
      </c>
      <c r="Q346" s="96">
        <f t="shared" si="78"/>
        <v>2711.9025885643259</v>
      </c>
      <c r="R346" s="96">
        <f t="shared" si="75"/>
        <v>9956.5974114356741</v>
      </c>
      <c r="S346" s="169">
        <v>-2712.59</v>
      </c>
      <c r="T346" s="148">
        <f t="shared" si="77"/>
        <v>0.68741143567422114</v>
      </c>
    </row>
    <row r="347" spans="1:21">
      <c r="A347" s="145" t="s">
        <v>210</v>
      </c>
      <c r="B347" s="146">
        <v>43705</v>
      </c>
      <c r="C347" s="170">
        <v>16955.36</v>
      </c>
      <c r="D347" s="99"/>
      <c r="E347" s="99"/>
      <c r="F347" s="99"/>
      <c r="G347" s="95">
        <f t="shared" si="73"/>
        <v>847.76800000000003</v>
      </c>
      <c r="H347" s="99"/>
      <c r="I347" s="99"/>
      <c r="J347" s="99"/>
      <c r="K347" s="99">
        <f t="shared" si="68"/>
        <v>216</v>
      </c>
      <c r="L347" s="95">
        <f t="shared" si="74"/>
        <v>0.59178082191780823</v>
      </c>
      <c r="M347" s="169">
        <v>1910.03</v>
      </c>
      <c r="N347" s="96">
        <f t="shared" si="69"/>
        <v>15045.33</v>
      </c>
      <c r="O347" s="95">
        <f t="shared" si="70"/>
        <v>4.4082191780821915</v>
      </c>
      <c r="P347" s="95">
        <f t="shared" si="71"/>
        <v>14197.562</v>
      </c>
      <c r="Q347" s="96">
        <f t="shared" si="78"/>
        <v>3220.7023803604725</v>
      </c>
      <c r="R347" s="96">
        <f t="shared" si="75"/>
        <v>11824.627619639527</v>
      </c>
      <c r="S347" s="169">
        <v>-3221.52</v>
      </c>
      <c r="T347" s="148">
        <f t="shared" si="77"/>
        <v>0.81761963952749284</v>
      </c>
    </row>
    <row r="348" spans="1:21">
      <c r="A348" s="171" t="s">
        <v>211</v>
      </c>
      <c r="B348" s="172">
        <v>43721</v>
      </c>
      <c r="C348" s="169">
        <v>25540</v>
      </c>
      <c r="D348" s="99"/>
      <c r="E348" s="99"/>
      <c r="F348" s="99"/>
      <c r="G348" s="95">
        <f t="shared" si="73"/>
        <v>1277</v>
      </c>
      <c r="H348" s="99"/>
      <c r="I348" s="99"/>
      <c r="J348" s="99"/>
      <c r="K348" s="99">
        <f t="shared" si="68"/>
        <v>200</v>
      </c>
      <c r="L348" s="95">
        <f t="shared" si="74"/>
        <v>0.54794520547945202</v>
      </c>
      <c r="M348" s="169">
        <v>2664.95</v>
      </c>
      <c r="N348" s="96">
        <f t="shared" si="69"/>
        <v>22875.05</v>
      </c>
      <c r="O348" s="95">
        <f t="shared" si="70"/>
        <v>4.4520547945205475</v>
      </c>
      <c r="P348" s="95">
        <f t="shared" si="71"/>
        <v>21598.05</v>
      </c>
      <c r="Q348" s="96">
        <f t="shared" si="78"/>
        <v>4851.2543076923084</v>
      </c>
      <c r="R348" s="96">
        <f t="shared" si="75"/>
        <v>18023.795692307693</v>
      </c>
      <c r="S348" s="169">
        <f>+[1]Sheet1!$I$604</f>
        <v>-4852.6000000000004</v>
      </c>
      <c r="T348" s="148"/>
    </row>
    <row r="349" spans="1:21">
      <c r="A349" s="171" t="s">
        <v>212</v>
      </c>
      <c r="B349" s="172">
        <v>43799</v>
      </c>
      <c r="C349" s="169">
        <v>28040</v>
      </c>
      <c r="D349" s="99"/>
      <c r="E349" s="99"/>
      <c r="F349" s="99"/>
      <c r="G349" s="95">
        <f t="shared" si="73"/>
        <v>1402</v>
      </c>
      <c r="H349" s="99"/>
      <c r="I349" s="99"/>
      <c r="J349" s="99"/>
      <c r="K349" s="99">
        <f t="shared" si="68"/>
        <v>122</v>
      </c>
      <c r="L349" s="95">
        <f t="shared" si="74"/>
        <v>0.33424657534246577</v>
      </c>
      <c r="M349" s="169">
        <v>1790.42</v>
      </c>
      <c r="N349" s="96">
        <f t="shared" si="69"/>
        <v>26249.58</v>
      </c>
      <c r="O349" s="95">
        <f t="shared" si="70"/>
        <v>4.6657534246575345</v>
      </c>
      <c r="P349" s="95">
        <f t="shared" si="71"/>
        <v>24847.58</v>
      </c>
      <c r="Q349" s="96">
        <f t="shared" si="78"/>
        <v>5325.5236054022316</v>
      </c>
      <c r="R349" s="96">
        <f t="shared" si="75"/>
        <v>20924.05639459777</v>
      </c>
      <c r="S349" s="169">
        <f>+[1]Sheet1!$I$605</f>
        <v>-5327.6</v>
      </c>
      <c r="T349" s="148">
        <f t="shared" si="77"/>
        <v>2.0763945977687399</v>
      </c>
    </row>
    <row r="350" spans="1:21" ht="15.75">
      <c r="A350" s="136"/>
      <c r="B350" s="84"/>
      <c r="C350" s="173"/>
      <c r="D350" s="115"/>
      <c r="E350" s="115"/>
      <c r="F350" s="115"/>
      <c r="G350" s="85"/>
      <c r="H350" s="115"/>
      <c r="I350" s="115"/>
      <c r="J350" s="115"/>
      <c r="K350" s="115"/>
      <c r="L350" s="85"/>
      <c r="M350" s="85"/>
      <c r="N350" s="86"/>
      <c r="O350" s="85"/>
      <c r="P350" s="85"/>
      <c r="Q350" s="86"/>
      <c r="R350" s="86"/>
      <c r="S350" s="112"/>
      <c r="T350" s="148">
        <f t="shared" ref="T350:T392" si="79">+Q350+S350</f>
        <v>0</v>
      </c>
    </row>
    <row r="351" spans="1:21" ht="16.5">
      <c r="A351" s="114" t="s">
        <v>213</v>
      </c>
      <c r="B351" s="115"/>
      <c r="C351" s="174">
        <f>+SUM(C293:C349)</f>
        <v>2722300.6199999996</v>
      </c>
      <c r="D351" s="115"/>
      <c r="E351" s="115"/>
      <c r="F351" s="115"/>
      <c r="G351" s="117">
        <f>+SUM(G293:G349)</f>
        <v>136115.03100000005</v>
      </c>
      <c r="H351" s="115"/>
      <c r="I351" s="115"/>
      <c r="J351" s="115"/>
      <c r="K351" s="115"/>
      <c r="L351" s="85"/>
      <c r="M351" s="117">
        <f>+SUM(M293:M349)</f>
        <v>1789017.92</v>
      </c>
      <c r="N351" s="117">
        <f>+SUM(N293:N349)</f>
        <v>933282.7</v>
      </c>
      <c r="O351" s="85"/>
      <c r="P351" s="117">
        <f>+SUM(P293:P349)</f>
        <v>797167.66899999988</v>
      </c>
      <c r="Q351" s="117">
        <f>+SUM(Q293:Q349)</f>
        <v>366797.55353272735</v>
      </c>
      <c r="R351" s="117">
        <f>+SUM(R293:R349)</f>
        <v>566485.14646727243</v>
      </c>
      <c r="S351" s="148"/>
      <c r="T351" s="148"/>
      <c r="U351" s="149">
        <f>-SUM(S293:S350)</f>
        <v>324703.67</v>
      </c>
    </row>
    <row r="352" spans="1:21" ht="16.5">
      <c r="A352" s="114"/>
      <c r="B352" s="115"/>
      <c r="C352" s="116"/>
      <c r="D352" s="115"/>
      <c r="E352" s="115"/>
      <c r="F352" s="115"/>
      <c r="G352" s="85"/>
      <c r="H352" s="115"/>
      <c r="I352" s="115"/>
      <c r="J352" s="115"/>
      <c r="K352" s="115"/>
      <c r="L352" s="85"/>
      <c r="M352" s="85"/>
      <c r="N352" s="117"/>
      <c r="O352" s="85"/>
      <c r="P352" s="85"/>
      <c r="Q352" s="117"/>
      <c r="R352" s="117"/>
      <c r="S352" s="148"/>
      <c r="T352" s="148">
        <f t="shared" si="79"/>
        <v>0</v>
      </c>
    </row>
    <row r="353" spans="1:23" ht="16.5">
      <c r="A353" s="114" t="s">
        <v>214</v>
      </c>
      <c r="B353" s="115"/>
      <c r="C353" s="115"/>
      <c r="D353" s="115"/>
      <c r="E353" s="115"/>
      <c r="F353" s="115"/>
      <c r="G353" s="85"/>
      <c r="H353" s="115"/>
      <c r="I353" s="115"/>
      <c r="J353" s="115"/>
      <c r="K353" s="115"/>
      <c r="L353" s="85"/>
      <c r="M353" s="85"/>
      <c r="N353" s="86"/>
      <c r="O353" s="85">
        <v>30</v>
      </c>
      <c r="P353" s="85"/>
      <c r="Q353" s="86"/>
      <c r="R353" s="86"/>
      <c r="S353" s="112"/>
      <c r="T353" s="148">
        <f t="shared" si="79"/>
        <v>0</v>
      </c>
    </row>
    <row r="354" spans="1:23">
      <c r="A354" s="99" t="s">
        <v>215</v>
      </c>
      <c r="B354" s="94">
        <v>39609</v>
      </c>
      <c r="C354" s="100">
        <v>23385</v>
      </c>
      <c r="D354" s="99"/>
      <c r="E354" s="99"/>
      <c r="F354" s="99"/>
      <c r="G354" s="95">
        <f t="shared" ref="G354" si="80">C354*5%</f>
        <v>1169.25</v>
      </c>
      <c r="H354" s="99"/>
      <c r="I354" s="99"/>
      <c r="J354" s="99"/>
      <c r="K354" s="99">
        <f>$K$2-B354</f>
        <v>4312</v>
      </c>
      <c r="L354" s="95">
        <f t="shared" ref="L354" si="81">K354/365</f>
        <v>11.813698630136987</v>
      </c>
      <c r="M354" s="124">
        <f>-[1]Sheet1!$G$9</f>
        <v>8931.33</v>
      </c>
      <c r="N354" s="96">
        <f>C354-M354</f>
        <v>14453.67</v>
      </c>
      <c r="O354" s="95">
        <f t="shared" ref="O354" si="82">$O$353-L354</f>
        <v>18.186301369863013</v>
      </c>
      <c r="P354" s="95">
        <f>N354-G354</f>
        <v>13284.42</v>
      </c>
      <c r="Q354" s="96">
        <f t="shared" ref="Q354" si="83">P354/O354</f>
        <v>730.46298583910823</v>
      </c>
      <c r="R354" s="96">
        <f t="shared" ref="R354" si="84">N354-Q354</f>
        <v>13723.207014160891</v>
      </c>
      <c r="S354" s="175">
        <f>+[1]Sheet1!$I$9</f>
        <v>-740.53</v>
      </c>
      <c r="T354" s="120">
        <f t="shared" ref="T354:T357" si="85">-(Q354+S354)</f>
        <v>10.067014160891745</v>
      </c>
    </row>
    <row r="355" spans="1:23">
      <c r="A355" s="99" t="s">
        <v>215</v>
      </c>
      <c r="B355" s="94">
        <v>39903</v>
      </c>
      <c r="C355" s="100">
        <v>66928240</v>
      </c>
      <c r="D355" s="99"/>
      <c r="E355" s="99"/>
      <c r="F355" s="99"/>
      <c r="G355" s="95">
        <f>C355*5%</f>
        <v>3346412</v>
      </c>
      <c r="H355" s="99"/>
      <c r="I355" s="99"/>
      <c r="J355" s="99"/>
      <c r="K355" s="99">
        <f>$K$2-B355</f>
        <v>4018</v>
      </c>
      <c r="L355" s="95">
        <f>K355/365</f>
        <v>11.008219178082191</v>
      </c>
      <c r="M355" s="124">
        <f>-[1]Sheet1!$G$10</f>
        <v>26366383.579999998</v>
      </c>
      <c r="N355" s="96">
        <f>C355-M355</f>
        <v>40561856.420000002</v>
      </c>
      <c r="O355" s="95">
        <f>$O$353-L355</f>
        <v>18.991780821917807</v>
      </c>
      <c r="P355" s="95">
        <f>N355-G355</f>
        <v>37215444.420000002</v>
      </c>
      <c r="Q355" s="96">
        <f>P355/O355</f>
        <v>1959555.2817801503</v>
      </c>
      <c r="R355" s="96">
        <f>N355-Q355</f>
        <v>38602301.138219848</v>
      </c>
      <c r="S355" s="175">
        <f>+[1]Sheet1!$I$10</f>
        <v>-2119394.27</v>
      </c>
      <c r="T355" s="120">
        <f t="shared" si="85"/>
        <v>159838.98821984977</v>
      </c>
      <c r="U355" s="75" t="s">
        <v>216</v>
      </c>
      <c r="V355" s="75">
        <f>+(C355-G355-M355)/O355</f>
        <v>1959555.2817801503</v>
      </c>
      <c r="W355" s="75">
        <f>+C355*95%/30</f>
        <v>2119394.2666666666</v>
      </c>
    </row>
    <row r="356" spans="1:23">
      <c r="A356" s="99" t="s">
        <v>215</v>
      </c>
      <c r="B356" s="94">
        <v>40633</v>
      </c>
      <c r="C356" s="100">
        <v>103124723</v>
      </c>
      <c r="D356" s="99"/>
      <c r="E356" s="99"/>
      <c r="F356" s="99"/>
      <c r="G356" s="95">
        <f>C356*5%</f>
        <v>5156236.1500000004</v>
      </c>
      <c r="H356" s="99"/>
      <c r="I356" s="99"/>
      <c r="J356" s="99"/>
      <c r="K356" s="99">
        <f>$K$2-B356</f>
        <v>3288</v>
      </c>
      <c r="L356" s="95">
        <f>K356/365</f>
        <v>9.0082191780821912</v>
      </c>
      <c r="M356" s="124">
        <f>-[1]Sheet1!$G$11</f>
        <v>29837892.489999998</v>
      </c>
      <c r="N356" s="96">
        <f>C356-M356</f>
        <v>73286830.510000005</v>
      </c>
      <c r="O356" s="95">
        <f>$O$353-L356</f>
        <v>20.991780821917807</v>
      </c>
      <c r="P356" s="95">
        <f>N356-G356</f>
        <v>68130594.359999999</v>
      </c>
      <c r="Q356" s="96">
        <f>P356/O356</f>
        <v>3245584.3045418952</v>
      </c>
      <c r="R356" s="96">
        <f>N356-Q356</f>
        <v>70041246.205458105</v>
      </c>
      <c r="S356" s="175">
        <f>+[1]Sheet1!$I$11</f>
        <v>-3265616.23</v>
      </c>
      <c r="T356" s="120">
        <f t="shared" si="85"/>
        <v>20031.925458104815</v>
      </c>
      <c r="U356" s="75" t="s">
        <v>217</v>
      </c>
      <c r="V356" s="75">
        <f>+(C356-G356-M356)/O356</f>
        <v>3245584.3045418952</v>
      </c>
      <c r="W356" s="75">
        <f>+C356*95%/30</f>
        <v>3265616.228333333</v>
      </c>
    </row>
    <row r="357" spans="1:23">
      <c r="A357" s="99" t="s">
        <v>215</v>
      </c>
      <c r="B357" s="94">
        <v>41364</v>
      </c>
      <c r="C357" s="100">
        <v>17758130</v>
      </c>
      <c r="D357" s="99"/>
      <c r="E357" s="99"/>
      <c r="F357" s="99"/>
      <c r="G357" s="95">
        <f>C357*5%</f>
        <v>887906.5</v>
      </c>
      <c r="H357" s="99"/>
      <c r="I357" s="99"/>
      <c r="J357" s="99"/>
      <c r="K357" s="99">
        <f>$K$2-B357</f>
        <v>2557</v>
      </c>
      <c r="L357" s="95">
        <f>K357/365</f>
        <v>7.0054794520547947</v>
      </c>
      <c r="M357" s="124">
        <f>-[1]Sheet1!$G$12</f>
        <v>3962030.09</v>
      </c>
      <c r="N357" s="96">
        <f>C357-M357</f>
        <v>13796099.91</v>
      </c>
      <c r="O357" s="95">
        <f>$O$353-L357</f>
        <v>22.994520547945207</v>
      </c>
      <c r="P357" s="95">
        <f>N357-G357</f>
        <v>12908193.41</v>
      </c>
      <c r="Q357" s="96">
        <f>P357/O357</f>
        <v>561359.5370725604</v>
      </c>
      <c r="R357" s="96">
        <f>N357-Q357</f>
        <v>13234740.37292744</v>
      </c>
      <c r="S357" s="175">
        <f>+[1]Sheet1!$I$12</f>
        <v>-562340.78</v>
      </c>
      <c r="T357" s="120">
        <f t="shared" si="85"/>
        <v>981.24292743962724</v>
      </c>
      <c r="V357" s="75">
        <f>+(C357-G357-M357)/O357</f>
        <v>561359.5370725604</v>
      </c>
      <c r="W357" s="75">
        <f>+C357*95%/30</f>
        <v>562340.78333333333</v>
      </c>
    </row>
    <row r="358" spans="1:23" ht="16.5">
      <c r="A358" s="114" t="s">
        <v>218</v>
      </c>
      <c r="B358" s="115"/>
      <c r="C358" s="117">
        <f>SUM(C354:C357)</f>
        <v>187834478</v>
      </c>
      <c r="D358" s="115"/>
      <c r="E358" s="115"/>
      <c r="F358" s="115"/>
      <c r="G358" s="117">
        <f>SUM(G354:G357)</f>
        <v>9391723.9000000004</v>
      </c>
      <c r="H358" s="115"/>
      <c r="I358" s="115"/>
      <c r="J358" s="115"/>
      <c r="K358" s="115"/>
      <c r="L358" s="85"/>
      <c r="M358" s="117">
        <f>SUM(M354:M357)</f>
        <v>60175237.489999995</v>
      </c>
      <c r="N358" s="117">
        <f>SUM(N354:N357)</f>
        <v>127659240.51000001</v>
      </c>
      <c r="O358" s="85"/>
      <c r="P358" s="117">
        <f>SUM(P354:P357)</f>
        <v>118267516.61</v>
      </c>
      <c r="Q358" s="176">
        <f>SUM(Q354:Q357)</f>
        <v>5767229.5863804454</v>
      </c>
      <c r="R358" s="117">
        <f>SUM(R354:R357)</f>
        <v>121892010.92361955</v>
      </c>
      <c r="S358" s="148"/>
      <c r="T358" s="148"/>
      <c r="U358" s="149">
        <f>-SUM(S354:S357)</f>
        <v>5948091.8099999996</v>
      </c>
    </row>
    <row r="359" spans="1:23" ht="16.5">
      <c r="A359" s="114"/>
      <c r="B359" s="115"/>
      <c r="C359" s="116"/>
      <c r="D359" s="115"/>
      <c r="E359" s="115"/>
      <c r="F359" s="115"/>
      <c r="G359" s="85"/>
      <c r="H359" s="115"/>
      <c r="I359" s="115"/>
      <c r="J359" s="115"/>
      <c r="K359" s="115"/>
      <c r="L359" s="85"/>
      <c r="M359" s="85"/>
      <c r="N359" s="86"/>
      <c r="O359" s="85"/>
      <c r="P359" s="85"/>
      <c r="Q359" s="117"/>
      <c r="R359" s="117"/>
      <c r="S359" s="148"/>
      <c r="T359" s="148">
        <f t="shared" si="79"/>
        <v>0</v>
      </c>
    </row>
    <row r="360" spans="1:23" ht="16.5">
      <c r="A360" s="114" t="s">
        <v>219</v>
      </c>
      <c r="B360" s="115"/>
      <c r="C360" s="115"/>
      <c r="D360" s="115"/>
      <c r="E360" s="115"/>
      <c r="F360" s="115"/>
      <c r="G360" s="85"/>
      <c r="H360" s="115"/>
      <c r="I360" s="115"/>
      <c r="J360" s="115"/>
      <c r="K360" s="115"/>
      <c r="L360" s="85"/>
      <c r="M360" s="85"/>
      <c r="N360" s="86"/>
      <c r="O360" s="85">
        <v>30</v>
      </c>
      <c r="P360" s="85"/>
      <c r="Q360" s="86"/>
      <c r="R360" s="86"/>
      <c r="S360" s="148"/>
      <c r="T360" s="148">
        <f t="shared" si="79"/>
        <v>0</v>
      </c>
    </row>
    <row r="361" spans="1:23" ht="16.5">
      <c r="A361" s="99" t="s">
        <v>215</v>
      </c>
      <c r="B361" s="94">
        <v>39539</v>
      </c>
      <c r="C361" s="177">
        <v>4800</v>
      </c>
      <c r="D361" s="99"/>
      <c r="E361" s="99"/>
      <c r="F361" s="99"/>
      <c r="G361" s="95">
        <f t="shared" ref="G361" si="86">C361*5%</f>
        <v>240</v>
      </c>
      <c r="H361" s="99"/>
      <c r="I361" s="99"/>
      <c r="J361" s="99"/>
      <c r="K361" s="99">
        <f>$K$2-B361</f>
        <v>4382</v>
      </c>
      <c r="L361" s="95">
        <f t="shared" ref="L361" si="87">K361/365</f>
        <v>12.005479452054795</v>
      </c>
      <c r="M361" s="124">
        <f>-[1]Sheet1!$G$2</f>
        <v>1473.7</v>
      </c>
      <c r="N361" s="96">
        <f>C361-M361</f>
        <v>3326.3</v>
      </c>
      <c r="O361" s="95">
        <f t="shared" ref="O361" si="88">$O$360-L361</f>
        <v>17.994520547945207</v>
      </c>
      <c r="P361" s="95">
        <f>N361-G361</f>
        <v>3086.3</v>
      </c>
      <c r="Q361" s="96">
        <f>P361/O361</f>
        <v>171.51332216808768</v>
      </c>
      <c r="R361" s="96">
        <f t="shared" ref="R361" si="89">N361-Q361</f>
        <v>3154.7866778319126</v>
      </c>
      <c r="S361" s="175">
        <f>+[1]Sheet1!$I$2</f>
        <v>-152</v>
      </c>
      <c r="T361" s="120">
        <f t="shared" ref="T361:T365" si="90">-(Q361+S361)</f>
        <v>-19.513322168087683</v>
      </c>
      <c r="U361" s="75" t="s">
        <v>217</v>
      </c>
      <c r="V361" s="104">
        <f t="shared" ref="V361:V365" si="91">+(C361-G361-M361)/O361</f>
        <v>171.51332216808768</v>
      </c>
      <c r="W361" s="104">
        <f t="shared" ref="W361:W365" si="92">+C361*95%/30</f>
        <v>152</v>
      </c>
    </row>
    <row r="362" spans="1:23">
      <c r="A362" s="99" t="s">
        <v>215</v>
      </c>
      <c r="B362" s="94">
        <v>39574</v>
      </c>
      <c r="C362" s="100">
        <v>49972</v>
      </c>
      <c r="D362" s="99"/>
      <c r="E362" s="99"/>
      <c r="F362" s="99"/>
      <c r="G362" s="95">
        <f>C362*5%</f>
        <v>2498.6000000000004</v>
      </c>
      <c r="H362" s="99"/>
      <c r="I362" s="99"/>
      <c r="J362" s="99"/>
      <c r="K362" s="99">
        <f>$K$2-B362</f>
        <v>4347</v>
      </c>
      <c r="L362" s="95">
        <f>K362/365</f>
        <v>11.90958904109589</v>
      </c>
      <c r="M362" s="124">
        <f>-[1]Sheet1!$G$3</f>
        <v>47473.4</v>
      </c>
      <c r="N362" s="96">
        <f>C362-M362</f>
        <v>2498.5999999999985</v>
      </c>
      <c r="O362" s="95">
        <f>$O$360-L362</f>
        <v>18.090410958904108</v>
      </c>
      <c r="P362" s="95">
        <f>N362-G362</f>
        <v>0</v>
      </c>
      <c r="Q362" s="96">
        <f>P362/O362</f>
        <v>0</v>
      </c>
      <c r="R362" s="96">
        <f>N362-Q362</f>
        <v>2498.5999999999985</v>
      </c>
      <c r="S362" s="175">
        <f>+[1]Sheet1!$I$3</f>
        <v>0</v>
      </c>
      <c r="T362" s="120">
        <f t="shared" si="90"/>
        <v>0</v>
      </c>
      <c r="U362" s="75" t="s">
        <v>217</v>
      </c>
      <c r="V362" s="104">
        <f t="shared" si="91"/>
        <v>0</v>
      </c>
      <c r="W362" s="104">
        <v>0</v>
      </c>
    </row>
    <row r="363" spans="1:23">
      <c r="A363" s="99" t="s">
        <v>215</v>
      </c>
      <c r="B363" s="94">
        <v>39637</v>
      </c>
      <c r="C363" s="100">
        <v>84328</v>
      </c>
      <c r="D363" s="99"/>
      <c r="E363" s="99"/>
      <c r="F363" s="99"/>
      <c r="G363" s="95">
        <f>C363*5%</f>
        <v>4216.4000000000005</v>
      </c>
      <c r="H363" s="99"/>
      <c r="I363" s="99"/>
      <c r="J363" s="99"/>
      <c r="K363" s="99">
        <f>$K$2-B363</f>
        <v>4284</v>
      </c>
      <c r="L363" s="95">
        <f>K363/365</f>
        <v>11.736986301369862</v>
      </c>
      <c r="M363" s="124">
        <f>-[1]Sheet1!$G$4</f>
        <v>25431.84</v>
      </c>
      <c r="N363" s="96">
        <f>C363-M363</f>
        <v>58896.160000000003</v>
      </c>
      <c r="O363" s="95">
        <f>$O$360-L363</f>
        <v>18.263013698630139</v>
      </c>
      <c r="P363" s="95">
        <f>N363-G363</f>
        <v>54679.76</v>
      </c>
      <c r="Q363" s="96">
        <f>P363/O363</f>
        <v>2994.0162616261623</v>
      </c>
      <c r="R363" s="96">
        <f>N363-Q363</f>
        <v>55902.143738373838</v>
      </c>
      <c r="S363" s="175">
        <f>+[1]Sheet1!$I$4</f>
        <v>-2670.39</v>
      </c>
      <c r="T363" s="120">
        <f t="shared" si="90"/>
        <v>-323.62626162616243</v>
      </c>
      <c r="U363" s="75" t="s">
        <v>217</v>
      </c>
      <c r="V363" s="104">
        <f t="shared" si="91"/>
        <v>2994.0162616261628</v>
      </c>
      <c r="W363" s="104">
        <f t="shared" si="92"/>
        <v>2670.3866666666663</v>
      </c>
    </row>
    <row r="364" spans="1:23">
      <c r="A364" s="99" t="s">
        <v>215</v>
      </c>
      <c r="B364" s="94">
        <v>39903</v>
      </c>
      <c r="C364" s="100">
        <v>57706</v>
      </c>
      <c r="D364" s="99"/>
      <c r="E364" s="99"/>
      <c r="F364" s="99"/>
      <c r="G364" s="95">
        <f>C364*5%</f>
        <v>2885.3</v>
      </c>
      <c r="H364" s="99"/>
      <c r="I364" s="99"/>
      <c r="J364" s="99"/>
      <c r="K364" s="99">
        <f>$K$2-B364</f>
        <v>4018</v>
      </c>
      <c r="L364" s="95">
        <f>K364/365</f>
        <v>11.008219178082191</v>
      </c>
      <c r="M364" s="124">
        <f>-[1]Sheet1!$G$5</f>
        <v>16557.810000000001</v>
      </c>
      <c r="N364" s="96">
        <f>C364-M364</f>
        <v>41148.19</v>
      </c>
      <c r="O364" s="95">
        <f>$O$360-L364</f>
        <v>18.991780821917807</v>
      </c>
      <c r="P364" s="95">
        <f>N364-G364</f>
        <v>38262.89</v>
      </c>
      <c r="Q364" s="96">
        <f>P364/O364</f>
        <v>2014.7078548759378</v>
      </c>
      <c r="R364" s="96">
        <f>N364-Q364</f>
        <v>39133.482145124064</v>
      </c>
      <c r="S364" s="175">
        <f>+[1]Sheet1!$I$5</f>
        <v>-1827.36</v>
      </c>
      <c r="T364" s="120">
        <f t="shared" si="90"/>
        <v>-187.34785487593786</v>
      </c>
      <c r="U364" s="75" t="s">
        <v>217</v>
      </c>
      <c r="V364" s="104">
        <f t="shared" si="91"/>
        <v>2014.7078548759378</v>
      </c>
      <c r="W364" s="104">
        <f t="shared" si="92"/>
        <v>1827.3566666666666</v>
      </c>
    </row>
    <row r="365" spans="1:23">
      <c r="A365" s="99" t="s">
        <v>215</v>
      </c>
      <c r="B365" s="94">
        <v>40633</v>
      </c>
      <c r="C365" s="100">
        <v>6184580</v>
      </c>
      <c r="D365" s="99"/>
      <c r="E365" s="99"/>
      <c r="F365" s="99"/>
      <c r="G365" s="95">
        <f>C365*5%</f>
        <v>309229</v>
      </c>
      <c r="H365" s="99"/>
      <c r="I365" s="99"/>
      <c r="J365" s="99"/>
      <c r="K365" s="99">
        <f>$K$2-B365</f>
        <v>3288</v>
      </c>
      <c r="L365" s="95">
        <f>K365/365</f>
        <v>9.0082191780821912</v>
      </c>
      <c r="M365" s="124">
        <f>-[1]Sheet1!$G$6</f>
        <v>1530691.79</v>
      </c>
      <c r="N365" s="96">
        <f>C365-M365</f>
        <v>4653888.21</v>
      </c>
      <c r="O365" s="95">
        <f>$O$360-L365</f>
        <v>20.991780821917807</v>
      </c>
      <c r="P365" s="95">
        <f>N365-G365</f>
        <v>4344659.21</v>
      </c>
      <c r="Q365" s="96">
        <f>P365/O365</f>
        <v>206969.53950013052</v>
      </c>
      <c r="R365" s="96">
        <f>N365-Q365</f>
        <v>4446918.6704998696</v>
      </c>
      <c r="S365" s="175">
        <f>+[1]Sheet1!$I$6</f>
        <v>-195845.03</v>
      </c>
      <c r="T365" s="120">
        <f t="shared" si="90"/>
        <v>-11124.509500130516</v>
      </c>
      <c r="U365" s="75" t="s">
        <v>217</v>
      </c>
      <c r="V365" s="104">
        <f t="shared" si="91"/>
        <v>206969.53950013052</v>
      </c>
      <c r="W365" s="104">
        <f t="shared" si="92"/>
        <v>195845.03333333333</v>
      </c>
    </row>
    <row r="366" spans="1:23" ht="16.5">
      <c r="A366" s="114" t="s">
        <v>220</v>
      </c>
      <c r="B366" s="115"/>
      <c r="C366" s="117">
        <f>SUM(C361:C365)</f>
        <v>6381386</v>
      </c>
      <c r="D366" s="115"/>
      <c r="E366" s="115"/>
      <c r="F366" s="115"/>
      <c r="G366" s="117">
        <f>SUM(G361:G365)</f>
        <v>319069.3</v>
      </c>
      <c r="H366" s="115"/>
      <c r="I366" s="115"/>
      <c r="J366" s="115"/>
      <c r="K366" s="115"/>
      <c r="L366" s="85"/>
      <c r="M366" s="85">
        <f>+SUM(M361:M365)</f>
        <v>1621628.54</v>
      </c>
      <c r="N366" s="117">
        <f>SUM(N361:N365)</f>
        <v>4759757.46</v>
      </c>
      <c r="O366" s="85"/>
      <c r="P366" s="117">
        <f>SUM(P361:P365)</f>
        <v>4440688.16</v>
      </c>
      <c r="Q366" s="176">
        <f>SUM(Q361:Q365)</f>
        <v>212149.7769388007</v>
      </c>
      <c r="R366" s="117">
        <f>SUM(R361:R365)</f>
        <v>4547607.6830611993</v>
      </c>
      <c r="S366" s="148"/>
      <c r="T366" s="148"/>
      <c r="U366" s="149">
        <f>-SUM(S361:S365)</f>
        <v>200494.78</v>
      </c>
    </row>
    <row r="367" spans="1:23" ht="16.5">
      <c r="A367" s="114"/>
      <c r="B367" s="115"/>
      <c r="C367" s="116"/>
      <c r="D367" s="115"/>
      <c r="E367" s="115"/>
      <c r="F367" s="115"/>
      <c r="G367" s="85"/>
      <c r="H367" s="115"/>
      <c r="I367" s="115"/>
      <c r="J367" s="115"/>
      <c r="K367" s="115"/>
      <c r="L367" s="85"/>
      <c r="M367" s="85"/>
      <c r="N367" s="86"/>
      <c r="O367" s="85"/>
      <c r="P367" s="85"/>
      <c r="Q367" s="117"/>
      <c r="R367" s="117"/>
      <c r="S367" s="104"/>
      <c r="T367" s="104">
        <f t="shared" si="79"/>
        <v>0</v>
      </c>
    </row>
    <row r="368" spans="1:23" ht="16.5">
      <c r="A368" s="114" t="s">
        <v>221</v>
      </c>
      <c r="B368" s="115"/>
      <c r="C368" s="115"/>
      <c r="D368" s="115"/>
      <c r="E368" s="115"/>
      <c r="F368" s="115"/>
      <c r="G368" s="85"/>
      <c r="H368" s="115"/>
      <c r="I368" s="115"/>
      <c r="J368" s="115"/>
      <c r="K368" s="115"/>
      <c r="L368" s="85"/>
      <c r="M368" s="85"/>
      <c r="N368" s="86"/>
      <c r="O368" s="85">
        <v>10</v>
      </c>
      <c r="P368" s="85">
        <v>20</v>
      </c>
      <c r="Q368" s="86"/>
      <c r="R368" s="86"/>
      <c r="S368" s="104"/>
      <c r="T368" s="104">
        <f t="shared" si="79"/>
        <v>0</v>
      </c>
    </row>
    <row r="369" spans="1:23">
      <c r="A369" s="99" t="s">
        <v>222</v>
      </c>
      <c r="B369" s="94">
        <v>39539</v>
      </c>
      <c r="C369" s="100">
        <v>281685</v>
      </c>
      <c r="D369" s="99"/>
      <c r="E369" s="99"/>
      <c r="F369" s="99"/>
      <c r="G369" s="95">
        <f>C369*5%</f>
        <v>14084.25</v>
      </c>
      <c r="H369" s="99"/>
      <c r="I369" s="99"/>
      <c r="J369" s="99"/>
      <c r="K369" s="99">
        <f t="shared" ref="K369:K387" si="93">$K$2-B369</f>
        <v>4382</v>
      </c>
      <c r="L369" s="95">
        <f t="shared" ref="L369:L387" si="94">K369/365</f>
        <v>12.005479452054795</v>
      </c>
      <c r="M369" s="124">
        <f>-[1]Sheet1!$G$240</f>
        <v>267729</v>
      </c>
      <c r="N369" s="96">
        <f t="shared" ref="N369:N387" si="95">C369-M369</f>
        <v>13956</v>
      </c>
      <c r="O369" s="95">
        <f>$O$368-L369</f>
        <v>-2.0054794520547947</v>
      </c>
      <c r="P369" s="95">
        <v>0</v>
      </c>
      <c r="Q369" s="96">
        <f t="shared" ref="Q369:Q387" si="96">P369/O369</f>
        <v>0</v>
      </c>
      <c r="R369" s="96">
        <f t="shared" ref="R369:R387" si="97">N369-Q369</f>
        <v>13956</v>
      </c>
      <c r="S369" s="178">
        <v>0</v>
      </c>
      <c r="T369" s="104">
        <f t="shared" si="79"/>
        <v>0</v>
      </c>
    </row>
    <row r="370" spans="1:23">
      <c r="A370" s="99" t="s">
        <v>222</v>
      </c>
      <c r="B370" s="94">
        <v>39547</v>
      </c>
      <c r="C370" s="100">
        <v>277875</v>
      </c>
      <c r="D370" s="99"/>
      <c r="E370" s="99"/>
      <c r="F370" s="99"/>
      <c r="G370" s="95">
        <f t="shared" ref="G370:G387" si="98">C370*5%</f>
        <v>13893.75</v>
      </c>
      <c r="H370" s="99"/>
      <c r="I370" s="99"/>
      <c r="J370" s="99"/>
      <c r="K370" s="99">
        <f t="shared" si="93"/>
        <v>4374</v>
      </c>
      <c r="L370" s="95">
        <f t="shared" si="94"/>
        <v>11.983561643835616</v>
      </c>
      <c r="M370" s="124">
        <f>-[1]Sheet1!$G$241-[1]Sheet1!$G$242</f>
        <v>263981.25</v>
      </c>
      <c r="N370" s="96">
        <f t="shared" si="95"/>
        <v>13893.75</v>
      </c>
      <c r="O370" s="95">
        <f t="shared" ref="O370:O382" si="99">$O$368-L370</f>
        <v>-1.9835616438356158</v>
      </c>
      <c r="P370" s="95">
        <f t="shared" ref="P370:P387" si="100">N370-G370</f>
        <v>0</v>
      </c>
      <c r="Q370" s="96">
        <f t="shared" ref="Q370:Q380" si="101">P370</f>
        <v>0</v>
      </c>
      <c r="R370" s="96">
        <f t="shared" si="97"/>
        <v>13893.75</v>
      </c>
      <c r="S370" s="178">
        <f t="shared" ref="S370:S380" si="102">Q370-J370</f>
        <v>0</v>
      </c>
      <c r="T370" s="104">
        <f t="shared" si="79"/>
        <v>0</v>
      </c>
    </row>
    <row r="371" spans="1:23">
      <c r="A371" s="99" t="s">
        <v>222</v>
      </c>
      <c r="B371" s="94">
        <v>39548</v>
      </c>
      <c r="C371" s="100">
        <v>22042</v>
      </c>
      <c r="D371" s="99"/>
      <c r="E371" s="99"/>
      <c r="F371" s="99"/>
      <c r="G371" s="95">
        <f t="shared" si="98"/>
        <v>1102.1000000000001</v>
      </c>
      <c r="H371" s="99"/>
      <c r="I371" s="99"/>
      <c r="J371" s="99"/>
      <c r="K371" s="99">
        <f t="shared" si="93"/>
        <v>4373</v>
      </c>
      <c r="L371" s="95">
        <f t="shared" si="94"/>
        <v>11.980821917808219</v>
      </c>
      <c r="M371" s="101">
        <v>20939.900000000001</v>
      </c>
      <c r="N371" s="96">
        <f t="shared" si="95"/>
        <v>1102.0999999999985</v>
      </c>
      <c r="O371" s="95">
        <f t="shared" si="99"/>
        <v>-1.9808219178082194</v>
      </c>
      <c r="P371" s="95">
        <f t="shared" si="100"/>
        <v>0</v>
      </c>
      <c r="Q371" s="96">
        <f t="shared" si="101"/>
        <v>0</v>
      </c>
      <c r="R371" s="96">
        <f t="shared" si="97"/>
        <v>1102.0999999999985</v>
      </c>
      <c r="S371" s="178">
        <f t="shared" si="102"/>
        <v>0</v>
      </c>
      <c r="T371" s="104">
        <f t="shared" si="79"/>
        <v>0</v>
      </c>
    </row>
    <row r="372" spans="1:23">
      <c r="A372" s="99" t="s">
        <v>222</v>
      </c>
      <c r="B372" s="94">
        <v>39561</v>
      </c>
      <c r="C372" s="100">
        <v>500000</v>
      </c>
      <c r="D372" s="99"/>
      <c r="E372" s="99"/>
      <c r="F372" s="99"/>
      <c r="G372" s="95">
        <f t="shared" si="98"/>
        <v>25000</v>
      </c>
      <c r="H372" s="99"/>
      <c r="I372" s="99"/>
      <c r="J372" s="99"/>
      <c r="K372" s="99">
        <f t="shared" si="93"/>
        <v>4360</v>
      </c>
      <c r="L372" s="95">
        <f t="shared" si="94"/>
        <v>11.945205479452055</v>
      </c>
      <c r="M372" s="101">
        <v>475000</v>
      </c>
      <c r="N372" s="96">
        <f t="shared" si="95"/>
        <v>25000</v>
      </c>
      <c r="O372" s="95">
        <f t="shared" si="99"/>
        <v>-1.9452054794520546</v>
      </c>
      <c r="P372" s="95">
        <f t="shared" si="100"/>
        <v>0</v>
      </c>
      <c r="Q372" s="96">
        <f t="shared" si="101"/>
        <v>0</v>
      </c>
      <c r="R372" s="96">
        <f t="shared" si="97"/>
        <v>25000</v>
      </c>
      <c r="S372" s="178">
        <f t="shared" si="102"/>
        <v>0</v>
      </c>
      <c r="T372" s="104">
        <f t="shared" si="79"/>
        <v>0</v>
      </c>
    </row>
    <row r="373" spans="1:23">
      <c r="A373" s="99" t="s">
        <v>222</v>
      </c>
      <c r="B373" s="94">
        <v>39568</v>
      </c>
      <c r="C373" s="100">
        <v>26000</v>
      </c>
      <c r="D373" s="99"/>
      <c r="E373" s="99"/>
      <c r="F373" s="99"/>
      <c r="G373" s="95">
        <f t="shared" si="98"/>
        <v>1300</v>
      </c>
      <c r="H373" s="99"/>
      <c r="I373" s="99"/>
      <c r="J373" s="99"/>
      <c r="K373" s="99">
        <f t="shared" si="93"/>
        <v>4353</v>
      </c>
      <c r="L373" s="95">
        <f t="shared" si="94"/>
        <v>11.926027397260274</v>
      </c>
      <c r="M373" s="101">
        <v>24700</v>
      </c>
      <c r="N373" s="96">
        <f t="shared" si="95"/>
        <v>1300</v>
      </c>
      <c r="O373" s="95">
        <f t="shared" si="99"/>
        <v>-1.9260273972602739</v>
      </c>
      <c r="P373" s="95">
        <f t="shared" si="100"/>
        <v>0</v>
      </c>
      <c r="Q373" s="96">
        <f t="shared" si="101"/>
        <v>0</v>
      </c>
      <c r="R373" s="96">
        <f t="shared" si="97"/>
        <v>1300</v>
      </c>
      <c r="S373" s="178">
        <f t="shared" si="102"/>
        <v>0</v>
      </c>
      <c r="T373" s="104">
        <f t="shared" si="79"/>
        <v>0</v>
      </c>
    </row>
    <row r="374" spans="1:23">
      <c r="A374" s="99" t="s">
        <v>222</v>
      </c>
      <c r="B374" s="94">
        <v>39571</v>
      </c>
      <c r="C374" s="100">
        <v>8200</v>
      </c>
      <c r="D374" s="99"/>
      <c r="E374" s="99"/>
      <c r="F374" s="99"/>
      <c r="G374" s="95">
        <f t="shared" si="98"/>
        <v>410</v>
      </c>
      <c r="H374" s="99"/>
      <c r="I374" s="99"/>
      <c r="J374" s="99"/>
      <c r="K374" s="99">
        <f t="shared" si="93"/>
        <v>4350</v>
      </c>
      <c r="L374" s="95">
        <f t="shared" si="94"/>
        <v>11.917808219178083</v>
      </c>
      <c r="M374" s="101">
        <v>7790</v>
      </c>
      <c r="N374" s="96">
        <f t="shared" si="95"/>
        <v>410</v>
      </c>
      <c r="O374" s="95">
        <f t="shared" si="99"/>
        <v>-1.9178082191780828</v>
      </c>
      <c r="P374" s="95">
        <f t="shared" si="100"/>
        <v>0</v>
      </c>
      <c r="Q374" s="96">
        <f t="shared" si="101"/>
        <v>0</v>
      </c>
      <c r="R374" s="96">
        <f t="shared" si="97"/>
        <v>410</v>
      </c>
      <c r="S374" s="178">
        <f t="shared" si="102"/>
        <v>0</v>
      </c>
      <c r="T374" s="104">
        <f t="shared" si="79"/>
        <v>0</v>
      </c>
    </row>
    <row r="375" spans="1:23">
      <c r="A375" s="99" t="s">
        <v>222</v>
      </c>
      <c r="B375" s="94">
        <v>39578</v>
      </c>
      <c r="C375" s="100">
        <v>3100</v>
      </c>
      <c r="D375" s="99"/>
      <c r="E375" s="99"/>
      <c r="F375" s="99"/>
      <c r="G375" s="95">
        <f t="shared" si="98"/>
        <v>155</v>
      </c>
      <c r="H375" s="99"/>
      <c r="I375" s="99"/>
      <c r="J375" s="99"/>
      <c r="K375" s="99">
        <f t="shared" si="93"/>
        <v>4343</v>
      </c>
      <c r="L375" s="95">
        <f t="shared" si="94"/>
        <v>11.898630136986302</v>
      </c>
      <c r="M375" s="101">
        <v>2945</v>
      </c>
      <c r="N375" s="96">
        <f t="shared" si="95"/>
        <v>155</v>
      </c>
      <c r="O375" s="95">
        <f t="shared" si="99"/>
        <v>-1.8986301369863021</v>
      </c>
      <c r="P375" s="95">
        <f t="shared" si="100"/>
        <v>0</v>
      </c>
      <c r="Q375" s="96">
        <f t="shared" si="101"/>
        <v>0</v>
      </c>
      <c r="R375" s="96">
        <f t="shared" si="97"/>
        <v>155</v>
      </c>
      <c r="S375" s="178">
        <f t="shared" si="102"/>
        <v>0</v>
      </c>
      <c r="T375" s="104">
        <f t="shared" si="79"/>
        <v>0</v>
      </c>
    </row>
    <row r="376" spans="1:23">
      <c r="A376" s="99" t="s">
        <v>222</v>
      </c>
      <c r="B376" s="94">
        <v>39580</v>
      </c>
      <c r="C376" s="100">
        <v>3400</v>
      </c>
      <c r="D376" s="99"/>
      <c r="E376" s="99"/>
      <c r="F376" s="99"/>
      <c r="G376" s="95">
        <f t="shared" si="98"/>
        <v>170</v>
      </c>
      <c r="H376" s="99"/>
      <c r="I376" s="99"/>
      <c r="J376" s="99"/>
      <c r="K376" s="99">
        <f t="shared" si="93"/>
        <v>4341</v>
      </c>
      <c r="L376" s="95">
        <f t="shared" si="94"/>
        <v>11.893150684931507</v>
      </c>
      <c r="M376" s="101">
        <v>3230</v>
      </c>
      <c r="N376" s="96">
        <f t="shared" si="95"/>
        <v>170</v>
      </c>
      <c r="O376" s="95">
        <f t="shared" si="99"/>
        <v>-1.8931506849315074</v>
      </c>
      <c r="P376" s="95">
        <f t="shared" si="100"/>
        <v>0</v>
      </c>
      <c r="Q376" s="96">
        <f t="shared" si="101"/>
        <v>0</v>
      </c>
      <c r="R376" s="96">
        <f t="shared" si="97"/>
        <v>170</v>
      </c>
      <c r="S376" s="178">
        <f t="shared" si="102"/>
        <v>0</v>
      </c>
      <c r="T376" s="104">
        <f t="shared" si="79"/>
        <v>0</v>
      </c>
    </row>
    <row r="377" spans="1:23">
      <c r="A377" s="99" t="s">
        <v>222</v>
      </c>
      <c r="B377" s="94">
        <v>39903</v>
      </c>
      <c r="C377" s="100">
        <f>2747889+5501475</f>
        <v>8249364</v>
      </c>
      <c r="D377" s="99"/>
      <c r="E377" s="99"/>
      <c r="F377" s="99"/>
      <c r="G377" s="95">
        <f t="shared" si="98"/>
        <v>412468.2</v>
      </c>
      <c r="H377" s="99"/>
      <c r="I377" s="99"/>
      <c r="J377" s="99"/>
      <c r="K377" s="99">
        <f t="shared" si="93"/>
        <v>4018</v>
      </c>
      <c r="L377" s="95">
        <f t="shared" si="94"/>
        <v>11.008219178082191</v>
      </c>
      <c r="M377" s="101">
        <f>-[1]Sheet1!$G$249</f>
        <v>7836895.7999999998</v>
      </c>
      <c r="N377" s="96">
        <f t="shared" si="95"/>
        <v>412468.20000000019</v>
      </c>
      <c r="O377" s="95">
        <f t="shared" si="99"/>
        <v>-1.0082191780821912</v>
      </c>
      <c r="P377" s="95">
        <f t="shared" si="100"/>
        <v>0</v>
      </c>
      <c r="Q377" s="96">
        <f t="shared" si="101"/>
        <v>0</v>
      </c>
      <c r="R377" s="96">
        <f t="shared" si="97"/>
        <v>412468.20000000019</v>
      </c>
      <c r="S377" s="178">
        <f t="shared" si="102"/>
        <v>0</v>
      </c>
      <c r="T377" s="104">
        <f t="shared" si="79"/>
        <v>0</v>
      </c>
    </row>
    <row r="378" spans="1:23">
      <c r="A378" s="99" t="s">
        <v>223</v>
      </c>
      <c r="B378" s="94">
        <v>39903</v>
      </c>
      <c r="C378" s="100">
        <v>7993916</v>
      </c>
      <c r="D378" s="99"/>
      <c r="E378" s="99"/>
      <c r="F378" s="99"/>
      <c r="G378" s="95">
        <f t="shared" si="98"/>
        <v>399695.80000000005</v>
      </c>
      <c r="H378" s="99"/>
      <c r="I378" s="99"/>
      <c r="J378" s="99"/>
      <c r="K378" s="99">
        <f t="shared" si="93"/>
        <v>4018</v>
      </c>
      <c r="L378" s="95">
        <f t="shared" si="94"/>
        <v>11.008219178082191</v>
      </c>
      <c r="M378" s="101">
        <v>7594220.2000000002</v>
      </c>
      <c r="N378" s="96">
        <f t="shared" si="95"/>
        <v>399695.79999999981</v>
      </c>
      <c r="O378" s="95">
        <f t="shared" si="99"/>
        <v>-1.0082191780821912</v>
      </c>
      <c r="P378" s="95">
        <f t="shared" si="100"/>
        <v>0</v>
      </c>
      <c r="Q378" s="96">
        <f t="shared" si="101"/>
        <v>0</v>
      </c>
      <c r="R378" s="96">
        <f t="shared" si="97"/>
        <v>399695.79999999981</v>
      </c>
      <c r="S378" s="178">
        <f t="shared" si="102"/>
        <v>0</v>
      </c>
      <c r="T378" s="104">
        <f t="shared" si="79"/>
        <v>0</v>
      </c>
    </row>
    <row r="379" spans="1:23">
      <c r="A379" s="99" t="s">
        <v>224</v>
      </c>
      <c r="B379" s="94">
        <v>39903</v>
      </c>
      <c r="C379" s="100">
        <v>12314973</v>
      </c>
      <c r="D379" s="99"/>
      <c r="E379" s="99"/>
      <c r="F379" s="99"/>
      <c r="G379" s="95">
        <f t="shared" si="98"/>
        <v>615748.65</v>
      </c>
      <c r="H379" s="99"/>
      <c r="I379" s="99"/>
      <c r="J379" s="99"/>
      <c r="K379" s="99">
        <f t="shared" si="93"/>
        <v>4018</v>
      </c>
      <c r="L379" s="95">
        <f t="shared" si="94"/>
        <v>11.008219178082191</v>
      </c>
      <c r="M379" s="101">
        <v>11699224.35</v>
      </c>
      <c r="N379" s="96">
        <f t="shared" si="95"/>
        <v>615748.65000000037</v>
      </c>
      <c r="O379" s="95">
        <f t="shared" si="99"/>
        <v>-1.0082191780821912</v>
      </c>
      <c r="P379" s="95">
        <f t="shared" si="100"/>
        <v>0</v>
      </c>
      <c r="Q379" s="96">
        <f t="shared" si="101"/>
        <v>0</v>
      </c>
      <c r="R379" s="96">
        <f t="shared" si="97"/>
        <v>615748.65000000037</v>
      </c>
      <c r="S379" s="178">
        <f t="shared" si="102"/>
        <v>0</v>
      </c>
      <c r="T379" s="104">
        <f t="shared" si="79"/>
        <v>0</v>
      </c>
    </row>
    <row r="380" spans="1:23">
      <c r="A380" s="99" t="s">
        <v>225</v>
      </c>
      <c r="B380" s="94">
        <v>39903</v>
      </c>
      <c r="C380" s="100">
        <v>970775</v>
      </c>
      <c r="D380" s="99"/>
      <c r="E380" s="99"/>
      <c r="F380" s="99"/>
      <c r="G380" s="95">
        <f t="shared" si="98"/>
        <v>48538.75</v>
      </c>
      <c r="H380" s="99"/>
      <c r="I380" s="99"/>
      <c r="J380" s="99"/>
      <c r="K380" s="99">
        <f t="shared" si="93"/>
        <v>4018</v>
      </c>
      <c r="L380" s="95">
        <f t="shared" si="94"/>
        <v>11.008219178082191</v>
      </c>
      <c r="M380" s="101">
        <v>922236.25</v>
      </c>
      <c r="N380" s="96">
        <f t="shared" si="95"/>
        <v>48538.75</v>
      </c>
      <c r="O380" s="95">
        <f t="shared" si="99"/>
        <v>-1.0082191780821912</v>
      </c>
      <c r="P380" s="95">
        <f t="shared" si="100"/>
        <v>0</v>
      </c>
      <c r="Q380" s="96">
        <f t="shared" si="101"/>
        <v>0</v>
      </c>
      <c r="R380" s="96">
        <f t="shared" si="97"/>
        <v>48538.75</v>
      </c>
      <c r="S380" s="178">
        <f t="shared" si="102"/>
        <v>0</v>
      </c>
      <c r="T380" s="104">
        <f t="shared" si="79"/>
        <v>0</v>
      </c>
    </row>
    <row r="381" spans="1:23">
      <c r="A381" s="179" t="s">
        <v>222</v>
      </c>
      <c r="B381" s="180">
        <v>40481</v>
      </c>
      <c r="C381" s="181">
        <v>50186400</v>
      </c>
      <c r="D381" s="182"/>
      <c r="E381" s="182"/>
      <c r="F381" s="182"/>
      <c r="G381" s="183">
        <f t="shared" si="98"/>
        <v>2509320</v>
      </c>
      <c r="H381" s="182"/>
      <c r="I381" s="182"/>
      <c r="J381" s="182"/>
      <c r="K381" s="182">
        <f t="shared" si="93"/>
        <v>3440</v>
      </c>
      <c r="L381" s="183">
        <f t="shared" si="94"/>
        <v>9.4246575342465757</v>
      </c>
      <c r="M381" s="184">
        <f>-SUM([1]Sheet1!$G$253:$G$267)</f>
        <v>42960714.379999995</v>
      </c>
      <c r="N381" s="185">
        <f t="shared" si="95"/>
        <v>7225685.6200000048</v>
      </c>
      <c r="O381" s="183">
        <f t="shared" si="99"/>
        <v>0.57534246575342429</v>
      </c>
      <c r="P381" s="183">
        <f>N381-G381</f>
        <v>4716365.6200000048</v>
      </c>
      <c r="Q381" s="185">
        <v>4716365</v>
      </c>
      <c r="R381" s="185">
        <f t="shared" si="97"/>
        <v>2509320.6200000048</v>
      </c>
      <c r="S381" s="186">
        <f>+SUM([1]Sheet1!$I$253:$I$267)</f>
        <v>-2769189.31</v>
      </c>
      <c r="T381" s="186">
        <f>-(Q381+S381)</f>
        <v>-1947175.69</v>
      </c>
      <c r="U381" s="187" t="s">
        <v>226</v>
      </c>
      <c r="V381" s="104"/>
      <c r="W381" s="104"/>
    </row>
    <row r="382" spans="1:23">
      <c r="A382" s="188" t="s">
        <v>227</v>
      </c>
      <c r="B382" s="189">
        <v>43358</v>
      </c>
      <c r="C382" s="108">
        <v>395974</v>
      </c>
      <c r="D382" s="99"/>
      <c r="E382" s="99"/>
      <c r="F382" s="99"/>
      <c r="G382" s="95">
        <f t="shared" si="98"/>
        <v>19798.7</v>
      </c>
      <c r="H382" s="99"/>
      <c r="I382" s="99"/>
      <c r="J382" s="99"/>
      <c r="K382" s="99">
        <f t="shared" si="93"/>
        <v>563</v>
      </c>
      <c r="L382" s="95">
        <f t="shared" si="94"/>
        <v>1.5424657534246575</v>
      </c>
      <c r="M382" s="150">
        <f>-[1]Sheet1!$G$268</f>
        <v>57920.69</v>
      </c>
      <c r="N382" s="96">
        <f t="shared" si="95"/>
        <v>338053.31</v>
      </c>
      <c r="O382" s="95">
        <f t="shared" si="99"/>
        <v>8.4575342465753423</v>
      </c>
      <c r="P382" s="95">
        <f t="shared" si="100"/>
        <v>318254.61</v>
      </c>
      <c r="Q382" s="96">
        <f t="shared" si="96"/>
        <v>37629.7157920311</v>
      </c>
      <c r="R382" s="96">
        <f t="shared" si="97"/>
        <v>300423.59420796891</v>
      </c>
      <c r="S382" s="190">
        <v>-37617.53</v>
      </c>
      <c r="T382" s="104">
        <f>-(Q382+S382)</f>
        <v>-12.1857920311013</v>
      </c>
      <c r="U382" s="191"/>
    </row>
    <row r="383" spans="1:23">
      <c r="A383" s="145" t="s">
        <v>135</v>
      </c>
      <c r="B383" s="166">
        <v>43782</v>
      </c>
      <c r="C383" s="192">
        <v>217192</v>
      </c>
      <c r="D383" s="99"/>
      <c r="E383" s="99"/>
      <c r="F383" s="99"/>
      <c r="G383" s="95">
        <f t="shared" si="98"/>
        <v>10859.6</v>
      </c>
      <c r="H383" s="99"/>
      <c r="I383" s="99"/>
      <c r="J383" s="99"/>
      <c r="K383" s="99">
        <f t="shared" si="93"/>
        <v>139</v>
      </c>
      <c r="L383" s="95">
        <f t="shared" si="94"/>
        <v>0.38082191780821917</v>
      </c>
      <c r="M383" s="192">
        <v>3946.25</v>
      </c>
      <c r="N383" s="96">
        <f t="shared" si="95"/>
        <v>213245.75</v>
      </c>
      <c r="O383" s="95">
        <f>$P$368-L383</f>
        <v>19.61917808219178</v>
      </c>
      <c r="P383" s="95">
        <f t="shared" si="100"/>
        <v>202386.15</v>
      </c>
      <c r="Q383" s="96">
        <f t="shared" si="96"/>
        <v>10315.730310012568</v>
      </c>
      <c r="R383" s="96">
        <f t="shared" si="97"/>
        <v>202930.01968998744</v>
      </c>
      <c r="S383" s="193">
        <v>-10316.620000000001</v>
      </c>
      <c r="T383" s="104">
        <f t="shared" ref="T383:T387" si="103">-(Q383+S383)</f>
        <v>0.88968998743257544</v>
      </c>
      <c r="U383" s="191" t="s">
        <v>228</v>
      </c>
      <c r="V383" s="104"/>
      <c r="W383" s="104"/>
    </row>
    <row r="384" spans="1:23">
      <c r="A384" s="145" t="s">
        <v>148</v>
      </c>
      <c r="B384" s="166">
        <v>43823</v>
      </c>
      <c r="C384" s="192">
        <v>35294</v>
      </c>
      <c r="D384" s="99"/>
      <c r="E384" s="99"/>
      <c r="F384" s="99"/>
      <c r="G384" s="95">
        <f t="shared" si="98"/>
        <v>1764.7</v>
      </c>
      <c r="H384" s="99"/>
      <c r="I384" s="99"/>
      <c r="J384" s="99"/>
      <c r="K384" s="99">
        <f t="shared" si="93"/>
        <v>98</v>
      </c>
      <c r="L384" s="95">
        <f t="shared" si="94"/>
        <v>0.26849315068493151</v>
      </c>
      <c r="M384" s="192">
        <v>453.47</v>
      </c>
      <c r="N384" s="96">
        <f t="shared" si="95"/>
        <v>34840.53</v>
      </c>
      <c r="O384" s="95">
        <f t="shared" ref="O384:O387" si="104">$P$368-L384</f>
        <v>19.731506849315068</v>
      </c>
      <c r="P384" s="95">
        <f t="shared" si="100"/>
        <v>33075.83</v>
      </c>
      <c r="Q384" s="96">
        <f t="shared" si="96"/>
        <v>1676.2951888364346</v>
      </c>
      <c r="R384" s="96">
        <f t="shared" si="97"/>
        <v>33164.234811163566</v>
      </c>
      <c r="S384" s="193">
        <v>-1676.47</v>
      </c>
      <c r="T384" s="104">
        <f t="shared" si="103"/>
        <v>0.1748111635654368</v>
      </c>
      <c r="U384" s="191" t="s">
        <v>228</v>
      </c>
    </row>
    <row r="385" spans="1:21">
      <c r="A385" s="145" t="s">
        <v>140</v>
      </c>
      <c r="B385" s="166">
        <v>43825</v>
      </c>
      <c r="C385" s="192">
        <v>19767.599999999999</v>
      </c>
      <c r="D385" s="99"/>
      <c r="E385" s="99"/>
      <c r="F385" s="99"/>
      <c r="G385" s="95">
        <f t="shared" si="98"/>
        <v>988.38</v>
      </c>
      <c r="H385" s="99"/>
      <c r="I385" s="99"/>
      <c r="J385" s="99"/>
      <c r="K385" s="99">
        <f t="shared" si="93"/>
        <v>96</v>
      </c>
      <c r="L385" s="95">
        <f t="shared" si="94"/>
        <v>0.26301369863013696</v>
      </c>
      <c r="M385" s="192">
        <v>248.85</v>
      </c>
      <c r="N385" s="96">
        <f t="shared" si="95"/>
        <v>19518.75</v>
      </c>
      <c r="O385" s="95">
        <f t="shared" si="104"/>
        <v>19.736986301369864</v>
      </c>
      <c r="P385" s="95">
        <f t="shared" si="100"/>
        <v>18530.37</v>
      </c>
      <c r="Q385" s="96">
        <f t="shared" si="96"/>
        <v>938.86522071071613</v>
      </c>
      <c r="R385" s="96">
        <f t="shared" si="97"/>
        <v>18579.884779289285</v>
      </c>
      <c r="S385" s="193">
        <v>-938.96</v>
      </c>
      <c r="T385" s="104">
        <f t="shared" si="103"/>
        <v>9.477928928390611E-2</v>
      </c>
      <c r="U385" s="191" t="s">
        <v>228</v>
      </c>
    </row>
    <row r="386" spans="1:21">
      <c r="A386" s="145" t="s">
        <v>150</v>
      </c>
      <c r="B386" s="166">
        <v>43848</v>
      </c>
      <c r="C386" s="192">
        <v>36509</v>
      </c>
      <c r="D386" s="99"/>
      <c r="E386" s="99"/>
      <c r="F386" s="99"/>
      <c r="G386" s="95">
        <f t="shared" si="98"/>
        <v>1825.45</v>
      </c>
      <c r="H386" s="99"/>
      <c r="I386" s="99"/>
      <c r="J386" s="99"/>
      <c r="K386" s="99">
        <f t="shared" si="93"/>
        <v>73</v>
      </c>
      <c r="L386" s="95">
        <f t="shared" si="94"/>
        <v>0.2</v>
      </c>
      <c r="M386" s="192">
        <v>350.63</v>
      </c>
      <c r="N386" s="96">
        <f t="shared" si="95"/>
        <v>36158.370000000003</v>
      </c>
      <c r="O386" s="95">
        <f t="shared" si="104"/>
        <v>19.8</v>
      </c>
      <c r="P386" s="95">
        <f t="shared" si="100"/>
        <v>34332.920000000006</v>
      </c>
      <c r="Q386" s="96">
        <f t="shared" si="96"/>
        <v>1733.9858585858588</v>
      </c>
      <c r="R386" s="96">
        <f t="shared" si="97"/>
        <v>34424.384141414143</v>
      </c>
      <c r="S386" s="193">
        <v>-1734.18</v>
      </c>
      <c r="T386" s="104">
        <f t="shared" si="103"/>
        <v>0.19414141414131336</v>
      </c>
      <c r="U386" s="191" t="s">
        <v>228</v>
      </c>
    </row>
    <row r="387" spans="1:21">
      <c r="A387" s="145" t="s">
        <v>149</v>
      </c>
      <c r="B387" s="166">
        <v>43862</v>
      </c>
      <c r="C387" s="192">
        <v>39322</v>
      </c>
      <c r="D387" s="99"/>
      <c r="E387" s="99"/>
      <c r="F387" s="99"/>
      <c r="G387" s="95">
        <f t="shared" si="98"/>
        <v>1966.1000000000001</v>
      </c>
      <c r="H387" s="99"/>
      <c r="I387" s="99"/>
      <c r="J387" s="99"/>
      <c r="K387" s="99">
        <f t="shared" si="93"/>
        <v>59</v>
      </c>
      <c r="L387" s="95">
        <f t="shared" si="94"/>
        <v>0.16164383561643836</v>
      </c>
      <c r="M387" s="192">
        <v>306.2</v>
      </c>
      <c r="N387" s="96">
        <f t="shared" si="95"/>
        <v>39015.800000000003</v>
      </c>
      <c r="O387" s="95">
        <f t="shared" si="104"/>
        <v>19.838356164383562</v>
      </c>
      <c r="P387" s="95">
        <f t="shared" si="100"/>
        <v>37049.700000000004</v>
      </c>
      <c r="Q387" s="96">
        <f t="shared" si="96"/>
        <v>1867.5791327164759</v>
      </c>
      <c r="R387" s="96">
        <f t="shared" si="97"/>
        <v>37148.220867283526</v>
      </c>
      <c r="S387" s="193">
        <v>-1867.8</v>
      </c>
      <c r="T387" s="104">
        <f t="shared" si="103"/>
        <v>0.22086728352405771</v>
      </c>
      <c r="U387" s="191" t="s">
        <v>228</v>
      </c>
    </row>
    <row r="388" spans="1:21">
      <c r="A388" s="194"/>
      <c r="B388" s="195"/>
      <c r="C388" s="196"/>
      <c r="D388" s="197"/>
      <c r="E388" s="197"/>
      <c r="F388" s="197"/>
      <c r="G388" s="198"/>
      <c r="H388" s="197"/>
      <c r="I388" s="197"/>
      <c r="J388" s="197"/>
      <c r="K388" s="197"/>
      <c r="L388" s="198"/>
      <c r="M388" s="76"/>
      <c r="N388" s="199"/>
      <c r="O388" s="198"/>
      <c r="P388" s="198"/>
      <c r="Q388" s="199"/>
      <c r="R388" s="199"/>
      <c r="S388" s="104"/>
      <c r="T388" s="104"/>
      <c r="U388" s="191"/>
    </row>
    <row r="389" spans="1:21" ht="16.5">
      <c r="A389" s="200" t="s">
        <v>229</v>
      </c>
      <c r="B389" s="115"/>
      <c r="C389" s="117">
        <f>SUM(C369:C387)</f>
        <v>81581788.599999994</v>
      </c>
      <c r="D389" s="115"/>
      <c r="E389" s="115"/>
      <c r="F389" s="115"/>
      <c r="G389" s="117">
        <f>SUM(G369:G387)</f>
        <v>4079089.4300000006</v>
      </c>
      <c r="H389" s="115"/>
      <c r="I389" s="115"/>
      <c r="J389" s="115"/>
      <c r="K389" s="115"/>
      <c r="L389" s="85"/>
      <c r="M389" s="117">
        <f>SUM(M369:M387)</f>
        <v>72142832.219999984</v>
      </c>
      <c r="N389" s="117">
        <f>SUM(N369:N387)</f>
        <v>9438956.3800000045</v>
      </c>
      <c r="O389" s="85"/>
      <c r="P389" s="117">
        <f>SUM(P369:P387)</f>
        <v>5359995.2000000058</v>
      </c>
      <c r="Q389" s="117">
        <f>SUM(Q369:Q387)</f>
        <v>4770527.1715028929</v>
      </c>
      <c r="R389" s="117">
        <f>SUM(R369:R387)</f>
        <v>4668429.2084971126</v>
      </c>
      <c r="S389" s="104"/>
      <c r="T389" s="104"/>
      <c r="U389" s="149">
        <f>-SUM(S369:S387)</f>
        <v>2823340.87</v>
      </c>
    </row>
    <row r="390" spans="1:21" ht="16.5">
      <c r="A390" s="200"/>
      <c r="B390" s="115"/>
      <c r="C390" s="116"/>
      <c r="D390" s="115"/>
      <c r="E390" s="115"/>
      <c r="F390" s="115"/>
      <c r="G390" s="85"/>
      <c r="H390" s="115"/>
      <c r="I390" s="115"/>
      <c r="J390" s="115"/>
      <c r="K390" s="115"/>
      <c r="L390" s="85"/>
      <c r="M390" s="85"/>
      <c r="N390" s="117"/>
      <c r="O390" s="85"/>
      <c r="P390" s="117"/>
      <c r="Q390" s="117"/>
      <c r="R390" s="117"/>
      <c r="S390" s="104"/>
      <c r="T390" s="104">
        <f t="shared" si="79"/>
        <v>0</v>
      </c>
    </row>
    <row r="391" spans="1:21" ht="16.5">
      <c r="A391" s="200" t="s">
        <v>230</v>
      </c>
      <c r="B391" s="115"/>
      <c r="C391" s="115"/>
      <c r="D391" s="115"/>
      <c r="E391" s="115"/>
      <c r="F391" s="115"/>
      <c r="G391" s="85"/>
      <c r="H391" s="115"/>
      <c r="I391" s="115"/>
      <c r="J391" s="115"/>
      <c r="K391" s="115"/>
      <c r="L391" s="85"/>
      <c r="M391" s="85"/>
      <c r="N391" s="86"/>
      <c r="O391" s="85">
        <v>3</v>
      </c>
      <c r="P391" s="85"/>
      <c r="Q391" s="86"/>
      <c r="R391" s="86"/>
      <c r="S391" s="104"/>
      <c r="T391" s="104">
        <f t="shared" si="79"/>
        <v>0</v>
      </c>
    </row>
    <row r="392" spans="1:21">
      <c r="A392" s="115" t="s">
        <v>230</v>
      </c>
      <c r="B392" s="84">
        <v>39152</v>
      </c>
      <c r="C392" s="100">
        <v>24200</v>
      </c>
      <c r="D392" s="115"/>
      <c r="E392" s="115"/>
      <c r="F392" s="115"/>
      <c r="G392" s="85">
        <f>C392*5%</f>
        <v>1210</v>
      </c>
      <c r="H392" s="115"/>
      <c r="I392" s="115"/>
      <c r="J392" s="115"/>
      <c r="K392" s="115">
        <f t="shared" ref="K392:K455" si="105">$K$2-B392</f>
        <v>4769</v>
      </c>
      <c r="L392" s="85">
        <f t="shared" ref="L392:L455" si="106">K392/365</f>
        <v>13.065753424657535</v>
      </c>
      <c r="M392" s="76">
        <v>22990</v>
      </c>
      <c r="N392" s="86">
        <f t="shared" ref="N392:N455" si="107">C392-M392</f>
        <v>1210</v>
      </c>
      <c r="O392" s="85">
        <f t="shared" ref="O392:O455" si="108">$O$391-L392</f>
        <v>-10.065753424657535</v>
      </c>
      <c r="P392" s="85">
        <f t="shared" ref="P392:P455" si="109">N392-G392</f>
        <v>0</v>
      </c>
      <c r="Q392" s="86">
        <v>0</v>
      </c>
      <c r="R392" s="86">
        <f>G392</f>
        <v>1210</v>
      </c>
      <c r="S392" s="104">
        <v>0</v>
      </c>
      <c r="T392" s="104">
        <f t="shared" si="79"/>
        <v>0</v>
      </c>
    </row>
    <row r="393" spans="1:21" s="187" customFormat="1" ht="16.5">
      <c r="A393" s="201" t="s">
        <v>230</v>
      </c>
      <c r="B393" s="202">
        <v>39526</v>
      </c>
      <c r="C393" s="203">
        <v>73514</v>
      </c>
      <c r="D393" s="201"/>
      <c r="E393" s="201"/>
      <c r="F393" s="201"/>
      <c r="G393" s="204">
        <f t="shared" ref="G393:G456" si="110">C393*5%</f>
        <v>3675.7000000000003</v>
      </c>
      <c r="H393" s="201"/>
      <c r="I393" s="201"/>
      <c r="J393" s="201"/>
      <c r="K393" s="201">
        <f t="shared" si="105"/>
        <v>4395</v>
      </c>
      <c r="L393" s="204">
        <f t="shared" si="106"/>
        <v>12.04109589041096</v>
      </c>
      <c r="M393" s="205">
        <v>69838.3</v>
      </c>
      <c r="N393" s="206">
        <f t="shared" si="107"/>
        <v>3675.6999999999971</v>
      </c>
      <c r="O393" s="204">
        <f t="shared" si="108"/>
        <v>-9.0410958904109595</v>
      </c>
      <c r="P393" s="204">
        <f t="shared" si="109"/>
        <v>0</v>
      </c>
      <c r="Q393" s="206">
        <v>0</v>
      </c>
      <c r="R393" s="206">
        <f t="shared" ref="R393:R417" si="111">G393</f>
        <v>3675.7000000000003</v>
      </c>
      <c r="S393" s="186">
        <f>+[2]Sheet1!$I$327</f>
        <v>0</v>
      </c>
      <c r="T393" s="104">
        <f t="shared" ref="T393:T456" si="112">-(Q393+S393)</f>
        <v>0</v>
      </c>
      <c r="U393" s="207"/>
    </row>
    <row r="394" spans="1:21">
      <c r="A394" s="115" t="s">
        <v>231</v>
      </c>
      <c r="B394" s="84">
        <v>39569</v>
      </c>
      <c r="C394" s="100">
        <v>39500</v>
      </c>
      <c r="D394" s="115"/>
      <c r="E394" s="115"/>
      <c r="F394" s="115"/>
      <c r="G394" s="85">
        <f t="shared" si="110"/>
        <v>1975</v>
      </c>
      <c r="H394" s="115"/>
      <c r="I394" s="115"/>
      <c r="J394" s="115"/>
      <c r="K394" s="115">
        <f t="shared" si="105"/>
        <v>4352</v>
      </c>
      <c r="L394" s="85">
        <f t="shared" si="106"/>
        <v>11.923287671232877</v>
      </c>
      <c r="M394" s="76">
        <v>37525</v>
      </c>
      <c r="N394" s="86">
        <f t="shared" si="107"/>
        <v>1975</v>
      </c>
      <c r="O394" s="85">
        <f t="shared" si="108"/>
        <v>-8.9232876712328775</v>
      </c>
      <c r="P394" s="85">
        <f t="shared" si="109"/>
        <v>0</v>
      </c>
      <c r="Q394" s="86">
        <v>0</v>
      </c>
      <c r="R394" s="86">
        <f t="shared" si="111"/>
        <v>1975</v>
      </c>
      <c r="S394" s="178">
        <f t="shared" ref="S394:S433" si="113">Q394-J394</f>
        <v>0</v>
      </c>
      <c r="T394" s="104">
        <f t="shared" si="112"/>
        <v>0</v>
      </c>
    </row>
    <row r="395" spans="1:21">
      <c r="A395" s="115" t="s">
        <v>231</v>
      </c>
      <c r="B395" s="84">
        <v>39582</v>
      </c>
      <c r="C395" s="100">
        <v>1650</v>
      </c>
      <c r="D395" s="115"/>
      <c r="E395" s="115"/>
      <c r="F395" s="115"/>
      <c r="G395" s="85">
        <f t="shared" si="110"/>
        <v>82.5</v>
      </c>
      <c r="H395" s="115"/>
      <c r="I395" s="115"/>
      <c r="J395" s="115"/>
      <c r="K395" s="115">
        <f t="shared" si="105"/>
        <v>4339</v>
      </c>
      <c r="L395" s="85">
        <f t="shared" si="106"/>
        <v>11.887671232876713</v>
      </c>
      <c r="M395" s="76">
        <v>1567.5</v>
      </c>
      <c r="N395" s="86">
        <f t="shared" si="107"/>
        <v>82.5</v>
      </c>
      <c r="O395" s="85">
        <f t="shared" si="108"/>
        <v>-8.8876712328767127</v>
      </c>
      <c r="P395" s="85">
        <f t="shared" si="109"/>
        <v>0</v>
      </c>
      <c r="Q395" s="86">
        <v>0</v>
      </c>
      <c r="R395" s="86">
        <f t="shared" si="111"/>
        <v>82.5</v>
      </c>
      <c r="S395" s="178">
        <f t="shared" si="113"/>
        <v>0</v>
      </c>
      <c r="T395" s="104">
        <f t="shared" si="112"/>
        <v>0</v>
      </c>
    </row>
    <row r="396" spans="1:21">
      <c r="A396" s="115" t="s">
        <v>232</v>
      </c>
      <c r="B396" s="84">
        <v>39899</v>
      </c>
      <c r="C396" s="115">
        <v>85362</v>
      </c>
      <c r="D396" s="115"/>
      <c r="E396" s="115"/>
      <c r="F396" s="115"/>
      <c r="G396" s="85">
        <f t="shared" si="110"/>
        <v>4268.1000000000004</v>
      </c>
      <c r="H396" s="115"/>
      <c r="I396" s="115"/>
      <c r="J396" s="115"/>
      <c r="K396" s="115">
        <f t="shared" si="105"/>
        <v>4022</v>
      </c>
      <c r="L396" s="85">
        <f t="shared" si="106"/>
        <v>11.019178082191781</v>
      </c>
      <c r="M396" s="76">
        <v>81093.899999999994</v>
      </c>
      <c r="N396" s="86">
        <f t="shared" si="107"/>
        <v>4268.1000000000058</v>
      </c>
      <c r="O396" s="85">
        <f t="shared" si="108"/>
        <v>-8.0191780821917806</v>
      </c>
      <c r="P396" s="85">
        <f t="shared" si="109"/>
        <v>0</v>
      </c>
      <c r="Q396" s="86">
        <v>0</v>
      </c>
      <c r="R396" s="86">
        <f t="shared" si="111"/>
        <v>4268.1000000000004</v>
      </c>
      <c r="S396" s="178">
        <f t="shared" si="113"/>
        <v>0</v>
      </c>
      <c r="T396" s="104">
        <f t="shared" si="112"/>
        <v>0</v>
      </c>
    </row>
    <row r="397" spans="1:21">
      <c r="A397" s="115" t="s">
        <v>233</v>
      </c>
      <c r="B397" s="84">
        <v>39940</v>
      </c>
      <c r="C397" s="115">
        <v>19000</v>
      </c>
      <c r="D397" s="115"/>
      <c r="E397" s="115"/>
      <c r="F397" s="115"/>
      <c r="G397" s="85">
        <f t="shared" si="110"/>
        <v>950</v>
      </c>
      <c r="H397" s="115"/>
      <c r="I397" s="115"/>
      <c r="J397" s="115"/>
      <c r="K397" s="115">
        <f t="shared" si="105"/>
        <v>3981</v>
      </c>
      <c r="L397" s="85">
        <f t="shared" si="106"/>
        <v>10.906849315068493</v>
      </c>
      <c r="M397" s="76">
        <v>18050</v>
      </c>
      <c r="N397" s="86">
        <f t="shared" si="107"/>
        <v>950</v>
      </c>
      <c r="O397" s="85">
        <f t="shared" si="108"/>
        <v>-7.9068493150684933</v>
      </c>
      <c r="P397" s="85">
        <f t="shared" si="109"/>
        <v>0</v>
      </c>
      <c r="Q397" s="86">
        <v>0</v>
      </c>
      <c r="R397" s="86">
        <f t="shared" si="111"/>
        <v>950</v>
      </c>
      <c r="S397" s="178">
        <f t="shared" si="113"/>
        <v>0</v>
      </c>
      <c r="T397" s="104">
        <f t="shared" si="112"/>
        <v>0</v>
      </c>
    </row>
    <row r="398" spans="1:21">
      <c r="A398" s="115" t="s">
        <v>233</v>
      </c>
      <c r="B398" s="84">
        <v>40168</v>
      </c>
      <c r="C398" s="115">
        <v>42120</v>
      </c>
      <c r="D398" s="115"/>
      <c r="E398" s="115"/>
      <c r="F398" s="115"/>
      <c r="G398" s="85">
        <f t="shared" si="110"/>
        <v>2106</v>
      </c>
      <c r="H398" s="115"/>
      <c r="I398" s="115"/>
      <c r="J398" s="115"/>
      <c r="K398" s="115">
        <f t="shared" si="105"/>
        <v>3753</v>
      </c>
      <c r="L398" s="85">
        <f t="shared" si="106"/>
        <v>10.282191780821918</v>
      </c>
      <c r="M398" s="76">
        <v>40014</v>
      </c>
      <c r="N398" s="86">
        <f t="shared" si="107"/>
        <v>2106</v>
      </c>
      <c r="O398" s="85">
        <f t="shared" si="108"/>
        <v>-7.2821917808219183</v>
      </c>
      <c r="P398" s="85">
        <f t="shared" si="109"/>
        <v>0</v>
      </c>
      <c r="Q398" s="86">
        <v>0</v>
      </c>
      <c r="R398" s="86">
        <f t="shared" si="111"/>
        <v>2106</v>
      </c>
      <c r="S398" s="178">
        <f t="shared" si="113"/>
        <v>0</v>
      </c>
      <c r="T398" s="104">
        <f t="shared" si="112"/>
        <v>0</v>
      </c>
    </row>
    <row r="399" spans="1:21">
      <c r="A399" s="115" t="s">
        <v>233</v>
      </c>
      <c r="B399" s="84">
        <v>40287</v>
      </c>
      <c r="C399" s="115">
        <v>91500</v>
      </c>
      <c r="D399" s="115"/>
      <c r="E399" s="115"/>
      <c r="F399" s="115"/>
      <c r="G399" s="85">
        <f t="shared" si="110"/>
        <v>4575</v>
      </c>
      <c r="H399" s="115"/>
      <c r="I399" s="115"/>
      <c r="J399" s="115"/>
      <c r="K399" s="115">
        <f t="shared" si="105"/>
        <v>3634</v>
      </c>
      <c r="L399" s="85">
        <f t="shared" si="106"/>
        <v>9.956164383561644</v>
      </c>
      <c r="M399" s="76">
        <v>86925</v>
      </c>
      <c r="N399" s="86">
        <f t="shared" si="107"/>
        <v>4575</v>
      </c>
      <c r="O399" s="85">
        <f t="shared" si="108"/>
        <v>-6.956164383561644</v>
      </c>
      <c r="P399" s="85">
        <f t="shared" si="109"/>
        <v>0</v>
      </c>
      <c r="Q399" s="86">
        <v>0</v>
      </c>
      <c r="R399" s="86">
        <f t="shared" si="111"/>
        <v>4575</v>
      </c>
      <c r="S399" s="178">
        <f t="shared" si="113"/>
        <v>0</v>
      </c>
      <c r="T399" s="104">
        <f t="shared" si="112"/>
        <v>0</v>
      </c>
    </row>
    <row r="400" spans="1:21">
      <c r="A400" s="115" t="s">
        <v>233</v>
      </c>
      <c r="B400" s="84">
        <v>40289</v>
      </c>
      <c r="C400" s="115">
        <v>38000</v>
      </c>
      <c r="D400" s="115"/>
      <c r="E400" s="115"/>
      <c r="F400" s="115"/>
      <c r="G400" s="85">
        <f t="shared" si="110"/>
        <v>1900</v>
      </c>
      <c r="H400" s="115"/>
      <c r="I400" s="115"/>
      <c r="J400" s="115"/>
      <c r="K400" s="115">
        <f t="shared" si="105"/>
        <v>3632</v>
      </c>
      <c r="L400" s="85">
        <f t="shared" si="106"/>
        <v>9.9506849315068493</v>
      </c>
      <c r="M400" s="76">
        <v>36100</v>
      </c>
      <c r="N400" s="86">
        <f t="shared" si="107"/>
        <v>1900</v>
      </c>
      <c r="O400" s="85">
        <f t="shared" si="108"/>
        <v>-6.9506849315068493</v>
      </c>
      <c r="P400" s="85">
        <f t="shared" si="109"/>
        <v>0</v>
      </c>
      <c r="Q400" s="86">
        <v>0</v>
      </c>
      <c r="R400" s="86">
        <f t="shared" si="111"/>
        <v>1900</v>
      </c>
      <c r="S400" s="178">
        <f t="shared" si="113"/>
        <v>0</v>
      </c>
      <c r="T400" s="104">
        <f t="shared" si="112"/>
        <v>0</v>
      </c>
    </row>
    <row r="401" spans="1:20">
      <c r="A401" s="115" t="s">
        <v>233</v>
      </c>
      <c r="B401" s="84">
        <v>40302</v>
      </c>
      <c r="C401" s="115">
        <v>31500</v>
      </c>
      <c r="D401" s="115"/>
      <c r="E401" s="115"/>
      <c r="F401" s="115"/>
      <c r="G401" s="85">
        <f t="shared" si="110"/>
        <v>1575</v>
      </c>
      <c r="H401" s="115"/>
      <c r="I401" s="115"/>
      <c r="J401" s="115"/>
      <c r="K401" s="115">
        <f t="shared" si="105"/>
        <v>3619</v>
      </c>
      <c r="L401" s="85">
        <f t="shared" si="106"/>
        <v>9.9150684931506845</v>
      </c>
      <c r="M401" s="76">
        <v>29925</v>
      </c>
      <c r="N401" s="86">
        <f t="shared" si="107"/>
        <v>1575</v>
      </c>
      <c r="O401" s="85">
        <f t="shared" si="108"/>
        <v>-6.9150684931506845</v>
      </c>
      <c r="P401" s="85">
        <f t="shared" si="109"/>
        <v>0</v>
      </c>
      <c r="Q401" s="86">
        <v>0</v>
      </c>
      <c r="R401" s="86">
        <f t="shared" si="111"/>
        <v>1575</v>
      </c>
      <c r="S401" s="178">
        <f t="shared" si="113"/>
        <v>0</v>
      </c>
      <c r="T401" s="104">
        <f t="shared" si="112"/>
        <v>0</v>
      </c>
    </row>
    <row r="402" spans="1:20">
      <c r="A402" s="115" t="s">
        <v>233</v>
      </c>
      <c r="B402" s="84">
        <v>40322</v>
      </c>
      <c r="C402" s="115">
        <v>37500</v>
      </c>
      <c r="D402" s="115"/>
      <c r="E402" s="115"/>
      <c r="F402" s="115"/>
      <c r="G402" s="85">
        <f t="shared" si="110"/>
        <v>1875</v>
      </c>
      <c r="H402" s="115"/>
      <c r="I402" s="115"/>
      <c r="J402" s="115"/>
      <c r="K402" s="115">
        <f t="shared" si="105"/>
        <v>3599</v>
      </c>
      <c r="L402" s="85">
        <f t="shared" si="106"/>
        <v>9.8602739726027391</v>
      </c>
      <c r="M402" s="76">
        <v>35625</v>
      </c>
      <c r="N402" s="86">
        <f t="shared" si="107"/>
        <v>1875</v>
      </c>
      <c r="O402" s="85">
        <f t="shared" si="108"/>
        <v>-6.8602739726027391</v>
      </c>
      <c r="P402" s="85">
        <f t="shared" si="109"/>
        <v>0</v>
      </c>
      <c r="Q402" s="86">
        <v>0</v>
      </c>
      <c r="R402" s="86">
        <f t="shared" si="111"/>
        <v>1875</v>
      </c>
      <c r="S402" s="178">
        <f t="shared" si="113"/>
        <v>0</v>
      </c>
      <c r="T402" s="104">
        <f t="shared" si="112"/>
        <v>0</v>
      </c>
    </row>
    <row r="403" spans="1:20">
      <c r="A403" s="115" t="s">
        <v>233</v>
      </c>
      <c r="B403" s="84">
        <v>40344</v>
      </c>
      <c r="C403" s="115">
        <v>16000</v>
      </c>
      <c r="D403" s="115"/>
      <c r="E403" s="115"/>
      <c r="F403" s="115"/>
      <c r="G403" s="85">
        <f t="shared" si="110"/>
        <v>800</v>
      </c>
      <c r="H403" s="115"/>
      <c r="I403" s="115"/>
      <c r="J403" s="115"/>
      <c r="K403" s="115">
        <f t="shared" si="105"/>
        <v>3577</v>
      </c>
      <c r="L403" s="85">
        <f t="shared" si="106"/>
        <v>9.8000000000000007</v>
      </c>
      <c r="M403" s="76">
        <v>15200</v>
      </c>
      <c r="N403" s="86">
        <f t="shared" si="107"/>
        <v>800</v>
      </c>
      <c r="O403" s="85">
        <f t="shared" si="108"/>
        <v>-6.8000000000000007</v>
      </c>
      <c r="P403" s="85">
        <f t="shared" si="109"/>
        <v>0</v>
      </c>
      <c r="Q403" s="86">
        <v>0</v>
      </c>
      <c r="R403" s="86">
        <f t="shared" si="111"/>
        <v>800</v>
      </c>
      <c r="S403" s="178">
        <f t="shared" si="113"/>
        <v>0</v>
      </c>
      <c r="T403" s="104">
        <f t="shared" si="112"/>
        <v>0</v>
      </c>
    </row>
    <row r="404" spans="1:20">
      <c r="A404" s="115" t="s">
        <v>233</v>
      </c>
      <c r="B404" s="84">
        <v>40351</v>
      </c>
      <c r="C404" s="115">
        <v>31000</v>
      </c>
      <c r="D404" s="115"/>
      <c r="E404" s="115"/>
      <c r="F404" s="115"/>
      <c r="G404" s="85">
        <f t="shared" si="110"/>
        <v>1550</v>
      </c>
      <c r="H404" s="115"/>
      <c r="I404" s="115"/>
      <c r="J404" s="115"/>
      <c r="K404" s="115">
        <f t="shared" si="105"/>
        <v>3570</v>
      </c>
      <c r="L404" s="85">
        <f t="shared" si="106"/>
        <v>9.7808219178082183</v>
      </c>
      <c r="M404" s="76">
        <v>29450</v>
      </c>
      <c r="N404" s="86">
        <f t="shared" si="107"/>
        <v>1550</v>
      </c>
      <c r="O404" s="85">
        <f t="shared" si="108"/>
        <v>-6.7808219178082183</v>
      </c>
      <c r="P404" s="85">
        <f t="shared" si="109"/>
        <v>0</v>
      </c>
      <c r="Q404" s="86">
        <v>0</v>
      </c>
      <c r="R404" s="86">
        <f t="shared" si="111"/>
        <v>1550</v>
      </c>
      <c r="S404" s="178">
        <f t="shared" si="113"/>
        <v>0</v>
      </c>
      <c r="T404" s="104">
        <f t="shared" si="112"/>
        <v>0</v>
      </c>
    </row>
    <row r="405" spans="1:20">
      <c r="A405" s="115" t="s">
        <v>233</v>
      </c>
      <c r="B405" s="84">
        <v>40358</v>
      </c>
      <c r="C405" s="115">
        <v>21000</v>
      </c>
      <c r="D405" s="115"/>
      <c r="E405" s="115"/>
      <c r="F405" s="115"/>
      <c r="G405" s="85">
        <f t="shared" si="110"/>
        <v>1050</v>
      </c>
      <c r="H405" s="115"/>
      <c r="I405" s="115"/>
      <c r="J405" s="115"/>
      <c r="K405" s="115">
        <f t="shared" si="105"/>
        <v>3563</v>
      </c>
      <c r="L405" s="85">
        <f t="shared" si="106"/>
        <v>9.7616438356164377</v>
      </c>
      <c r="M405" s="76">
        <v>19950</v>
      </c>
      <c r="N405" s="86">
        <f t="shared" si="107"/>
        <v>1050</v>
      </c>
      <c r="O405" s="85">
        <f t="shared" si="108"/>
        <v>-6.7616438356164377</v>
      </c>
      <c r="P405" s="85">
        <f t="shared" si="109"/>
        <v>0</v>
      </c>
      <c r="Q405" s="86">
        <v>0</v>
      </c>
      <c r="R405" s="86">
        <f t="shared" si="111"/>
        <v>1050</v>
      </c>
      <c r="S405" s="178">
        <f t="shared" si="113"/>
        <v>0</v>
      </c>
      <c r="T405" s="104">
        <f t="shared" si="112"/>
        <v>0</v>
      </c>
    </row>
    <row r="406" spans="1:20">
      <c r="A406" s="115" t="s">
        <v>233</v>
      </c>
      <c r="B406" s="84">
        <v>40432</v>
      </c>
      <c r="C406" s="115">
        <v>14352</v>
      </c>
      <c r="D406" s="115"/>
      <c r="E406" s="115"/>
      <c r="F406" s="115"/>
      <c r="G406" s="85">
        <f t="shared" si="110"/>
        <v>717.6</v>
      </c>
      <c r="H406" s="115"/>
      <c r="I406" s="115"/>
      <c r="J406" s="115"/>
      <c r="K406" s="115">
        <f t="shared" si="105"/>
        <v>3489</v>
      </c>
      <c r="L406" s="85">
        <f t="shared" si="106"/>
        <v>9.5589041095890419</v>
      </c>
      <c r="M406" s="76">
        <v>13634.4</v>
      </c>
      <c r="N406" s="86">
        <f t="shared" si="107"/>
        <v>717.60000000000036</v>
      </c>
      <c r="O406" s="85">
        <f t="shared" si="108"/>
        <v>-6.5589041095890419</v>
      </c>
      <c r="P406" s="85">
        <f t="shared" si="109"/>
        <v>0</v>
      </c>
      <c r="Q406" s="86">
        <v>0</v>
      </c>
      <c r="R406" s="86">
        <f t="shared" si="111"/>
        <v>717.6</v>
      </c>
      <c r="S406" s="178">
        <f t="shared" si="113"/>
        <v>0</v>
      </c>
      <c r="T406" s="104">
        <f t="shared" si="112"/>
        <v>0</v>
      </c>
    </row>
    <row r="407" spans="1:20">
      <c r="A407" s="115" t="s">
        <v>233</v>
      </c>
      <c r="B407" s="84">
        <v>40435</v>
      </c>
      <c r="C407" s="115">
        <v>28500</v>
      </c>
      <c r="D407" s="115"/>
      <c r="E407" s="115"/>
      <c r="F407" s="115"/>
      <c r="G407" s="85">
        <f t="shared" si="110"/>
        <v>1425</v>
      </c>
      <c r="H407" s="115"/>
      <c r="I407" s="115"/>
      <c r="J407" s="115"/>
      <c r="K407" s="115">
        <f t="shared" si="105"/>
        <v>3486</v>
      </c>
      <c r="L407" s="85">
        <f t="shared" si="106"/>
        <v>9.5506849315068489</v>
      </c>
      <c r="M407" s="76">
        <v>27075</v>
      </c>
      <c r="N407" s="86">
        <f t="shared" si="107"/>
        <v>1425</v>
      </c>
      <c r="O407" s="85">
        <f t="shared" si="108"/>
        <v>-6.5506849315068489</v>
      </c>
      <c r="P407" s="85">
        <f t="shared" si="109"/>
        <v>0</v>
      </c>
      <c r="Q407" s="86">
        <v>0</v>
      </c>
      <c r="R407" s="86">
        <f t="shared" si="111"/>
        <v>1425</v>
      </c>
      <c r="S407" s="178">
        <f t="shared" si="113"/>
        <v>0</v>
      </c>
      <c r="T407" s="104">
        <f t="shared" si="112"/>
        <v>0</v>
      </c>
    </row>
    <row r="408" spans="1:20">
      <c r="A408" s="115" t="s">
        <v>233</v>
      </c>
      <c r="B408" s="84">
        <v>40451</v>
      </c>
      <c r="C408" s="115">
        <v>29500</v>
      </c>
      <c r="D408" s="115"/>
      <c r="E408" s="115"/>
      <c r="F408" s="115"/>
      <c r="G408" s="85">
        <f t="shared" si="110"/>
        <v>1475</v>
      </c>
      <c r="H408" s="115"/>
      <c r="I408" s="115"/>
      <c r="J408" s="115"/>
      <c r="K408" s="115">
        <f t="shared" si="105"/>
        <v>3470</v>
      </c>
      <c r="L408" s="85">
        <f t="shared" si="106"/>
        <v>9.506849315068493</v>
      </c>
      <c r="M408" s="76">
        <v>28025</v>
      </c>
      <c r="N408" s="86">
        <f t="shared" si="107"/>
        <v>1475</v>
      </c>
      <c r="O408" s="85">
        <f t="shared" si="108"/>
        <v>-6.506849315068493</v>
      </c>
      <c r="P408" s="85">
        <f t="shared" si="109"/>
        <v>0</v>
      </c>
      <c r="Q408" s="86">
        <v>0</v>
      </c>
      <c r="R408" s="86">
        <f t="shared" si="111"/>
        <v>1475</v>
      </c>
      <c r="S408" s="178">
        <f t="shared" si="113"/>
        <v>0</v>
      </c>
      <c r="T408" s="104">
        <f t="shared" si="112"/>
        <v>0</v>
      </c>
    </row>
    <row r="409" spans="1:20">
      <c r="A409" s="115" t="s">
        <v>233</v>
      </c>
      <c r="B409" s="84">
        <v>40458</v>
      </c>
      <c r="C409" s="115">
        <v>1800</v>
      </c>
      <c r="D409" s="115"/>
      <c r="E409" s="115"/>
      <c r="F409" s="115"/>
      <c r="G409" s="85">
        <f t="shared" si="110"/>
        <v>90</v>
      </c>
      <c r="H409" s="115"/>
      <c r="I409" s="115"/>
      <c r="J409" s="115"/>
      <c r="K409" s="115">
        <f t="shared" si="105"/>
        <v>3463</v>
      </c>
      <c r="L409" s="85">
        <f t="shared" si="106"/>
        <v>9.4876712328767123</v>
      </c>
      <c r="M409" s="76">
        <v>1710</v>
      </c>
      <c r="N409" s="86">
        <f t="shared" si="107"/>
        <v>90</v>
      </c>
      <c r="O409" s="85">
        <f t="shared" si="108"/>
        <v>-6.4876712328767123</v>
      </c>
      <c r="P409" s="85">
        <f t="shared" si="109"/>
        <v>0</v>
      </c>
      <c r="Q409" s="86">
        <v>0</v>
      </c>
      <c r="R409" s="86">
        <f t="shared" si="111"/>
        <v>90</v>
      </c>
      <c r="S409" s="178">
        <f t="shared" si="113"/>
        <v>0</v>
      </c>
      <c r="T409" s="104">
        <f t="shared" si="112"/>
        <v>0</v>
      </c>
    </row>
    <row r="410" spans="1:20">
      <c r="A410" s="115" t="s">
        <v>233</v>
      </c>
      <c r="B410" s="84">
        <v>40459</v>
      </c>
      <c r="C410" s="115">
        <v>1500</v>
      </c>
      <c r="D410" s="115"/>
      <c r="E410" s="115"/>
      <c r="F410" s="115"/>
      <c r="G410" s="85">
        <f t="shared" si="110"/>
        <v>75</v>
      </c>
      <c r="H410" s="115"/>
      <c r="I410" s="115"/>
      <c r="J410" s="115"/>
      <c r="K410" s="115">
        <f t="shared" si="105"/>
        <v>3462</v>
      </c>
      <c r="L410" s="85">
        <f t="shared" si="106"/>
        <v>9.4849315068493159</v>
      </c>
      <c r="M410" s="76">
        <v>1425</v>
      </c>
      <c r="N410" s="86">
        <f t="shared" si="107"/>
        <v>75</v>
      </c>
      <c r="O410" s="85">
        <f t="shared" si="108"/>
        <v>-6.4849315068493159</v>
      </c>
      <c r="P410" s="85">
        <f t="shared" si="109"/>
        <v>0</v>
      </c>
      <c r="Q410" s="86">
        <v>0</v>
      </c>
      <c r="R410" s="86">
        <f t="shared" si="111"/>
        <v>75</v>
      </c>
      <c r="S410" s="178">
        <f t="shared" si="113"/>
        <v>0</v>
      </c>
      <c r="T410" s="104">
        <f t="shared" si="112"/>
        <v>0</v>
      </c>
    </row>
    <row r="411" spans="1:20">
      <c r="A411" s="115" t="s">
        <v>233</v>
      </c>
      <c r="B411" s="84">
        <v>40470</v>
      </c>
      <c r="C411" s="115">
        <v>29300</v>
      </c>
      <c r="D411" s="115"/>
      <c r="E411" s="115"/>
      <c r="F411" s="115"/>
      <c r="G411" s="85">
        <f t="shared" si="110"/>
        <v>1465</v>
      </c>
      <c r="H411" s="115"/>
      <c r="I411" s="115"/>
      <c r="J411" s="115"/>
      <c r="K411" s="115">
        <f t="shared" si="105"/>
        <v>3451</v>
      </c>
      <c r="L411" s="85">
        <f t="shared" si="106"/>
        <v>9.4547945205479458</v>
      </c>
      <c r="M411" s="76">
        <v>27835</v>
      </c>
      <c r="N411" s="86">
        <f t="shared" si="107"/>
        <v>1465</v>
      </c>
      <c r="O411" s="85">
        <f t="shared" si="108"/>
        <v>-6.4547945205479458</v>
      </c>
      <c r="P411" s="85">
        <f t="shared" si="109"/>
        <v>0</v>
      </c>
      <c r="Q411" s="86">
        <v>0</v>
      </c>
      <c r="R411" s="86">
        <f t="shared" si="111"/>
        <v>1465</v>
      </c>
      <c r="S411" s="178">
        <f t="shared" si="113"/>
        <v>0</v>
      </c>
      <c r="T411" s="104">
        <f t="shared" si="112"/>
        <v>0</v>
      </c>
    </row>
    <row r="412" spans="1:20">
      <c r="A412" s="115" t="s">
        <v>233</v>
      </c>
      <c r="B412" s="84">
        <v>40472</v>
      </c>
      <c r="C412" s="115">
        <v>9140</v>
      </c>
      <c r="D412" s="115"/>
      <c r="E412" s="115"/>
      <c r="F412" s="115"/>
      <c r="G412" s="85">
        <f t="shared" si="110"/>
        <v>457</v>
      </c>
      <c r="H412" s="115"/>
      <c r="I412" s="115"/>
      <c r="J412" s="115"/>
      <c r="K412" s="115">
        <f t="shared" si="105"/>
        <v>3449</v>
      </c>
      <c r="L412" s="85">
        <f t="shared" si="106"/>
        <v>9.4493150684931511</v>
      </c>
      <c r="M412" s="76">
        <v>8683</v>
      </c>
      <c r="N412" s="86">
        <f t="shared" si="107"/>
        <v>457</v>
      </c>
      <c r="O412" s="85">
        <f t="shared" si="108"/>
        <v>-6.4493150684931511</v>
      </c>
      <c r="P412" s="85">
        <f t="shared" si="109"/>
        <v>0</v>
      </c>
      <c r="Q412" s="86">
        <v>0</v>
      </c>
      <c r="R412" s="86">
        <f t="shared" si="111"/>
        <v>457</v>
      </c>
      <c r="S412" s="178">
        <f t="shared" si="113"/>
        <v>0</v>
      </c>
      <c r="T412" s="104">
        <f t="shared" si="112"/>
        <v>0</v>
      </c>
    </row>
    <row r="413" spans="1:20">
      <c r="A413" s="115" t="s">
        <v>233</v>
      </c>
      <c r="B413" s="84">
        <v>40481</v>
      </c>
      <c r="C413" s="115">
        <v>24200</v>
      </c>
      <c r="D413" s="115"/>
      <c r="E413" s="115"/>
      <c r="F413" s="115"/>
      <c r="G413" s="85">
        <f t="shared" si="110"/>
        <v>1210</v>
      </c>
      <c r="H413" s="115"/>
      <c r="I413" s="115"/>
      <c r="J413" s="115"/>
      <c r="K413" s="115">
        <f t="shared" si="105"/>
        <v>3440</v>
      </c>
      <c r="L413" s="85">
        <f t="shared" si="106"/>
        <v>9.4246575342465757</v>
      </c>
      <c r="M413" s="76">
        <v>22990</v>
      </c>
      <c r="N413" s="86">
        <f t="shared" si="107"/>
        <v>1210</v>
      </c>
      <c r="O413" s="85">
        <f t="shared" si="108"/>
        <v>-6.4246575342465757</v>
      </c>
      <c r="P413" s="85">
        <f t="shared" si="109"/>
        <v>0</v>
      </c>
      <c r="Q413" s="86">
        <v>0</v>
      </c>
      <c r="R413" s="86">
        <f t="shared" si="111"/>
        <v>1210</v>
      </c>
      <c r="S413" s="178">
        <f t="shared" si="113"/>
        <v>0</v>
      </c>
      <c r="T413" s="104">
        <f t="shared" si="112"/>
        <v>0</v>
      </c>
    </row>
    <row r="414" spans="1:20">
      <c r="A414" s="115" t="s">
        <v>233</v>
      </c>
      <c r="B414" s="84">
        <v>40486</v>
      </c>
      <c r="C414" s="115">
        <v>1610</v>
      </c>
      <c r="D414" s="115"/>
      <c r="E414" s="115"/>
      <c r="F414" s="115"/>
      <c r="G414" s="85">
        <f t="shared" si="110"/>
        <v>80.5</v>
      </c>
      <c r="H414" s="115"/>
      <c r="I414" s="115"/>
      <c r="J414" s="115"/>
      <c r="K414" s="115">
        <f t="shared" si="105"/>
        <v>3435</v>
      </c>
      <c r="L414" s="85">
        <f t="shared" si="106"/>
        <v>9.4109589041095898</v>
      </c>
      <c r="M414" s="76">
        <v>1529.5</v>
      </c>
      <c r="N414" s="86">
        <f t="shared" si="107"/>
        <v>80.5</v>
      </c>
      <c r="O414" s="85">
        <f t="shared" si="108"/>
        <v>-6.4109589041095898</v>
      </c>
      <c r="P414" s="85">
        <f t="shared" si="109"/>
        <v>0</v>
      </c>
      <c r="Q414" s="86">
        <v>0</v>
      </c>
      <c r="R414" s="86">
        <f t="shared" si="111"/>
        <v>80.5</v>
      </c>
      <c r="S414" s="178">
        <f t="shared" si="113"/>
        <v>0</v>
      </c>
      <c r="T414" s="104">
        <f t="shared" si="112"/>
        <v>0</v>
      </c>
    </row>
    <row r="415" spans="1:20">
      <c r="A415" s="115" t="s">
        <v>233</v>
      </c>
      <c r="B415" s="84">
        <v>40487</v>
      </c>
      <c r="C415" s="115">
        <v>2640</v>
      </c>
      <c r="D415" s="115"/>
      <c r="E415" s="115"/>
      <c r="F415" s="115"/>
      <c r="G415" s="85">
        <f t="shared" si="110"/>
        <v>132</v>
      </c>
      <c r="H415" s="115"/>
      <c r="I415" s="115"/>
      <c r="J415" s="115"/>
      <c r="K415" s="115">
        <f t="shared" si="105"/>
        <v>3434</v>
      </c>
      <c r="L415" s="85">
        <f t="shared" si="106"/>
        <v>9.4082191780821915</v>
      </c>
      <c r="M415" s="76">
        <v>2508</v>
      </c>
      <c r="N415" s="86">
        <f t="shared" si="107"/>
        <v>132</v>
      </c>
      <c r="O415" s="85">
        <f t="shared" si="108"/>
        <v>-6.4082191780821915</v>
      </c>
      <c r="P415" s="85">
        <f t="shared" si="109"/>
        <v>0</v>
      </c>
      <c r="Q415" s="86">
        <f t="shared" ref="Q415:Q430" si="114">P415/O415</f>
        <v>0</v>
      </c>
      <c r="R415" s="86">
        <f t="shared" si="111"/>
        <v>132</v>
      </c>
      <c r="S415" s="178">
        <f t="shared" si="113"/>
        <v>0</v>
      </c>
      <c r="T415" s="104">
        <f t="shared" si="112"/>
        <v>0</v>
      </c>
    </row>
    <row r="416" spans="1:20">
      <c r="A416" s="115" t="s">
        <v>233</v>
      </c>
      <c r="B416" s="84">
        <v>40492</v>
      </c>
      <c r="C416" s="115">
        <v>5283</v>
      </c>
      <c r="D416" s="115"/>
      <c r="E416" s="115"/>
      <c r="F416" s="115"/>
      <c r="G416" s="85">
        <f t="shared" si="110"/>
        <v>264.15000000000003</v>
      </c>
      <c r="H416" s="115"/>
      <c r="I416" s="115"/>
      <c r="J416" s="115"/>
      <c r="K416" s="115">
        <f t="shared" si="105"/>
        <v>3429</v>
      </c>
      <c r="L416" s="85">
        <f t="shared" si="106"/>
        <v>9.3945205479452056</v>
      </c>
      <c r="M416" s="76">
        <v>5018.8500000000004</v>
      </c>
      <c r="N416" s="86">
        <f t="shared" si="107"/>
        <v>264.14999999999964</v>
      </c>
      <c r="O416" s="85">
        <f t="shared" si="108"/>
        <v>-6.3945205479452056</v>
      </c>
      <c r="P416" s="85">
        <f t="shared" si="109"/>
        <v>0</v>
      </c>
      <c r="Q416" s="86">
        <f t="shared" si="114"/>
        <v>0</v>
      </c>
      <c r="R416" s="86">
        <f t="shared" si="111"/>
        <v>264.15000000000003</v>
      </c>
      <c r="S416" s="178">
        <f t="shared" si="113"/>
        <v>0</v>
      </c>
      <c r="T416" s="104">
        <f t="shared" si="112"/>
        <v>0</v>
      </c>
    </row>
    <row r="417" spans="1:20">
      <c r="A417" s="115" t="s">
        <v>233</v>
      </c>
      <c r="B417" s="84">
        <v>40502</v>
      </c>
      <c r="C417" s="115">
        <v>550</v>
      </c>
      <c r="D417" s="115"/>
      <c r="E417" s="115"/>
      <c r="F417" s="115"/>
      <c r="G417" s="85">
        <f t="shared" si="110"/>
        <v>27.5</v>
      </c>
      <c r="H417" s="115"/>
      <c r="I417" s="115"/>
      <c r="J417" s="115"/>
      <c r="K417" s="115">
        <f t="shared" si="105"/>
        <v>3419</v>
      </c>
      <c r="L417" s="85">
        <f t="shared" si="106"/>
        <v>9.367123287671232</v>
      </c>
      <c r="M417" s="76">
        <v>522.5</v>
      </c>
      <c r="N417" s="86">
        <f t="shared" si="107"/>
        <v>27.5</v>
      </c>
      <c r="O417" s="85">
        <f t="shared" si="108"/>
        <v>-6.367123287671232</v>
      </c>
      <c r="P417" s="85">
        <f t="shared" si="109"/>
        <v>0</v>
      </c>
      <c r="Q417" s="86">
        <f t="shared" si="114"/>
        <v>0</v>
      </c>
      <c r="R417" s="86">
        <f t="shared" si="111"/>
        <v>27.5</v>
      </c>
      <c r="S417" s="178">
        <f t="shared" si="113"/>
        <v>0</v>
      </c>
      <c r="T417" s="104">
        <f t="shared" si="112"/>
        <v>0</v>
      </c>
    </row>
    <row r="418" spans="1:20">
      <c r="A418" s="115" t="s">
        <v>233</v>
      </c>
      <c r="B418" s="84">
        <v>40657</v>
      </c>
      <c r="C418" s="100">
        <v>32000</v>
      </c>
      <c r="D418" s="115"/>
      <c r="E418" s="115"/>
      <c r="F418" s="115"/>
      <c r="G418" s="85">
        <f t="shared" si="110"/>
        <v>1600</v>
      </c>
      <c r="H418" s="115"/>
      <c r="I418" s="115"/>
      <c r="J418" s="115"/>
      <c r="K418" s="115">
        <f t="shared" si="105"/>
        <v>3264</v>
      </c>
      <c r="L418" s="85">
        <f t="shared" si="106"/>
        <v>8.9424657534246581</v>
      </c>
      <c r="M418" s="76">
        <v>30400</v>
      </c>
      <c r="N418" s="86">
        <f t="shared" si="107"/>
        <v>1600</v>
      </c>
      <c r="O418" s="85">
        <f t="shared" si="108"/>
        <v>-5.9424657534246581</v>
      </c>
      <c r="P418" s="85">
        <f t="shared" si="109"/>
        <v>0</v>
      </c>
      <c r="Q418" s="86">
        <f t="shared" si="114"/>
        <v>0</v>
      </c>
      <c r="R418" s="86">
        <f t="shared" ref="R418" si="115">N418-Q418</f>
        <v>1600</v>
      </c>
      <c r="S418" s="178">
        <f t="shared" si="113"/>
        <v>0</v>
      </c>
      <c r="T418" s="104">
        <f t="shared" si="112"/>
        <v>0</v>
      </c>
    </row>
    <row r="419" spans="1:20">
      <c r="A419" s="115" t="s">
        <v>233</v>
      </c>
      <c r="B419" s="84">
        <v>41387</v>
      </c>
      <c r="C419" s="100">
        <v>7170</v>
      </c>
      <c r="D419" s="115"/>
      <c r="E419" s="115"/>
      <c r="F419" s="115"/>
      <c r="G419" s="85">
        <f t="shared" si="110"/>
        <v>358.5</v>
      </c>
      <c r="H419" s="115"/>
      <c r="I419" s="115"/>
      <c r="J419" s="115"/>
      <c r="K419" s="115">
        <f t="shared" si="105"/>
        <v>2534</v>
      </c>
      <c r="L419" s="85">
        <f t="shared" si="106"/>
        <v>6.9424657534246572</v>
      </c>
      <c r="M419" s="76">
        <v>6811.5</v>
      </c>
      <c r="N419" s="86">
        <f t="shared" si="107"/>
        <v>358.5</v>
      </c>
      <c r="O419" s="85">
        <f t="shared" si="108"/>
        <v>-3.9424657534246572</v>
      </c>
      <c r="P419" s="85">
        <f t="shared" si="109"/>
        <v>0</v>
      </c>
      <c r="Q419" s="86">
        <f t="shared" si="114"/>
        <v>0</v>
      </c>
      <c r="R419" s="86">
        <f>N419-Q419</f>
        <v>358.5</v>
      </c>
      <c r="S419" s="178">
        <f t="shared" si="113"/>
        <v>0</v>
      </c>
      <c r="T419" s="104">
        <f t="shared" si="112"/>
        <v>0</v>
      </c>
    </row>
    <row r="420" spans="1:20">
      <c r="A420" s="115" t="s">
        <v>233</v>
      </c>
      <c r="B420" s="84">
        <v>41606</v>
      </c>
      <c r="C420" s="100">
        <v>39849</v>
      </c>
      <c r="D420" s="115"/>
      <c r="E420" s="115"/>
      <c r="F420" s="115"/>
      <c r="G420" s="85">
        <f t="shared" si="110"/>
        <v>1992.45</v>
      </c>
      <c r="H420" s="115"/>
      <c r="I420" s="115"/>
      <c r="J420" s="115"/>
      <c r="K420" s="115">
        <f t="shared" si="105"/>
        <v>2315</v>
      </c>
      <c r="L420" s="85">
        <f t="shared" si="106"/>
        <v>6.3424657534246576</v>
      </c>
      <c r="M420" s="76">
        <v>37856.550000000017</v>
      </c>
      <c r="N420" s="86">
        <f t="shared" si="107"/>
        <v>1992.4499999999825</v>
      </c>
      <c r="O420" s="85">
        <f t="shared" si="108"/>
        <v>-3.3424657534246576</v>
      </c>
      <c r="P420" s="85">
        <f t="shared" si="109"/>
        <v>-1.7507773009128869E-11</v>
      </c>
      <c r="Q420" s="86">
        <f t="shared" si="114"/>
        <v>5.2379812691246207E-12</v>
      </c>
      <c r="R420" s="86">
        <f>N420-Q420</f>
        <v>1992.4499999999773</v>
      </c>
      <c r="S420" s="178">
        <f>Q420-J420</f>
        <v>5.2379812691246207E-12</v>
      </c>
      <c r="T420" s="104">
        <f t="shared" si="112"/>
        <v>-1.0475962538249241E-11</v>
      </c>
    </row>
    <row r="421" spans="1:20">
      <c r="A421" s="115" t="s">
        <v>233</v>
      </c>
      <c r="B421" s="84">
        <v>41676</v>
      </c>
      <c r="C421" s="100">
        <v>68798</v>
      </c>
      <c r="D421" s="115"/>
      <c r="E421" s="115"/>
      <c r="F421" s="115"/>
      <c r="G421" s="85">
        <f t="shared" si="110"/>
        <v>3439.9</v>
      </c>
      <c r="H421" s="115"/>
      <c r="I421" s="115"/>
      <c r="J421" s="115"/>
      <c r="K421" s="115">
        <f t="shared" si="105"/>
        <v>2245</v>
      </c>
      <c r="L421" s="85">
        <f t="shared" si="106"/>
        <v>6.1506849315068495</v>
      </c>
      <c r="M421" s="76">
        <v>68671.880666724479</v>
      </c>
      <c r="N421" s="86">
        <f t="shared" si="107"/>
        <v>126.11933327552106</v>
      </c>
      <c r="O421" s="85">
        <f t="shared" si="108"/>
        <v>-3.1506849315068495</v>
      </c>
      <c r="P421" s="85">
        <v>0</v>
      </c>
      <c r="Q421" s="86">
        <f t="shared" si="114"/>
        <v>0</v>
      </c>
      <c r="R421" s="86">
        <f>N421-Q421</f>
        <v>126.11933327552106</v>
      </c>
      <c r="S421" s="178">
        <v>0</v>
      </c>
      <c r="T421" s="104">
        <f t="shared" si="112"/>
        <v>0</v>
      </c>
    </row>
    <row r="422" spans="1:20">
      <c r="A422" s="115" t="s">
        <v>233</v>
      </c>
      <c r="B422" s="84">
        <v>41704</v>
      </c>
      <c r="C422" s="100">
        <v>171124</v>
      </c>
      <c r="D422" s="115"/>
      <c r="E422" s="115"/>
      <c r="F422" s="115"/>
      <c r="G422" s="85">
        <f t="shared" si="110"/>
        <v>8556.2000000000007</v>
      </c>
      <c r="H422" s="115"/>
      <c r="I422" s="115"/>
      <c r="J422" s="115"/>
      <c r="K422" s="115">
        <f t="shared" si="105"/>
        <v>2217</v>
      </c>
      <c r="L422" s="85">
        <f t="shared" si="106"/>
        <v>6.0739726027397261</v>
      </c>
      <c r="M422" s="76">
        <v>166483.39517035085</v>
      </c>
      <c r="N422" s="86">
        <f t="shared" si="107"/>
        <v>4640.6048296491499</v>
      </c>
      <c r="O422" s="85">
        <f t="shared" si="108"/>
        <v>-3.0739726027397261</v>
      </c>
      <c r="P422" s="85">
        <v>0</v>
      </c>
      <c r="Q422" s="86">
        <f t="shared" si="114"/>
        <v>0</v>
      </c>
      <c r="R422" s="86">
        <f>N422-Q422</f>
        <v>4640.6048296491499</v>
      </c>
      <c r="S422" s="178">
        <v>0</v>
      </c>
      <c r="T422" s="104">
        <f t="shared" si="112"/>
        <v>0</v>
      </c>
    </row>
    <row r="423" spans="1:20">
      <c r="A423" s="194" t="s">
        <v>230</v>
      </c>
      <c r="B423" s="84">
        <v>41740</v>
      </c>
      <c r="C423" s="208">
        <v>27443</v>
      </c>
      <c r="D423" s="115"/>
      <c r="E423" s="115"/>
      <c r="F423" s="115"/>
      <c r="G423" s="85">
        <f t="shared" si="110"/>
        <v>1372.15</v>
      </c>
      <c r="H423" s="115"/>
      <c r="I423" s="115"/>
      <c r="J423" s="115"/>
      <c r="K423" s="115">
        <f t="shared" si="105"/>
        <v>2181</v>
      </c>
      <c r="L423" s="85">
        <f t="shared" si="106"/>
        <v>5.9753424657534246</v>
      </c>
      <c r="M423" s="76">
        <v>26070.85</v>
      </c>
      <c r="N423" s="86">
        <f t="shared" si="107"/>
        <v>1372.1500000000015</v>
      </c>
      <c r="O423" s="85">
        <f t="shared" si="108"/>
        <v>-2.9753424657534246</v>
      </c>
      <c r="P423" s="85">
        <f t="shared" si="109"/>
        <v>0</v>
      </c>
      <c r="Q423" s="86">
        <f t="shared" si="114"/>
        <v>0</v>
      </c>
      <c r="R423" s="86">
        <f t="shared" ref="R423:R469" si="116">N423-Q423</f>
        <v>1372.1500000000015</v>
      </c>
      <c r="S423" s="178">
        <f t="shared" si="113"/>
        <v>0</v>
      </c>
      <c r="T423" s="104">
        <f t="shared" si="112"/>
        <v>0</v>
      </c>
    </row>
    <row r="424" spans="1:20">
      <c r="A424" s="194" t="s">
        <v>230</v>
      </c>
      <c r="B424" s="84">
        <v>41743</v>
      </c>
      <c r="C424" s="208">
        <v>57543</v>
      </c>
      <c r="D424" s="115"/>
      <c r="E424" s="115"/>
      <c r="F424" s="115"/>
      <c r="G424" s="85">
        <f t="shared" si="110"/>
        <v>2877.15</v>
      </c>
      <c r="H424" s="115"/>
      <c r="I424" s="115"/>
      <c r="J424" s="115"/>
      <c r="K424" s="115">
        <f t="shared" si="105"/>
        <v>2178</v>
      </c>
      <c r="L424" s="85">
        <f t="shared" si="106"/>
        <v>5.9671232876712326</v>
      </c>
      <c r="M424" s="76">
        <v>54665.85</v>
      </c>
      <c r="N424" s="86">
        <f t="shared" si="107"/>
        <v>2877.1500000000015</v>
      </c>
      <c r="O424" s="85">
        <f t="shared" si="108"/>
        <v>-2.9671232876712326</v>
      </c>
      <c r="P424" s="85">
        <f t="shared" si="109"/>
        <v>0</v>
      </c>
      <c r="Q424" s="86">
        <f t="shared" si="114"/>
        <v>0</v>
      </c>
      <c r="R424" s="86">
        <f t="shared" si="116"/>
        <v>2877.1500000000015</v>
      </c>
      <c r="S424" s="178">
        <f t="shared" si="113"/>
        <v>0</v>
      </c>
      <c r="T424" s="104">
        <f t="shared" si="112"/>
        <v>0</v>
      </c>
    </row>
    <row r="425" spans="1:20">
      <c r="A425" s="194" t="s">
        <v>230</v>
      </c>
      <c r="B425" s="84">
        <v>41764</v>
      </c>
      <c r="C425" s="208">
        <v>5900</v>
      </c>
      <c r="D425" s="115"/>
      <c r="E425" s="115"/>
      <c r="F425" s="115"/>
      <c r="G425" s="85">
        <f t="shared" si="110"/>
        <v>295</v>
      </c>
      <c r="H425" s="115"/>
      <c r="I425" s="115"/>
      <c r="J425" s="115"/>
      <c r="K425" s="115">
        <f t="shared" si="105"/>
        <v>2157</v>
      </c>
      <c r="L425" s="85">
        <f t="shared" si="106"/>
        <v>5.9095890410958907</v>
      </c>
      <c r="M425" s="76">
        <v>5605</v>
      </c>
      <c r="N425" s="86">
        <f t="shared" si="107"/>
        <v>295</v>
      </c>
      <c r="O425" s="85">
        <f t="shared" si="108"/>
        <v>-2.9095890410958907</v>
      </c>
      <c r="P425" s="85">
        <f t="shared" si="109"/>
        <v>0</v>
      </c>
      <c r="Q425" s="86">
        <f t="shared" si="114"/>
        <v>0</v>
      </c>
      <c r="R425" s="86">
        <f t="shared" si="116"/>
        <v>295</v>
      </c>
      <c r="S425" s="178">
        <f t="shared" si="113"/>
        <v>0</v>
      </c>
      <c r="T425" s="104">
        <f t="shared" si="112"/>
        <v>0</v>
      </c>
    </row>
    <row r="426" spans="1:20">
      <c r="A426" s="194" t="s">
        <v>230</v>
      </c>
      <c r="B426" s="84">
        <v>41772</v>
      </c>
      <c r="C426" s="208">
        <v>3500</v>
      </c>
      <c r="D426" s="115"/>
      <c r="E426" s="115"/>
      <c r="F426" s="115"/>
      <c r="G426" s="85">
        <f t="shared" si="110"/>
        <v>175</v>
      </c>
      <c r="H426" s="115"/>
      <c r="I426" s="115"/>
      <c r="J426" s="115"/>
      <c r="K426" s="115">
        <f t="shared" si="105"/>
        <v>2149</v>
      </c>
      <c r="L426" s="85">
        <f t="shared" si="106"/>
        <v>5.8876712328767127</v>
      </c>
      <c r="M426" s="76">
        <v>3325</v>
      </c>
      <c r="N426" s="86">
        <f t="shared" si="107"/>
        <v>175</v>
      </c>
      <c r="O426" s="85">
        <f t="shared" si="108"/>
        <v>-2.8876712328767127</v>
      </c>
      <c r="P426" s="85">
        <f t="shared" si="109"/>
        <v>0</v>
      </c>
      <c r="Q426" s="86">
        <f t="shared" si="114"/>
        <v>0</v>
      </c>
      <c r="R426" s="86">
        <f t="shared" si="116"/>
        <v>175</v>
      </c>
      <c r="S426" s="178">
        <f t="shared" si="113"/>
        <v>0</v>
      </c>
      <c r="T426" s="104">
        <f t="shared" si="112"/>
        <v>0</v>
      </c>
    </row>
    <row r="427" spans="1:20">
      <c r="A427" s="194" t="s">
        <v>230</v>
      </c>
      <c r="B427" s="84">
        <v>41808</v>
      </c>
      <c r="C427" s="208">
        <v>116400</v>
      </c>
      <c r="D427" s="115"/>
      <c r="E427" s="115"/>
      <c r="F427" s="115"/>
      <c r="G427" s="85">
        <f t="shared" si="110"/>
        <v>5820</v>
      </c>
      <c r="H427" s="115"/>
      <c r="I427" s="115"/>
      <c r="J427" s="115"/>
      <c r="K427" s="115">
        <f t="shared" si="105"/>
        <v>2113</v>
      </c>
      <c r="L427" s="85">
        <f t="shared" si="106"/>
        <v>5.7890410958904113</v>
      </c>
      <c r="M427" s="76">
        <v>110580</v>
      </c>
      <c r="N427" s="86">
        <f t="shared" si="107"/>
        <v>5820</v>
      </c>
      <c r="O427" s="85">
        <f t="shared" si="108"/>
        <v>-2.7890410958904113</v>
      </c>
      <c r="P427" s="85">
        <f t="shared" si="109"/>
        <v>0</v>
      </c>
      <c r="Q427" s="86">
        <f t="shared" si="114"/>
        <v>0</v>
      </c>
      <c r="R427" s="86">
        <f t="shared" si="116"/>
        <v>5820</v>
      </c>
      <c r="S427" s="178">
        <f t="shared" si="113"/>
        <v>0</v>
      </c>
      <c r="T427" s="104">
        <f t="shared" si="112"/>
        <v>0</v>
      </c>
    </row>
    <row r="428" spans="1:20">
      <c r="A428" s="194" t="s">
        <v>230</v>
      </c>
      <c r="B428" s="84">
        <v>41811</v>
      </c>
      <c r="C428" s="208">
        <v>7100</v>
      </c>
      <c r="D428" s="115"/>
      <c r="E428" s="115"/>
      <c r="F428" s="115"/>
      <c r="G428" s="85">
        <f t="shared" si="110"/>
        <v>355</v>
      </c>
      <c r="H428" s="115"/>
      <c r="I428" s="115"/>
      <c r="J428" s="115"/>
      <c r="K428" s="115">
        <f t="shared" si="105"/>
        <v>2110</v>
      </c>
      <c r="L428" s="85">
        <f t="shared" si="106"/>
        <v>5.7808219178082192</v>
      </c>
      <c r="M428" s="76">
        <v>6745</v>
      </c>
      <c r="N428" s="86">
        <f t="shared" si="107"/>
        <v>355</v>
      </c>
      <c r="O428" s="85">
        <f t="shared" si="108"/>
        <v>-2.7808219178082192</v>
      </c>
      <c r="P428" s="85">
        <f t="shared" si="109"/>
        <v>0</v>
      </c>
      <c r="Q428" s="86">
        <f t="shared" si="114"/>
        <v>0</v>
      </c>
      <c r="R428" s="86">
        <f t="shared" si="116"/>
        <v>355</v>
      </c>
      <c r="S428" s="178">
        <f t="shared" si="113"/>
        <v>0</v>
      </c>
      <c r="T428" s="104">
        <f t="shared" si="112"/>
        <v>0</v>
      </c>
    </row>
    <row r="429" spans="1:20">
      <c r="A429" s="194" t="s">
        <v>230</v>
      </c>
      <c r="B429" s="84">
        <v>41950</v>
      </c>
      <c r="C429" s="208">
        <v>23890</v>
      </c>
      <c r="D429" s="115"/>
      <c r="E429" s="115"/>
      <c r="F429" s="115"/>
      <c r="G429" s="85">
        <f t="shared" si="110"/>
        <v>1194.5</v>
      </c>
      <c r="H429" s="115"/>
      <c r="I429" s="115"/>
      <c r="J429" s="115"/>
      <c r="K429" s="115">
        <f t="shared" si="105"/>
        <v>1971</v>
      </c>
      <c r="L429" s="85">
        <f t="shared" si="106"/>
        <v>5.4</v>
      </c>
      <c r="M429" s="76">
        <v>22695.5</v>
      </c>
      <c r="N429" s="86">
        <f t="shared" si="107"/>
        <v>1194.5</v>
      </c>
      <c r="O429" s="85">
        <f t="shared" si="108"/>
        <v>-2.4000000000000004</v>
      </c>
      <c r="P429" s="85">
        <f t="shared" si="109"/>
        <v>0</v>
      </c>
      <c r="Q429" s="86">
        <f t="shared" si="114"/>
        <v>0</v>
      </c>
      <c r="R429" s="86">
        <f t="shared" si="116"/>
        <v>1194.5</v>
      </c>
      <c r="S429" s="178">
        <f t="shared" si="113"/>
        <v>0</v>
      </c>
      <c r="T429" s="104">
        <f t="shared" si="112"/>
        <v>0</v>
      </c>
    </row>
    <row r="430" spans="1:20">
      <c r="A430" s="194" t="s">
        <v>230</v>
      </c>
      <c r="B430" s="84">
        <v>41951</v>
      </c>
      <c r="C430" s="208">
        <v>16800</v>
      </c>
      <c r="D430" s="115"/>
      <c r="E430" s="115"/>
      <c r="F430" s="115"/>
      <c r="G430" s="85">
        <f t="shared" si="110"/>
        <v>840</v>
      </c>
      <c r="H430" s="115"/>
      <c r="I430" s="115"/>
      <c r="J430" s="115"/>
      <c r="K430" s="115">
        <f t="shared" si="105"/>
        <v>1970</v>
      </c>
      <c r="L430" s="85">
        <f t="shared" si="106"/>
        <v>5.397260273972603</v>
      </c>
      <c r="M430" s="76">
        <v>15960</v>
      </c>
      <c r="N430" s="86">
        <f t="shared" si="107"/>
        <v>840</v>
      </c>
      <c r="O430" s="85">
        <f t="shared" si="108"/>
        <v>-2.397260273972603</v>
      </c>
      <c r="P430" s="85">
        <f t="shared" si="109"/>
        <v>0</v>
      </c>
      <c r="Q430" s="86">
        <f t="shared" si="114"/>
        <v>0</v>
      </c>
      <c r="R430" s="86">
        <f t="shared" si="116"/>
        <v>840</v>
      </c>
      <c r="S430" s="178">
        <f t="shared" si="113"/>
        <v>0</v>
      </c>
      <c r="T430" s="104">
        <f t="shared" si="112"/>
        <v>0</v>
      </c>
    </row>
    <row r="431" spans="1:20" ht="15.75">
      <c r="A431" s="209" t="s">
        <v>234</v>
      </c>
      <c r="B431" s="84">
        <v>42242</v>
      </c>
      <c r="C431" s="130">
        <v>7670</v>
      </c>
      <c r="D431" s="115"/>
      <c r="E431" s="115"/>
      <c r="F431" s="115"/>
      <c r="G431" s="85">
        <f t="shared" si="110"/>
        <v>383.5</v>
      </c>
      <c r="H431" s="115"/>
      <c r="I431" s="115"/>
      <c r="J431" s="115"/>
      <c r="K431" s="115">
        <f t="shared" si="105"/>
        <v>1679</v>
      </c>
      <c r="L431" s="85">
        <f t="shared" si="106"/>
        <v>4.5999999999999996</v>
      </c>
      <c r="M431" s="124">
        <v>7286.5</v>
      </c>
      <c r="N431" s="86">
        <f t="shared" si="107"/>
        <v>383.5</v>
      </c>
      <c r="O431" s="85">
        <f t="shared" si="108"/>
        <v>-1.5999999999999996</v>
      </c>
      <c r="P431" s="85">
        <f t="shared" si="109"/>
        <v>0</v>
      </c>
      <c r="Q431" s="86">
        <f>P431</f>
        <v>0</v>
      </c>
      <c r="R431" s="86">
        <f t="shared" si="116"/>
        <v>383.5</v>
      </c>
      <c r="S431" s="178">
        <f t="shared" si="113"/>
        <v>0</v>
      </c>
      <c r="T431" s="104">
        <f t="shared" si="112"/>
        <v>0</v>
      </c>
    </row>
    <row r="432" spans="1:20" ht="15.75">
      <c r="A432" s="209" t="s">
        <v>235</v>
      </c>
      <c r="B432" s="84">
        <v>42257</v>
      </c>
      <c r="C432" s="130">
        <v>8138</v>
      </c>
      <c r="D432" s="115"/>
      <c r="E432" s="115"/>
      <c r="F432" s="115"/>
      <c r="G432" s="85">
        <f t="shared" si="110"/>
        <v>406.90000000000003</v>
      </c>
      <c r="H432" s="115"/>
      <c r="I432" s="115"/>
      <c r="J432" s="115"/>
      <c r="K432" s="115">
        <f t="shared" si="105"/>
        <v>1664</v>
      </c>
      <c r="L432" s="85">
        <f t="shared" si="106"/>
        <v>4.558904109589041</v>
      </c>
      <c r="M432" s="124">
        <v>7731.1</v>
      </c>
      <c r="N432" s="86">
        <f t="shared" si="107"/>
        <v>406.89999999999964</v>
      </c>
      <c r="O432" s="85">
        <f t="shared" si="108"/>
        <v>-1.558904109589041</v>
      </c>
      <c r="P432" s="85">
        <f t="shared" si="109"/>
        <v>0</v>
      </c>
      <c r="Q432" s="86">
        <f>P432</f>
        <v>0</v>
      </c>
      <c r="R432" s="86">
        <f t="shared" si="116"/>
        <v>406.89999999999964</v>
      </c>
      <c r="S432" s="178">
        <f t="shared" si="113"/>
        <v>0</v>
      </c>
      <c r="T432" s="104">
        <f t="shared" si="112"/>
        <v>0</v>
      </c>
    </row>
    <row r="433" spans="1:21" ht="15.75">
      <c r="A433" s="209" t="s">
        <v>235</v>
      </c>
      <c r="B433" s="84">
        <v>42275</v>
      </c>
      <c r="C433" s="130">
        <v>17736</v>
      </c>
      <c r="D433" s="115"/>
      <c r="E433" s="115"/>
      <c r="F433" s="115"/>
      <c r="G433" s="85">
        <f t="shared" si="110"/>
        <v>886.80000000000007</v>
      </c>
      <c r="H433" s="115"/>
      <c r="I433" s="115"/>
      <c r="J433" s="115"/>
      <c r="K433" s="115">
        <f t="shared" si="105"/>
        <v>1646</v>
      </c>
      <c r="L433" s="85">
        <f t="shared" si="106"/>
        <v>4.5095890410958903</v>
      </c>
      <c r="M433" s="124">
        <v>16849.2</v>
      </c>
      <c r="N433" s="86">
        <f t="shared" si="107"/>
        <v>886.79999999999927</v>
      </c>
      <c r="O433" s="85">
        <f t="shared" si="108"/>
        <v>-1.5095890410958903</v>
      </c>
      <c r="P433" s="85">
        <f t="shared" si="109"/>
        <v>0</v>
      </c>
      <c r="Q433" s="86">
        <f>P433</f>
        <v>0</v>
      </c>
      <c r="R433" s="86">
        <f t="shared" si="116"/>
        <v>886.79999999999927</v>
      </c>
      <c r="S433" s="178">
        <f t="shared" si="113"/>
        <v>0</v>
      </c>
      <c r="T433" s="104">
        <f t="shared" si="112"/>
        <v>0</v>
      </c>
    </row>
    <row r="434" spans="1:21" ht="15.75">
      <c r="A434" s="210" t="s">
        <v>236</v>
      </c>
      <c r="B434" s="189">
        <v>42873</v>
      </c>
      <c r="C434" s="130">
        <v>31630</v>
      </c>
      <c r="D434" s="99"/>
      <c r="E434" s="99"/>
      <c r="F434" s="99"/>
      <c r="G434" s="95">
        <f t="shared" si="110"/>
        <v>1581.5</v>
      </c>
      <c r="H434" s="99"/>
      <c r="I434" s="99"/>
      <c r="J434" s="99"/>
      <c r="K434" s="99">
        <f t="shared" si="105"/>
        <v>1048</v>
      </c>
      <c r="L434" s="95">
        <f t="shared" si="106"/>
        <v>2.871232876712329</v>
      </c>
      <c r="M434" s="124">
        <f>-([1]Sheet1!$G$328+[1]Sheet1!$G$329)</f>
        <v>28731.32</v>
      </c>
      <c r="N434" s="96">
        <f t="shared" si="107"/>
        <v>2898.6800000000003</v>
      </c>
      <c r="O434" s="95">
        <f t="shared" si="108"/>
        <v>0.12876712328767104</v>
      </c>
      <c r="P434" s="95">
        <f t="shared" si="109"/>
        <v>1317.1800000000003</v>
      </c>
      <c r="Q434" s="96">
        <f>+N434-G434</f>
        <v>1317.1800000000003</v>
      </c>
      <c r="R434" s="96">
        <f t="shared" si="116"/>
        <v>1581.5</v>
      </c>
      <c r="S434" s="211">
        <f>([1]Sheet1!$I$328+[1]Sheet1!$I$329)</f>
        <v>-1289.75</v>
      </c>
      <c r="T434" s="104">
        <f t="shared" si="112"/>
        <v>-27.430000000000291</v>
      </c>
    </row>
    <row r="435" spans="1:21">
      <c r="A435" s="212" t="s">
        <v>237</v>
      </c>
      <c r="B435" s="189">
        <v>43470</v>
      </c>
      <c r="C435" s="108">
        <v>36300</v>
      </c>
      <c r="D435" s="99"/>
      <c r="E435" s="99"/>
      <c r="F435" s="99"/>
      <c r="G435" s="95">
        <f t="shared" si="110"/>
        <v>1815</v>
      </c>
      <c r="H435" s="99"/>
      <c r="I435" s="99"/>
      <c r="J435" s="99"/>
      <c r="K435" s="99">
        <f t="shared" si="105"/>
        <v>451</v>
      </c>
      <c r="L435" s="95">
        <f t="shared" si="106"/>
        <v>1.2356164383561643</v>
      </c>
      <c r="M435" s="124">
        <v>14171.77</v>
      </c>
      <c r="N435" s="96">
        <f t="shared" si="107"/>
        <v>22128.23</v>
      </c>
      <c r="O435" s="95">
        <f t="shared" si="108"/>
        <v>1.7643835616438357</v>
      </c>
      <c r="P435" s="95">
        <f t="shared" si="109"/>
        <v>20313.23</v>
      </c>
      <c r="Q435" s="96">
        <f t="shared" ref="Q435:Q469" si="117">P435/O435</f>
        <v>11512.933152173911</v>
      </c>
      <c r="R435" s="96">
        <f t="shared" si="116"/>
        <v>10615.296847826088</v>
      </c>
      <c r="S435" s="211">
        <f>+SUM([1]Sheet1!$I$331:$I$339)</f>
        <v>-11495</v>
      </c>
      <c r="T435" s="104">
        <f t="shared" si="112"/>
        <v>-17.933152173911367</v>
      </c>
    </row>
    <row r="436" spans="1:21" ht="15.75">
      <c r="A436" s="213" t="s">
        <v>237</v>
      </c>
      <c r="B436" s="214">
        <v>43514</v>
      </c>
      <c r="C436" s="215">
        <v>16525</v>
      </c>
      <c r="D436" s="179"/>
      <c r="E436" s="179"/>
      <c r="F436" s="179"/>
      <c r="G436" s="216">
        <f t="shared" si="110"/>
        <v>826.25</v>
      </c>
      <c r="H436" s="179"/>
      <c r="I436" s="179"/>
      <c r="J436" s="179"/>
      <c r="K436" s="179">
        <f t="shared" si="105"/>
        <v>407</v>
      </c>
      <c r="L436" s="216">
        <f t="shared" si="106"/>
        <v>1.1150684931506849</v>
      </c>
      <c r="M436" s="184">
        <v>5820.72</v>
      </c>
      <c r="N436" s="217">
        <f t="shared" si="107"/>
        <v>10704.279999999999</v>
      </c>
      <c r="O436" s="216">
        <f t="shared" si="108"/>
        <v>1.8849315068493151</v>
      </c>
      <c r="P436" s="216">
        <f t="shared" si="109"/>
        <v>9878.0299999999988</v>
      </c>
      <c r="Q436" s="217">
        <f t="shared" si="117"/>
        <v>5240.5246366279061</v>
      </c>
      <c r="R436" s="217">
        <f t="shared" si="116"/>
        <v>5463.7553633720927</v>
      </c>
      <c r="S436" s="218">
        <f>+[1]Sheet1!$I$342</f>
        <v>-5232.92</v>
      </c>
      <c r="T436" s="112">
        <f t="shared" si="112"/>
        <v>-7.6046366279060749</v>
      </c>
      <c r="U436" s="207"/>
    </row>
    <row r="437" spans="1:21">
      <c r="A437" s="212" t="s">
        <v>238</v>
      </c>
      <c r="B437" s="189">
        <v>43543</v>
      </c>
      <c r="C437" s="108">
        <v>13100</v>
      </c>
      <c r="D437" s="99"/>
      <c r="E437" s="99"/>
      <c r="F437" s="99"/>
      <c r="G437" s="95">
        <f t="shared" si="110"/>
        <v>655</v>
      </c>
      <c r="H437" s="99"/>
      <c r="I437" s="99"/>
      <c r="J437" s="99"/>
      <c r="K437" s="99">
        <f t="shared" si="105"/>
        <v>378</v>
      </c>
      <c r="L437" s="95">
        <f t="shared" si="106"/>
        <v>1.0356164383561643</v>
      </c>
      <c r="M437" s="124">
        <f>-([1]Sheet1!$G$345+[1]Sheet1!$G$346)</f>
        <v>4284.71</v>
      </c>
      <c r="N437" s="96">
        <f t="shared" si="107"/>
        <v>8815.2900000000009</v>
      </c>
      <c r="O437" s="95">
        <f t="shared" si="108"/>
        <v>1.9643835616438357</v>
      </c>
      <c r="P437" s="95">
        <f t="shared" si="109"/>
        <v>8160.2900000000009</v>
      </c>
      <c r="Q437" s="96">
        <f t="shared" si="117"/>
        <v>4154.122524407253</v>
      </c>
      <c r="R437" s="96">
        <f t="shared" si="116"/>
        <v>4661.1674755927479</v>
      </c>
      <c r="S437" s="211">
        <f>([1]Sheet1!$I$345+[1]Sheet1!$I$346)</f>
        <v>-4148.33</v>
      </c>
      <c r="T437" s="104">
        <f t="shared" si="112"/>
        <v>-5.7925244072530404</v>
      </c>
    </row>
    <row r="438" spans="1:21">
      <c r="A438" s="212" t="s">
        <v>239</v>
      </c>
      <c r="B438" s="189">
        <v>43432</v>
      </c>
      <c r="C438" s="108">
        <v>22034</v>
      </c>
      <c r="D438" s="99"/>
      <c r="E438" s="99"/>
      <c r="F438" s="99"/>
      <c r="G438" s="95">
        <f t="shared" si="110"/>
        <v>1101.7</v>
      </c>
      <c r="H438" s="99"/>
      <c r="I438" s="99"/>
      <c r="J438" s="99"/>
      <c r="K438" s="99">
        <f t="shared" si="105"/>
        <v>489</v>
      </c>
      <c r="L438" s="95">
        <f t="shared" si="106"/>
        <v>1.3397260273972602</v>
      </c>
      <c r="M438" s="124">
        <f>-[1]Sheet1!$G$330</f>
        <v>9328.73</v>
      </c>
      <c r="N438" s="96">
        <f t="shared" si="107"/>
        <v>12705.27</v>
      </c>
      <c r="O438" s="95">
        <f t="shared" si="108"/>
        <v>1.6602739726027398</v>
      </c>
      <c r="P438" s="95">
        <f t="shared" si="109"/>
        <v>11603.57</v>
      </c>
      <c r="Q438" s="96">
        <f t="shared" si="117"/>
        <v>6988.9489273927393</v>
      </c>
      <c r="R438" s="96">
        <f t="shared" si="116"/>
        <v>5716.3210726072612</v>
      </c>
      <c r="S438" s="211">
        <f>([1]Sheet1!$I$330)</f>
        <v>-6977.43</v>
      </c>
      <c r="T438" s="104">
        <f t="shared" si="112"/>
        <v>-11.518927392738988</v>
      </c>
    </row>
    <row r="439" spans="1:21">
      <c r="A439" s="212" t="s">
        <v>239</v>
      </c>
      <c r="B439" s="189">
        <v>43510</v>
      </c>
      <c r="C439" s="108">
        <v>20169.490000000002</v>
      </c>
      <c r="D439" s="99"/>
      <c r="E439" s="99"/>
      <c r="F439" s="99"/>
      <c r="G439" s="95">
        <f t="shared" si="110"/>
        <v>1008.4745000000001</v>
      </c>
      <c r="H439" s="99"/>
      <c r="I439" s="99"/>
      <c r="J439" s="99"/>
      <c r="K439" s="99">
        <f t="shared" si="105"/>
        <v>411</v>
      </c>
      <c r="L439" s="95">
        <f t="shared" si="106"/>
        <v>1.1260273972602739</v>
      </c>
      <c r="M439" s="124">
        <f>-[1]Sheet1!$G$341</f>
        <v>7174.45</v>
      </c>
      <c r="N439" s="96">
        <f t="shared" si="107"/>
        <v>12995.04</v>
      </c>
      <c r="O439" s="95">
        <f t="shared" si="108"/>
        <v>1.8739726027397261</v>
      </c>
      <c r="P439" s="95">
        <f t="shared" si="109"/>
        <v>11986.565500000001</v>
      </c>
      <c r="Q439" s="96">
        <f t="shared" si="117"/>
        <v>6396.3397770467836</v>
      </c>
      <c r="R439" s="96">
        <f t="shared" si="116"/>
        <v>6598.7002229532172</v>
      </c>
      <c r="S439" s="211">
        <f>+[1]Sheet1!$I$341</f>
        <v>-6387.01</v>
      </c>
      <c r="T439" s="104">
        <f t="shared" si="112"/>
        <v>-9.3297770467834198</v>
      </c>
    </row>
    <row r="440" spans="1:21">
      <c r="A440" s="212" t="s">
        <v>239</v>
      </c>
      <c r="B440" s="189">
        <v>43510</v>
      </c>
      <c r="C440" s="108">
        <v>20169.490000000002</v>
      </c>
      <c r="D440" s="99"/>
      <c r="E440" s="99"/>
      <c r="F440" s="99"/>
      <c r="G440" s="95">
        <f t="shared" si="110"/>
        <v>1008.4745000000001</v>
      </c>
      <c r="H440" s="99"/>
      <c r="I440" s="99"/>
      <c r="J440" s="99"/>
      <c r="K440" s="99">
        <f t="shared" si="105"/>
        <v>411</v>
      </c>
      <c r="L440" s="95">
        <f t="shared" si="106"/>
        <v>1.1260273972602739</v>
      </c>
      <c r="M440" s="124">
        <f>-[1]Sheet1!$G$343</f>
        <v>7174.45</v>
      </c>
      <c r="N440" s="96">
        <f t="shared" si="107"/>
        <v>12995.04</v>
      </c>
      <c r="O440" s="95">
        <f t="shared" si="108"/>
        <v>1.8739726027397261</v>
      </c>
      <c r="P440" s="95">
        <f t="shared" si="109"/>
        <v>11986.565500000001</v>
      </c>
      <c r="Q440" s="96">
        <f t="shared" si="117"/>
        <v>6396.3397770467836</v>
      </c>
      <c r="R440" s="96">
        <f t="shared" si="116"/>
        <v>6598.7002229532172</v>
      </c>
      <c r="S440" s="211">
        <f>+[1]Sheet1!$I$343</f>
        <v>-6387.01</v>
      </c>
      <c r="T440" s="104">
        <f t="shared" si="112"/>
        <v>-9.3297770467834198</v>
      </c>
    </row>
    <row r="441" spans="1:21">
      <c r="A441" s="212" t="s">
        <v>240</v>
      </c>
      <c r="B441" s="189">
        <v>43509</v>
      </c>
      <c r="C441" s="108">
        <v>7797</v>
      </c>
      <c r="D441" s="99"/>
      <c r="E441" s="99"/>
      <c r="F441" s="99"/>
      <c r="G441" s="95">
        <f t="shared" si="110"/>
        <v>389.85</v>
      </c>
      <c r="H441" s="99"/>
      <c r="I441" s="99"/>
      <c r="J441" s="99"/>
      <c r="K441" s="99">
        <f t="shared" si="105"/>
        <v>412</v>
      </c>
      <c r="L441" s="95">
        <f t="shared" si="106"/>
        <v>1.1287671232876713</v>
      </c>
      <c r="M441" s="124">
        <f>-[1]Sheet1!$G$340</f>
        <v>2780.22</v>
      </c>
      <c r="N441" s="96">
        <f t="shared" si="107"/>
        <v>5016.7800000000007</v>
      </c>
      <c r="O441" s="95">
        <f t="shared" si="108"/>
        <v>1.8712328767123287</v>
      </c>
      <c r="P441" s="95">
        <f t="shared" si="109"/>
        <v>4626.93</v>
      </c>
      <c r="Q441" s="96">
        <f t="shared" si="117"/>
        <v>2472.6639092240121</v>
      </c>
      <c r="R441" s="96">
        <f t="shared" si="116"/>
        <v>2544.1160907759886</v>
      </c>
      <c r="S441" s="211">
        <f>+[1]Sheet1!$I$340</f>
        <v>-2469.0500000000002</v>
      </c>
      <c r="T441" s="104">
        <f t="shared" si="112"/>
        <v>-3.6139092240118771</v>
      </c>
    </row>
    <row r="442" spans="1:21">
      <c r="A442" s="212" t="s">
        <v>240</v>
      </c>
      <c r="B442" s="189">
        <v>43523</v>
      </c>
      <c r="C442" s="108">
        <v>8630</v>
      </c>
      <c r="D442" s="99"/>
      <c r="E442" s="99"/>
      <c r="F442" s="99"/>
      <c r="G442" s="95">
        <f t="shared" si="110"/>
        <v>431.5</v>
      </c>
      <c r="H442" s="99"/>
      <c r="I442" s="99"/>
      <c r="J442" s="99"/>
      <c r="K442" s="99">
        <f t="shared" si="105"/>
        <v>398</v>
      </c>
      <c r="L442" s="95">
        <f t="shared" si="106"/>
        <v>1.0904109589041096</v>
      </c>
      <c r="M442" s="124">
        <f>-[1]Sheet1!$G$344</f>
        <v>2972.42</v>
      </c>
      <c r="N442" s="96">
        <f t="shared" si="107"/>
        <v>5657.58</v>
      </c>
      <c r="O442" s="95">
        <f t="shared" si="108"/>
        <v>1.9095890410958904</v>
      </c>
      <c r="P442" s="95">
        <f t="shared" si="109"/>
        <v>5226.08</v>
      </c>
      <c r="Q442" s="96">
        <f t="shared" si="117"/>
        <v>2736.7563845050213</v>
      </c>
      <c r="R442" s="96">
        <f t="shared" si="116"/>
        <v>2920.8236154949786</v>
      </c>
      <c r="S442" s="211">
        <f>[1]Sheet1!$I$344</f>
        <v>-2732.83</v>
      </c>
      <c r="T442" s="104">
        <f t="shared" si="112"/>
        <v>-3.9263845050213604</v>
      </c>
    </row>
    <row r="443" spans="1:21">
      <c r="A443" s="219" t="s">
        <v>241</v>
      </c>
      <c r="B443" s="220">
        <v>43555</v>
      </c>
      <c r="C443" s="221">
        <v>31000</v>
      </c>
      <c r="D443" s="99"/>
      <c r="E443" s="99"/>
      <c r="F443" s="99"/>
      <c r="G443" s="95">
        <f t="shared" si="110"/>
        <v>1550</v>
      </c>
      <c r="H443" s="99"/>
      <c r="I443" s="99"/>
      <c r="J443" s="99"/>
      <c r="K443" s="99">
        <f t="shared" si="105"/>
        <v>366</v>
      </c>
      <c r="L443" s="95">
        <f t="shared" si="106"/>
        <v>1.0027397260273974</v>
      </c>
      <c r="M443" s="221">
        <v>9816.67</v>
      </c>
      <c r="N443" s="96">
        <f t="shared" si="107"/>
        <v>21183.33</v>
      </c>
      <c r="O443" s="95">
        <f t="shared" si="108"/>
        <v>1.9972602739726026</v>
      </c>
      <c r="P443" s="95">
        <f t="shared" si="109"/>
        <v>19633.330000000002</v>
      </c>
      <c r="Q443" s="96">
        <f t="shared" si="117"/>
        <v>9830.1309327846375</v>
      </c>
      <c r="R443" s="96">
        <f t="shared" si="116"/>
        <v>11353.199067215364</v>
      </c>
      <c r="S443" s="211">
        <f>+[1]Sheet1!$I$347</f>
        <v>-9816.67</v>
      </c>
      <c r="T443" s="104">
        <f t="shared" si="112"/>
        <v>-13.460932784637407</v>
      </c>
    </row>
    <row r="444" spans="1:21">
      <c r="A444" s="219" t="s">
        <v>242</v>
      </c>
      <c r="B444" s="220">
        <v>43556</v>
      </c>
      <c r="C444" s="221">
        <v>29850</v>
      </c>
      <c r="D444" s="99"/>
      <c r="E444" s="99"/>
      <c r="F444" s="99"/>
      <c r="G444" s="95">
        <f t="shared" si="110"/>
        <v>1492.5</v>
      </c>
      <c r="H444" s="99"/>
      <c r="I444" s="99"/>
      <c r="J444" s="99"/>
      <c r="K444" s="99">
        <f t="shared" si="105"/>
        <v>365</v>
      </c>
      <c r="L444" s="95">
        <f t="shared" si="106"/>
        <v>1</v>
      </c>
      <c r="M444" s="221">
        <v>9452.5</v>
      </c>
      <c r="N444" s="96">
        <f t="shared" si="107"/>
        <v>20397.5</v>
      </c>
      <c r="O444" s="95">
        <f t="shared" si="108"/>
        <v>2</v>
      </c>
      <c r="P444" s="95">
        <f t="shared" si="109"/>
        <v>18905</v>
      </c>
      <c r="Q444" s="96">
        <f t="shared" si="117"/>
        <v>9452.5</v>
      </c>
      <c r="R444" s="96">
        <f t="shared" si="116"/>
        <v>10945</v>
      </c>
      <c r="S444" s="211">
        <f>+[1]Sheet1!$I$348</f>
        <v>-9452.5</v>
      </c>
      <c r="T444" s="104">
        <f t="shared" si="112"/>
        <v>0</v>
      </c>
    </row>
    <row r="445" spans="1:21">
      <c r="A445" s="219" t="s">
        <v>243</v>
      </c>
      <c r="B445" s="220">
        <v>43556</v>
      </c>
      <c r="C445" s="221">
        <v>7100</v>
      </c>
      <c r="D445" s="99"/>
      <c r="E445" s="99"/>
      <c r="F445" s="99"/>
      <c r="G445" s="95">
        <f t="shared" si="110"/>
        <v>355</v>
      </c>
      <c r="H445" s="99"/>
      <c r="I445" s="99"/>
      <c r="J445" s="99"/>
      <c r="K445" s="99">
        <f t="shared" si="105"/>
        <v>365</v>
      </c>
      <c r="L445" s="95">
        <f t="shared" si="106"/>
        <v>1</v>
      </c>
      <c r="M445" s="221">
        <v>2248.33</v>
      </c>
      <c r="N445" s="96">
        <f t="shared" si="107"/>
        <v>4851.67</v>
      </c>
      <c r="O445" s="95">
        <f t="shared" si="108"/>
        <v>2</v>
      </c>
      <c r="P445" s="95">
        <f t="shared" si="109"/>
        <v>4496.67</v>
      </c>
      <c r="Q445" s="96">
        <f t="shared" si="117"/>
        <v>2248.335</v>
      </c>
      <c r="R445" s="96">
        <f t="shared" si="116"/>
        <v>2603.335</v>
      </c>
      <c r="S445" s="211">
        <f>+[1]Sheet1!$I$349</f>
        <v>-2248.33</v>
      </c>
      <c r="T445" s="104">
        <f t="shared" si="112"/>
        <v>-5.0000000001091394E-3</v>
      </c>
    </row>
    <row r="446" spans="1:21">
      <c r="A446" s="219" t="s">
        <v>244</v>
      </c>
      <c r="B446" s="220">
        <v>43556</v>
      </c>
      <c r="C446" s="221">
        <v>44900</v>
      </c>
      <c r="D446" s="99"/>
      <c r="E446" s="99"/>
      <c r="F446" s="99"/>
      <c r="G446" s="95">
        <f t="shared" si="110"/>
        <v>2245</v>
      </c>
      <c r="H446" s="99"/>
      <c r="I446" s="99"/>
      <c r="J446" s="99"/>
      <c r="K446" s="99">
        <f t="shared" si="105"/>
        <v>365</v>
      </c>
      <c r="L446" s="95">
        <f t="shared" si="106"/>
        <v>1</v>
      </c>
      <c r="M446" s="221">
        <v>14218.33</v>
      </c>
      <c r="N446" s="96">
        <f t="shared" si="107"/>
        <v>30681.67</v>
      </c>
      <c r="O446" s="95">
        <f t="shared" si="108"/>
        <v>2</v>
      </c>
      <c r="P446" s="95">
        <f t="shared" si="109"/>
        <v>28436.67</v>
      </c>
      <c r="Q446" s="96">
        <f t="shared" si="117"/>
        <v>14218.334999999999</v>
      </c>
      <c r="R446" s="96">
        <f t="shared" si="116"/>
        <v>16463.334999999999</v>
      </c>
      <c r="S446" s="211">
        <f>+[1]Sheet1!$I$350</f>
        <v>-14218.33</v>
      </c>
      <c r="T446" s="104">
        <f t="shared" si="112"/>
        <v>-4.9999999991996447E-3</v>
      </c>
    </row>
    <row r="447" spans="1:21">
      <c r="A447" s="219" t="s">
        <v>245</v>
      </c>
      <c r="B447" s="220">
        <v>43607</v>
      </c>
      <c r="C447" s="221">
        <v>43500</v>
      </c>
      <c r="D447" s="99"/>
      <c r="E447" s="99"/>
      <c r="F447" s="99"/>
      <c r="G447" s="95">
        <f t="shared" si="110"/>
        <v>2175</v>
      </c>
      <c r="H447" s="99"/>
      <c r="I447" s="99"/>
      <c r="J447" s="99"/>
      <c r="K447" s="99">
        <f t="shared" si="105"/>
        <v>314</v>
      </c>
      <c r="L447" s="95">
        <f t="shared" si="106"/>
        <v>0.86027397260273974</v>
      </c>
      <c r="M447" s="221">
        <v>11855.53</v>
      </c>
      <c r="N447" s="96">
        <f t="shared" si="107"/>
        <v>31644.47</v>
      </c>
      <c r="O447" s="95">
        <f t="shared" si="108"/>
        <v>2.13972602739726</v>
      </c>
      <c r="P447" s="95">
        <f t="shared" si="109"/>
        <v>29469.47</v>
      </c>
      <c r="Q447" s="96">
        <f t="shared" si="117"/>
        <v>13772.543597951346</v>
      </c>
      <c r="R447" s="96">
        <f t="shared" si="116"/>
        <v>17871.926402048655</v>
      </c>
      <c r="S447" s="211">
        <f>+[1]Sheet1!$I$351</f>
        <v>-13775</v>
      </c>
      <c r="T447" s="104">
        <f t="shared" si="112"/>
        <v>2.4564020486541267</v>
      </c>
    </row>
    <row r="448" spans="1:21">
      <c r="A448" s="219" t="s">
        <v>246</v>
      </c>
      <c r="B448" s="220">
        <v>43631</v>
      </c>
      <c r="C448" s="221">
        <v>141357</v>
      </c>
      <c r="D448" s="99"/>
      <c r="E448" s="99"/>
      <c r="F448" s="99"/>
      <c r="G448" s="95">
        <f t="shared" si="110"/>
        <v>7067.85</v>
      </c>
      <c r="H448" s="99"/>
      <c r="I448" s="99"/>
      <c r="J448" s="99"/>
      <c r="K448" s="99">
        <f t="shared" si="105"/>
        <v>290</v>
      </c>
      <c r="L448" s="95">
        <f t="shared" si="106"/>
        <v>0.79452054794520544</v>
      </c>
      <c r="M448" s="221">
        <v>35590.29</v>
      </c>
      <c r="N448" s="96">
        <f t="shared" si="107"/>
        <v>105766.70999999999</v>
      </c>
      <c r="O448" s="95">
        <f t="shared" si="108"/>
        <v>2.2054794520547945</v>
      </c>
      <c r="P448" s="95">
        <f t="shared" si="109"/>
        <v>98698.859999999986</v>
      </c>
      <c r="Q448" s="96">
        <f t="shared" si="117"/>
        <v>44751.657018633538</v>
      </c>
      <c r="R448" s="96">
        <f t="shared" si="116"/>
        <v>61015.052981366454</v>
      </c>
      <c r="S448" s="211">
        <f>+[1]Sheet1!$I$352</f>
        <v>-44763.05</v>
      </c>
      <c r="T448" s="104">
        <f t="shared" si="112"/>
        <v>11.392981366465392</v>
      </c>
    </row>
    <row r="449" spans="1:20">
      <c r="A449" s="219" t="s">
        <v>246</v>
      </c>
      <c r="B449" s="220">
        <v>43643</v>
      </c>
      <c r="C449" s="221">
        <v>114830.58</v>
      </c>
      <c r="D449" s="99"/>
      <c r="E449" s="99"/>
      <c r="F449" s="99"/>
      <c r="G449" s="95">
        <f t="shared" si="110"/>
        <v>5741.5290000000005</v>
      </c>
      <c r="H449" s="99"/>
      <c r="I449" s="99"/>
      <c r="J449" s="99"/>
      <c r="K449" s="99">
        <f t="shared" si="105"/>
        <v>278</v>
      </c>
      <c r="L449" s="95">
        <f t="shared" si="106"/>
        <v>0.76164383561643834</v>
      </c>
      <c r="M449" s="221">
        <v>27719.35</v>
      </c>
      <c r="N449" s="96">
        <f t="shared" si="107"/>
        <v>87111.23000000001</v>
      </c>
      <c r="O449" s="95">
        <f t="shared" si="108"/>
        <v>2.2383561643835614</v>
      </c>
      <c r="P449" s="95">
        <f t="shared" si="109"/>
        <v>81369.701000000015</v>
      </c>
      <c r="Q449" s="96">
        <f t="shared" si="117"/>
        <v>36352.436799265619</v>
      </c>
      <c r="R449" s="96">
        <f t="shared" si="116"/>
        <v>50758.793200734392</v>
      </c>
      <c r="S449" s="211">
        <f>+[1]Sheet1!$I$353</f>
        <v>-36363.019999999997</v>
      </c>
      <c r="T449" s="104">
        <f t="shared" si="112"/>
        <v>10.583200734377897</v>
      </c>
    </row>
    <row r="450" spans="1:20">
      <c r="A450" s="219" t="s">
        <v>247</v>
      </c>
      <c r="B450" s="220">
        <v>43669</v>
      </c>
      <c r="C450" s="221">
        <v>50000</v>
      </c>
      <c r="D450" s="99"/>
      <c r="E450" s="99"/>
      <c r="F450" s="99"/>
      <c r="G450" s="95">
        <f t="shared" si="110"/>
        <v>2500</v>
      </c>
      <c r="H450" s="99"/>
      <c r="I450" s="99"/>
      <c r="J450" s="99"/>
      <c r="K450" s="99">
        <f t="shared" si="105"/>
        <v>252</v>
      </c>
      <c r="L450" s="95">
        <f t="shared" si="106"/>
        <v>0.69041095890410964</v>
      </c>
      <c r="M450" s="221">
        <v>10944.9</v>
      </c>
      <c r="N450" s="96">
        <f t="shared" si="107"/>
        <v>39055.1</v>
      </c>
      <c r="O450" s="95">
        <f t="shared" si="108"/>
        <v>2.3095890410958901</v>
      </c>
      <c r="P450" s="95">
        <f t="shared" si="109"/>
        <v>36555.1</v>
      </c>
      <c r="Q450" s="96">
        <f t="shared" si="117"/>
        <v>15827.534400948993</v>
      </c>
      <c r="R450" s="96">
        <f t="shared" si="116"/>
        <v>23227.565599051006</v>
      </c>
      <c r="S450" s="211">
        <f>+[1]Sheet1!$I$354</f>
        <v>-15833.33</v>
      </c>
      <c r="T450" s="104">
        <f t="shared" si="112"/>
        <v>5.7955990510072297</v>
      </c>
    </row>
    <row r="451" spans="1:20">
      <c r="A451" s="219" t="s">
        <v>248</v>
      </c>
      <c r="B451" s="220">
        <v>43669</v>
      </c>
      <c r="C451" s="221">
        <v>81457.02</v>
      </c>
      <c r="D451" s="99"/>
      <c r="E451" s="99"/>
      <c r="F451" s="99"/>
      <c r="G451" s="95">
        <f t="shared" si="110"/>
        <v>4072.8510000000006</v>
      </c>
      <c r="H451" s="99"/>
      <c r="I451" s="99"/>
      <c r="J451" s="99"/>
      <c r="K451" s="99">
        <f t="shared" si="105"/>
        <v>252</v>
      </c>
      <c r="L451" s="95">
        <f t="shared" si="106"/>
        <v>0.69041095890410964</v>
      </c>
      <c r="M451" s="221">
        <v>17830.78</v>
      </c>
      <c r="N451" s="96">
        <f t="shared" si="107"/>
        <v>63626.240000000005</v>
      </c>
      <c r="O451" s="95">
        <f t="shared" si="108"/>
        <v>2.3095890410958901</v>
      </c>
      <c r="P451" s="95">
        <f t="shared" si="109"/>
        <v>59553.389000000003</v>
      </c>
      <c r="Q451" s="96">
        <f t="shared" si="117"/>
        <v>25785.275189798343</v>
      </c>
      <c r="R451" s="96">
        <f t="shared" si="116"/>
        <v>37840.964810201665</v>
      </c>
      <c r="S451" s="211">
        <f>+[1]Sheet1!$I$355</f>
        <v>-25794.720000000001</v>
      </c>
      <c r="T451" s="104">
        <f t="shared" si="112"/>
        <v>9.444810201657674</v>
      </c>
    </row>
    <row r="452" spans="1:20">
      <c r="A452" s="219" t="s">
        <v>249</v>
      </c>
      <c r="B452" s="220">
        <v>43669</v>
      </c>
      <c r="C452" s="221">
        <v>16101.68</v>
      </c>
      <c r="D452" s="99"/>
      <c r="E452" s="99"/>
      <c r="F452" s="99"/>
      <c r="G452" s="95">
        <f t="shared" si="110"/>
        <v>805.08400000000006</v>
      </c>
      <c r="H452" s="99"/>
      <c r="I452" s="99"/>
      <c r="J452" s="99"/>
      <c r="K452" s="99">
        <f t="shared" si="105"/>
        <v>252</v>
      </c>
      <c r="L452" s="95">
        <f t="shared" si="106"/>
        <v>0.69041095890410964</v>
      </c>
      <c r="M452" s="221">
        <v>3524.63</v>
      </c>
      <c r="N452" s="96">
        <f t="shared" si="107"/>
        <v>12577.05</v>
      </c>
      <c r="O452" s="95">
        <f t="shared" si="108"/>
        <v>2.3095890410958901</v>
      </c>
      <c r="P452" s="95">
        <f t="shared" si="109"/>
        <v>11771.965999999999</v>
      </c>
      <c r="Q452" s="96">
        <f t="shared" si="117"/>
        <v>5096.9959549228943</v>
      </c>
      <c r="R452" s="96">
        <f t="shared" si="116"/>
        <v>7480.054045077105</v>
      </c>
      <c r="S452" s="211">
        <f>+[1]Sheet1!$I$356</f>
        <v>-5098.87</v>
      </c>
      <c r="T452" s="104">
        <f t="shared" si="112"/>
        <v>1.8740450771056203</v>
      </c>
    </row>
    <row r="453" spans="1:20">
      <c r="A453" s="219" t="s">
        <v>250</v>
      </c>
      <c r="B453" s="220">
        <v>43669</v>
      </c>
      <c r="C453" s="221">
        <v>6228.79</v>
      </c>
      <c r="D453" s="99"/>
      <c r="E453" s="99"/>
      <c r="F453" s="99"/>
      <c r="G453" s="95">
        <f t="shared" si="110"/>
        <v>311.43950000000001</v>
      </c>
      <c r="H453" s="99"/>
      <c r="I453" s="99"/>
      <c r="J453" s="99"/>
      <c r="K453" s="99">
        <f t="shared" si="105"/>
        <v>252</v>
      </c>
      <c r="L453" s="95">
        <f t="shared" si="106"/>
        <v>0.69041095890410964</v>
      </c>
      <c r="M453" s="221">
        <v>1363.47</v>
      </c>
      <c r="N453" s="96">
        <f t="shared" si="107"/>
        <v>4865.32</v>
      </c>
      <c r="O453" s="95">
        <f t="shared" si="108"/>
        <v>2.3095890410958901</v>
      </c>
      <c r="P453" s="95">
        <f t="shared" si="109"/>
        <v>4553.8804999999993</v>
      </c>
      <c r="Q453" s="96">
        <f t="shared" si="117"/>
        <v>1971.7276186239619</v>
      </c>
      <c r="R453" s="96">
        <f t="shared" si="116"/>
        <v>2893.5923813760378</v>
      </c>
      <c r="S453" s="211">
        <f>+[1]Sheet1!$I$357</f>
        <v>-1972.45</v>
      </c>
      <c r="T453" s="104">
        <f t="shared" si="112"/>
        <v>0.72238137603812902</v>
      </c>
    </row>
    <row r="454" spans="1:20">
      <c r="A454" s="219" t="s">
        <v>251</v>
      </c>
      <c r="B454" s="220">
        <v>43669</v>
      </c>
      <c r="C454" s="221">
        <v>2372.88</v>
      </c>
      <c r="D454" s="99"/>
      <c r="E454" s="99"/>
      <c r="F454" s="99"/>
      <c r="G454" s="95">
        <f t="shared" si="110"/>
        <v>118.64400000000001</v>
      </c>
      <c r="H454" s="99"/>
      <c r="I454" s="99"/>
      <c r="J454" s="99"/>
      <c r="K454" s="99">
        <f t="shared" si="105"/>
        <v>252</v>
      </c>
      <c r="L454" s="95">
        <f t="shared" si="106"/>
        <v>0.69041095890410964</v>
      </c>
      <c r="M454" s="221">
        <v>519.41999999999996</v>
      </c>
      <c r="N454" s="96">
        <f t="shared" si="107"/>
        <v>1853.46</v>
      </c>
      <c r="O454" s="95">
        <f t="shared" si="108"/>
        <v>2.3095890410958901</v>
      </c>
      <c r="P454" s="95">
        <f t="shared" si="109"/>
        <v>1734.816</v>
      </c>
      <c r="Q454" s="96">
        <f t="shared" si="117"/>
        <v>751.13622775800718</v>
      </c>
      <c r="R454" s="96">
        <f t="shared" si="116"/>
        <v>1102.3237722419929</v>
      </c>
      <c r="S454" s="211">
        <f>+[1]Sheet1!$I$358</f>
        <v>-751.41</v>
      </c>
      <c r="T454" s="104">
        <f t="shared" si="112"/>
        <v>0.27377224199278771</v>
      </c>
    </row>
    <row r="455" spans="1:20">
      <c r="A455" s="219" t="s">
        <v>252</v>
      </c>
      <c r="B455" s="220">
        <v>43700</v>
      </c>
      <c r="C455" s="221">
        <v>38474</v>
      </c>
      <c r="D455" s="99"/>
      <c r="E455" s="99"/>
      <c r="F455" s="99"/>
      <c r="G455" s="95">
        <f t="shared" si="110"/>
        <v>1923.7</v>
      </c>
      <c r="H455" s="99"/>
      <c r="I455" s="99"/>
      <c r="J455" s="99"/>
      <c r="K455" s="99">
        <f t="shared" si="105"/>
        <v>221</v>
      </c>
      <c r="L455" s="95">
        <f t="shared" si="106"/>
        <v>0.60547945205479448</v>
      </c>
      <c r="M455" s="221">
        <v>7389.95</v>
      </c>
      <c r="N455" s="96">
        <f t="shared" si="107"/>
        <v>31084.05</v>
      </c>
      <c r="O455" s="95">
        <f t="shared" si="108"/>
        <v>2.3945205479452056</v>
      </c>
      <c r="P455" s="95">
        <f t="shared" si="109"/>
        <v>29160.35</v>
      </c>
      <c r="Q455" s="96">
        <f t="shared" si="117"/>
        <v>12177.949370709381</v>
      </c>
      <c r="R455" s="96">
        <f t="shared" si="116"/>
        <v>18906.100629290617</v>
      </c>
      <c r="S455" s="211">
        <f>+[1]Sheet1!$I$359</f>
        <v>-12183.43</v>
      </c>
      <c r="T455" s="104">
        <f t="shared" si="112"/>
        <v>5.4806292906196177</v>
      </c>
    </row>
    <row r="456" spans="1:20">
      <c r="A456" s="219" t="s">
        <v>253</v>
      </c>
      <c r="B456" s="220">
        <v>43783</v>
      </c>
      <c r="C456" s="221">
        <v>72750</v>
      </c>
      <c r="D456" s="99"/>
      <c r="E456" s="99"/>
      <c r="F456" s="99"/>
      <c r="G456" s="95">
        <f t="shared" si="110"/>
        <v>3637.5</v>
      </c>
      <c r="H456" s="99"/>
      <c r="I456" s="99"/>
      <c r="J456" s="99"/>
      <c r="K456" s="99">
        <f t="shared" ref="K456:K469" si="118">$K$2-B456</f>
        <v>138</v>
      </c>
      <c r="L456" s="95">
        <f t="shared" ref="L456:L469" si="119">K456/365</f>
        <v>0.37808219178082192</v>
      </c>
      <c r="M456" s="221">
        <v>8749.2099999999991</v>
      </c>
      <c r="N456" s="96">
        <f t="shared" ref="N456:N469" si="120">C456-M456</f>
        <v>64000.79</v>
      </c>
      <c r="O456" s="95">
        <f t="shared" ref="O456:O469" si="121">$O$391-L456</f>
        <v>2.6219178082191781</v>
      </c>
      <c r="P456" s="95">
        <f t="shared" ref="P456:P469" si="122">N456-G456</f>
        <v>60363.29</v>
      </c>
      <c r="Q456" s="96">
        <f t="shared" si="117"/>
        <v>23022.57142110763</v>
      </c>
      <c r="R456" s="96">
        <f t="shared" si="116"/>
        <v>40978.218578892367</v>
      </c>
      <c r="S456" s="211">
        <f>+[1]Sheet1!$I$360</f>
        <v>-23037.5</v>
      </c>
      <c r="T456" s="104">
        <f t="shared" si="112"/>
        <v>14.928578892369842</v>
      </c>
    </row>
    <row r="457" spans="1:20">
      <c r="A457" s="219" t="s">
        <v>254</v>
      </c>
      <c r="B457" s="220">
        <v>43816</v>
      </c>
      <c r="C457" s="221">
        <v>0</v>
      </c>
      <c r="D457" s="99"/>
      <c r="E457" s="99"/>
      <c r="F457" s="99"/>
      <c r="G457" s="95">
        <f t="shared" ref="G457:G469" si="123">C457*5%</f>
        <v>0</v>
      </c>
      <c r="H457" s="99"/>
      <c r="I457" s="99"/>
      <c r="J457" s="99"/>
      <c r="K457" s="99">
        <f t="shared" si="118"/>
        <v>105</v>
      </c>
      <c r="L457" s="95">
        <f t="shared" si="119"/>
        <v>0.28767123287671231</v>
      </c>
      <c r="M457" s="221">
        <v>0</v>
      </c>
      <c r="N457" s="96">
        <f t="shared" si="120"/>
        <v>0</v>
      </c>
      <c r="O457" s="95">
        <f t="shared" si="121"/>
        <v>2.7123287671232879</v>
      </c>
      <c r="P457" s="95">
        <f t="shared" si="122"/>
        <v>0</v>
      </c>
      <c r="Q457" s="96">
        <f t="shared" si="117"/>
        <v>0</v>
      </c>
      <c r="R457" s="96">
        <f t="shared" si="116"/>
        <v>0</v>
      </c>
      <c r="S457" s="211">
        <f>+[1]Sheet1!$I$361</f>
        <v>0</v>
      </c>
      <c r="T457" s="104">
        <f t="shared" ref="T457:T469" si="124">-(Q457+S457)</f>
        <v>0</v>
      </c>
    </row>
    <row r="458" spans="1:20">
      <c r="A458" s="219" t="s">
        <v>255</v>
      </c>
      <c r="B458" s="220">
        <v>43857</v>
      </c>
      <c r="C458" s="221">
        <v>9100</v>
      </c>
      <c r="D458" s="99"/>
      <c r="E458" s="99"/>
      <c r="F458" s="99"/>
      <c r="G458" s="95">
        <f t="shared" si="123"/>
        <v>455</v>
      </c>
      <c r="H458" s="99"/>
      <c r="I458" s="99"/>
      <c r="J458" s="99"/>
      <c r="K458" s="99">
        <f t="shared" si="118"/>
        <v>64</v>
      </c>
      <c r="L458" s="95">
        <f t="shared" si="119"/>
        <v>0.17534246575342466</v>
      </c>
      <c r="M458" s="221">
        <v>511.77</v>
      </c>
      <c r="N458" s="96">
        <f t="shared" si="120"/>
        <v>8588.23</v>
      </c>
      <c r="O458" s="95">
        <f t="shared" si="121"/>
        <v>2.8246575342465752</v>
      </c>
      <c r="P458" s="95">
        <f t="shared" si="122"/>
        <v>8133.23</v>
      </c>
      <c r="Q458" s="96">
        <f t="shared" si="117"/>
        <v>2879.3685257032007</v>
      </c>
      <c r="R458" s="96">
        <f t="shared" si="116"/>
        <v>5708.8614742967984</v>
      </c>
      <c r="S458" s="211">
        <f>+[1]Sheet1!$I$362</f>
        <v>-2881.67</v>
      </c>
      <c r="T458" s="104">
        <f t="shared" si="124"/>
        <v>2.3014742967993698</v>
      </c>
    </row>
    <row r="459" spans="1:20">
      <c r="A459" s="219" t="s">
        <v>256</v>
      </c>
      <c r="B459" s="220">
        <v>43857</v>
      </c>
      <c r="C459" s="221">
        <v>19067.79</v>
      </c>
      <c r="D459" s="99"/>
      <c r="E459" s="99"/>
      <c r="F459" s="99"/>
      <c r="G459" s="95">
        <f t="shared" si="123"/>
        <v>953.38950000000011</v>
      </c>
      <c r="H459" s="99"/>
      <c r="I459" s="99"/>
      <c r="J459" s="99"/>
      <c r="K459" s="99">
        <f t="shared" si="118"/>
        <v>64</v>
      </c>
      <c r="L459" s="95">
        <f t="shared" si="119"/>
        <v>0.17534246575342466</v>
      </c>
      <c r="M459" s="221">
        <v>1072.3499999999999</v>
      </c>
      <c r="N459" s="96">
        <f t="shared" si="120"/>
        <v>17995.440000000002</v>
      </c>
      <c r="O459" s="95">
        <f t="shared" si="121"/>
        <v>2.8246575342465752</v>
      </c>
      <c r="P459" s="95">
        <f t="shared" si="122"/>
        <v>17042.050500000001</v>
      </c>
      <c r="Q459" s="96">
        <f t="shared" si="117"/>
        <v>6033.3156474296811</v>
      </c>
      <c r="R459" s="96">
        <f t="shared" si="116"/>
        <v>11962.124352570321</v>
      </c>
      <c r="S459" s="211">
        <f>+[1]Sheet1!$I$363</f>
        <v>-6038.13</v>
      </c>
      <c r="T459" s="104">
        <f t="shared" si="124"/>
        <v>4.814352570318988</v>
      </c>
    </row>
    <row r="460" spans="1:20">
      <c r="A460" s="219" t="s">
        <v>257</v>
      </c>
      <c r="B460" s="220">
        <v>43861</v>
      </c>
      <c r="C460" s="221">
        <v>3474</v>
      </c>
      <c r="D460" s="99"/>
      <c r="E460" s="99"/>
      <c r="F460" s="99"/>
      <c r="G460" s="95">
        <f t="shared" si="123"/>
        <v>173.70000000000002</v>
      </c>
      <c r="H460" s="99"/>
      <c r="I460" s="99"/>
      <c r="J460" s="99"/>
      <c r="K460" s="99">
        <f t="shared" si="118"/>
        <v>60</v>
      </c>
      <c r="L460" s="95">
        <f t="shared" si="119"/>
        <v>0.16438356164383561</v>
      </c>
      <c r="M460" s="221">
        <v>183.35</v>
      </c>
      <c r="N460" s="96">
        <f t="shared" si="120"/>
        <v>3290.65</v>
      </c>
      <c r="O460" s="95">
        <f t="shared" si="121"/>
        <v>2.8356164383561646</v>
      </c>
      <c r="P460" s="95">
        <f t="shared" si="122"/>
        <v>3116.9500000000003</v>
      </c>
      <c r="Q460" s="96">
        <f t="shared" si="117"/>
        <v>1099.2142512077294</v>
      </c>
      <c r="R460" s="96">
        <f t="shared" si="116"/>
        <v>2191.4357487922707</v>
      </c>
      <c r="S460" s="211">
        <f>+[1]Sheet1!$I$364</f>
        <v>-1100.0999999999999</v>
      </c>
      <c r="T460" s="104">
        <f t="shared" si="124"/>
        <v>0.88574879227053316</v>
      </c>
    </row>
    <row r="461" spans="1:20">
      <c r="A461" s="219" t="s">
        <v>254</v>
      </c>
      <c r="B461" s="220">
        <v>43861</v>
      </c>
      <c r="C461" s="221">
        <v>11016</v>
      </c>
      <c r="D461" s="99"/>
      <c r="E461" s="99"/>
      <c r="F461" s="99"/>
      <c r="G461" s="95">
        <f t="shared" si="123"/>
        <v>550.80000000000007</v>
      </c>
      <c r="H461" s="99"/>
      <c r="I461" s="99"/>
      <c r="J461" s="99"/>
      <c r="K461" s="99">
        <f t="shared" si="118"/>
        <v>60</v>
      </c>
      <c r="L461" s="95">
        <f t="shared" si="119"/>
        <v>0.16438356164383561</v>
      </c>
      <c r="M461" s="221">
        <v>581.4</v>
      </c>
      <c r="N461" s="96">
        <f t="shared" si="120"/>
        <v>10434.6</v>
      </c>
      <c r="O461" s="95">
        <f t="shared" si="121"/>
        <v>2.8356164383561646</v>
      </c>
      <c r="P461" s="95">
        <f t="shared" si="122"/>
        <v>9883.8000000000011</v>
      </c>
      <c r="Q461" s="96">
        <f t="shared" si="117"/>
        <v>3485.5913043478263</v>
      </c>
      <c r="R461" s="96">
        <f t="shared" si="116"/>
        <v>6949.0086956521736</v>
      </c>
      <c r="S461" s="211">
        <f>+[1]Sheet1!$I$365</f>
        <v>-3488.4</v>
      </c>
      <c r="T461" s="104">
        <f t="shared" si="124"/>
        <v>2.8086956521738102</v>
      </c>
    </row>
    <row r="462" spans="1:20">
      <c r="A462" s="219" t="s">
        <v>258</v>
      </c>
      <c r="B462" s="220">
        <v>43861</v>
      </c>
      <c r="C462" s="221">
        <v>38700</v>
      </c>
      <c r="D462" s="99"/>
      <c r="E462" s="99"/>
      <c r="F462" s="99"/>
      <c r="G462" s="95">
        <f t="shared" si="123"/>
        <v>1935</v>
      </c>
      <c r="H462" s="99"/>
      <c r="I462" s="99"/>
      <c r="J462" s="99"/>
      <c r="K462" s="99">
        <f t="shared" si="118"/>
        <v>60</v>
      </c>
      <c r="L462" s="95">
        <f t="shared" si="119"/>
        <v>0.16438356164383561</v>
      </c>
      <c r="M462" s="221">
        <v>2042.5</v>
      </c>
      <c r="N462" s="96">
        <f t="shared" si="120"/>
        <v>36657.5</v>
      </c>
      <c r="O462" s="95">
        <f t="shared" si="121"/>
        <v>2.8356164383561646</v>
      </c>
      <c r="P462" s="95">
        <f t="shared" si="122"/>
        <v>34722.5</v>
      </c>
      <c r="Q462" s="96">
        <f t="shared" si="117"/>
        <v>12245.132850241545</v>
      </c>
      <c r="R462" s="96">
        <f t="shared" si="116"/>
        <v>24412.367149758455</v>
      </c>
      <c r="S462" s="211">
        <f>+[1]Sheet1!$I$366</f>
        <v>-12255</v>
      </c>
      <c r="T462" s="104">
        <f t="shared" si="124"/>
        <v>9.8671497584546159</v>
      </c>
    </row>
    <row r="463" spans="1:20">
      <c r="A463" s="219" t="s">
        <v>259</v>
      </c>
      <c r="B463" s="220">
        <v>43868</v>
      </c>
      <c r="C463" s="221">
        <v>9495</v>
      </c>
      <c r="D463" s="99"/>
      <c r="E463" s="99"/>
      <c r="F463" s="99"/>
      <c r="G463" s="95">
        <f t="shared" si="123"/>
        <v>474.75</v>
      </c>
      <c r="H463" s="99"/>
      <c r="I463" s="99"/>
      <c r="J463" s="99"/>
      <c r="K463" s="99">
        <f t="shared" si="118"/>
        <v>53</v>
      </c>
      <c r="L463" s="95">
        <f t="shared" si="119"/>
        <v>0.14520547945205478</v>
      </c>
      <c r="M463" s="221">
        <v>443.62</v>
      </c>
      <c r="N463" s="96">
        <f t="shared" si="120"/>
        <v>9051.3799999999992</v>
      </c>
      <c r="O463" s="95">
        <f t="shared" si="121"/>
        <v>2.8547945205479452</v>
      </c>
      <c r="P463" s="95">
        <f t="shared" si="122"/>
        <v>8576.6299999999992</v>
      </c>
      <c r="Q463" s="96">
        <f t="shared" si="117"/>
        <v>3004.2897792706331</v>
      </c>
      <c r="R463" s="96">
        <f t="shared" si="116"/>
        <v>6047.0902207293657</v>
      </c>
      <c r="S463" s="211">
        <f>+[1]Sheet1!$I$367</f>
        <v>-3006.75</v>
      </c>
      <c r="T463" s="104">
        <f t="shared" si="124"/>
        <v>2.460220729366938</v>
      </c>
    </row>
    <row r="464" spans="1:20">
      <c r="A464" s="219" t="s">
        <v>260</v>
      </c>
      <c r="B464" s="220">
        <v>43873</v>
      </c>
      <c r="C464" s="221">
        <v>16750</v>
      </c>
      <c r="D464" s="99"/>
      <c r="E464" s="99"/>
      <c r="F464" s="99"/>
      <c r="G464" s="95">
        <f t="shared" si="123"/>
        <v>837.5</v>
      </c>
      <c r="H464" s="99"/>
      <c r="I464" s="99"/>
      <c r="J464" s="99"/>
      <c r="K464" s="99">
        <f t="shared" si="118"/>
        <v>48</v>
      </c>
      <c r="L464" s="95">
        <f t="shared" si="119"/>
        <v>0.13150684931506848</v>
      </c>
      <c r="M464" s="221">
        <v>710.12</v>
      </c>
      <c r="N464" s="96">
        <f t="shared" si="120"/>
        <v>16039.88</v>
      </c>
      <c r="O464" s="95">
        <f t="shared" si="121"/>
        <v>2.8684931506849316</v>
      </c>
      <c r="P464" s="95">
        <f t="shared" si="122"/>
        <v>15202.38</v>
      </c>
      <c r="Q464" s="96">
        <f t="shared" si="117"/>
        <v>5299.7790830945551</v>
      </c>
      <c r="R464" s="96">
        <f t="shared" si="116"/>
        <v>10740.100916905445</v>
      </c>
      <c r="S464" s="211">
        <f>+[1]Sheet1!$I$368</f>
        <v>-5304.17</v>
      </c>
      <c r="T464" s="104">
        <f t="shared" si="124"/>
        <v>4.3909169054450103</v>
      </c>
    </row>
    <row r="465" spans="1:21">
      <c r="A465" s="219" t="s">
        <v>245</v>
      </c>
      <c r="B465" s="220">
        <v>43873</v>
      </c>
      <c r="C465" s="221">
        <v>1525</v>
      </c>
      <c r="D465" s="99"/>
      <c r="E465" s="99"/>
      <c r="F465" s="99"/>
      <c r="G465" s="95">
        <f t="shared" si="123"/>
        <v>76.25</v>
      </c>
      <c r="H465" s="99"/>
      <c r="I465" s="99"/>
      <c r="J465" s="99"/>
      <c r="K465" s="99">
        <f t="shared" si="118"/>
        <v>48</v>
      </c>
      <c r="L465" s="95">
        <f t="shared" si="119"/>
        <v>0.13150684931506848</v>
      </c>
      <c r="M465" s="221">
        <v>64.650000000000006</v>
      </c>
      <c r="N465" s="96">
        <f t="shared" si="120"/>
        <v>1460.35</v>
      </c>
      <c r="O465" s="95">
        <f t="shared" si="121"/>
        <v>2.8684931506849316</v>
      </c>
      <c r="P465" s="95">
        <f t="shared" si="122"/>
        <v>1384.1</v>
      </c>
      <c r="Q465" s="96">
        <f t="shared" si="117"/>
        <v>482.51814708691495</v>
      </c>
      <c r="R465" s="96">
        <f t="shared" si="116"/>
        <v>977.83185291308496</v>
      </c>
      <c r="S465" s="211">
        <f>+[1]Sheet1!$I$369</f>
        <v>-482.92</v>
      </c>
      <c r="T465" s="104">
        <f t="shared" si="124"/>
        <v>0.40185291308506521</v>
      </c>
    </row>
    <row r="466" spans="1:21">
      <c r="A466" s="219" t="s">
        <v>261</v>
      </c>
      <c r="B466" s="220">
        <v>43887</v>
      </c>
      <c r="C466" s="221">
        <v>31800</v>
      </c>
      <c r="D466" s="99"/>
      <c r="E466" s="99"/>
      <c r="F466" s="99"/>
      <c r="G466" s="95">
        <f t="shared" si="123"/>
        <v>1590</v>
      </c>
      <c r="H466" s="99"/>
      <c r="I466" s="99"/>
      <c r="J466" s="99"/>
      <c r="K466" s="99">
        <f t="shared" si="118"/>
        <v>34</v>
      </c>
      <c r="L466" s="95">
        <f t="shared" si="119"/>
        <v>9.3150684931506855E-2</v>
      </c>
      <c r="M466" s="221">
        <v>962.98</v>
      </c>
      <c r="N466" s="96">
        <f t="shared" si="120"/>
        <v>30837.02</v>
      </c>
      <c r="O466" s="95">
        <f t="shared" si="121"/>
        <v>2.9068493150684933</v>
      </c>
      <c r="P466" s="95">
        <f t="shared" si="122"/>
        <v>29247.02</v>
      </c>
      <c r="Q466" s="96">
        <f t="shared" si="117"/>
        <v>10061.415928369463</v>
      </c>
      <c r="R466" s="96">
        <f t="shared" si="116"/>
        <v>20775.604071630536</v>
      </c>
      <c r="S466" s="211">
        <f>+[1]Sheet1!$I$370</f>
        <v>-10070</v>
      </c>
      <c r="T466" s="104">
        <f t="shared" si="124"/>
        <v>8.5840716305374372</v>
      </c>
    </row>
    <row r="467" spans="1:21">
      <c r="A467" s="219" t="s">
        <v>262</v>
      </c>
      <c r="B467" s="220">
        <v>43891</v>
      </c>
      <c r="C467" s="221">
        <v>38844.080000000002</v>
      </c>
      <c r="D467" s="99"/>
      <c r="E467" s="99"/>
      <c r="F467" s="99"/>
      <c r="G467" s="95">
        <f t="shared" si="123"/>
        <v>1942.2040000000002</v>
      </c>
      <c r="H467" s="99"/>
      <c r="I467" s="99"/>
      <c r="J467" s="99"/>
      <c r="K467" s="99">
        <f t="shared" si="118"/>
        <v>30</v>
      </c>
      <c r="L467" s="95">
        <f t="shared" si="119"/>
        <v>8.2191780821917804E-2</v>
      </c>
      <c r="M467" s="221">
        <v>1041.8599999999999</v>
      </c>
      <c r="N467" s="96">
        <f t="shared" si="120"/>
        <v>37802.22</v>
      </c>
      <c r="O467" s="95">
        <f t="shared" si="121"/>
        <v>2.9178082191780823</v>
      </c>
      <c r="P467" s="95">
        <f t="shared" si="122"/>
        <v>35860.016000000003</v>
      </c>
      <c r="Q467" s="96">
        <f t="shared" si="117"/>
        <v>12290.052431924883</v>
      </c>
      <c r="R467" s="96">
        <f t="shared" si="116"/>
        <v>25512.167568075118</v>
      </c>
      <c r="S467" s="211">
        <f>+[1]Sheet1!$I$371</f>
        <v>-12300.63</v>
      </c>
      <c r="T467" s="104">
        <f t="shared" si="124"/>
        <v>10.577568075115778</v>
      </c>
    </row>
    <row r="468" spans="1:21">
      <c r="A468" s="219" t="s">
        <v>263</v>
      </c>
      <c r="B468" s="220">
        <v>43891</v>
      </c>
      <c r="C468" s="221">
        <v>5212</v>
      </c>
      <c r="D468" s="99"/>
      <c r="E468" s="99"/>
      <c r="F468" s="99"/>
      <c r="G468" s="95">
        <f t="shared" si="123"/>
        <v>260.60000000000002</v>
      </c>
      <c r="H468" s="99"/>
      <c r="I468" s="99"/>
      <c r="J468" s="99"/>
      <c r="K468" s="99">
        <f t="shared" si="118"/>
        <v>30</v>
      </c>
      <c r="L468" s="95">
        <f t="shared" si="119"/>
        <v>8.2191780821917804E-2</v>
      </c>
      <c r="M468" s="221">
        <v>139.79</v>
      </c>
      <c r="N468" s="96">
        <f t="shared" si="120"/>
        <v>5072.21</v>
      </c>
      <c r="O468" s="95">
        <f t="shared" si="121"/>
        <v>2.9178082191780823</v>
      </c>
      <c r="P468" s="95">
        <f t="shared" si="122"/>
        <v>4811.6099999999997</v>
      </c>
      <c r="Q468" s="96">
        <f t="shared" si="117"/>
        <v>1649.0494366197181</v>
      </c>
      <c r="R468" s="96">
        <f t="shared" si="116"/>
        <v>3423.1605633802819</v>
      </c>
      <c r="S468" s="211">
        <f>+[1]Sheet1!$I$372</f>
        <v>-1650.47</v>
      </c>
      <c r="T468" s="104">
        <f t="shared" si="124"/>
        <v>1.4205633802819193</v>
      </c>
    </row>
    <row r="469" spans="1:21">
      <c r="A469" s="219" t="s">
        <v>264</v>
      </c>
      <c r="B469" s="220">
        <v>43891</v>
      </c>
      <c r="C469" s="221">
        <v>8050.84</v>
      </c>
      <c r="D469" s="99"/>
      <c r="E469" s="99"/>
      <c r="F469" s="99"/>
      <c r="G469" s="95">
        <f t="shared" si="123"/>
        <v>402.54200000000003</v>
      </c>
      <c r="H469" s="99"/>
      <c r="I469" s="99"/>
      <c r="J469" s="99"/>
      <c r="K469" s="99">
        <f t="shared" si="118"/>
        <v>30</v>
      </c>
      <c r="L469" s="95">
        <f t="shared" si="119"/>
        <v>8.2191780821917804E-2</v>
      </c>
      <c r="M469" s="221">
        <v>215.94</v>
      </c>
      <c r="N469" s="96">
        <f t="shared" si="120"/>
        <v>7834.9000000000005</v>
      </c>
      <c r="O469" s="95">
        <f t="shared" si="121"/>
        <v>2.9178082191780823</v>
      </c>
      <c r="P469" s="95">
        <f t="shared" si="122"/>
        <v>7432.3580000000002</v>
      </c>
      <c r="Q469" s="96">
        <f t="shared" si="117"/>
        <v>2547.2400657276994</v>
      </c>
      <c r="R469" s="96">
        <f t="shared" si="116"/>
        <v>5287.6599342723011</v>
      </c>
      <c r="S469" s="211">
        <f>+[1]Sheet1!$I$373</f>
        <v>-2549.4299999999998</v>
      </c>
      <c r="T469" s="104">
        <f t="shared" si="124"/>
        <v>2.1899342723004338</v>
      </c>
    </row>
    <row r="470" spans="1:21" ht="16.5">
      <c r="A470" s="200" t="s">
        <v>265</v>
      </c>
      <c r="B470" s="115"/>
      <c r="C470" s="117">
        <f>SUM(C392:C469)</f>
        <v>2360593.6399999997</v>
      </c>
      <c r="D470" s="115"/>
      <c r="E470" s="115"/>
      <c r="F470" s="115"/>
      <c r="G470" s="117">
        <f>SUM(G392:G469)</f>
        <v>118029.682</v>
      </c>
      <c r="H470" s="115"/>
      <c r="I470" s="115"/>
      <c r="J470" s="115"/>
      <c r="K470" s="115"/>
      <c r="L470" s="85"/>
      <c r="M470" s="117">
        <f>SUM(M392:M469)</f>
        <v>1504579.7558370754</v>
      </c>
      <c r="N470" s="117">
        <f>SUM(N392:N469)</f>
        <v>856013.88416292472</v>
      </c>
      <c r="O470" s="85"/>
      <c r="P470" s="117">
        <f>SUM(P392:P469)</f>
        <v>745213.5780000001</v>
      </c>
      <c r="Q470" s="117">
        <f>SUM(Q392:Q469)</f>
        <v>323551.90507195273</v>
      </c>
      <c r="R470" s="117">
        <f>SUM(R392:R469)</f>
        <v>532461.97909097199</v>
      </c>
      <c r="S470" s="104"/>
      <c r="T470" s="104"/>
      <c r="U470" s="149">
        <f>-SUM(S392:S469)</f>
        <v>323555.60999999993</v>
      </c>
    </row>
    <row r="471" spans="1:21" ht="16.5">
      <c r="A471" s="200"/>
      <c r="B471" s="115"/>
      <c r="C471" s="115" t="s">
        <v>266</v>
      </c>
      <c r="D471" s="115"/>
      <c r="E471" s="115"/>
      <c r="F471" s="115"/>
      <c r="G471" s="85"/>
      <c r="H471" s="115"/>
      <c r="I471" s="115"/>
      <c r="J471" s="115"/>
      <c r="K471" s="115"/>
      <c r="L471" s="85"/>
      <c r="M471" s="85"/>
      <c r="N471" s="86"/>
      <c r="O471" s="85">
        <v>10</v>
      </c>
      <c r="P471" s="85"/>
      <c r="Q471" s="86"/>
      <c r="R471" s="86"/>
      <c r="S471" s="104"/>
      <c r="T471" s="104">
        <f t="shared" ref="T471:T486" si="125">+Q471+S471</f>
        <v>0</v>
      </c>
    </row>
    <row r="472" spans="1:21" s="187" customFormat="1">
      <c r="A472" s="99" t="s">
        <v>267</v>
      </c>
      <c r="B472" s="94">
        <v>41723</v>
      </c>
      <c r="C472" s="99">
        <v>28000</v>
      </c>
      <c r="D472" s="99"/>
      <c r="E472" s="99"/>
      <c r="F472" s="99"/>
      <c r="G472" s="95">
        <v>0</v>
      </c>
      <c r="H472" s="99"/>
      <c r="I472" s="99"/>
      <c r="J472" s="99"/>
      <c r="K472" s="99">
        <f>$K$2-B472</f>
        <v>2198</v>
      </c>
      <c r="L472" s="95">
        <f>K472/365</f>
        <v>6.021917808219178</v>
      </c>
      <c r="M472" s="98">
        <f>-[1]Sheet1!$G$521</f>
        <v>16870</v>
      </c>
      <c r="N472" s="96">
        <f>C472-M472</f>
        <v>11130</v>
      </c>
      <c r="O472" s="95">
        <f>+$O$471-L472</f>
        <v>3.978082191780822</v>
      </c>
      <c r="P472" s="95">
        <f t="shared" ref="P472:P478" si="126">N472-G472</f>
        <v>11130</v>
      </c>
      <c r="Q472" s="96">
        <f>P472/O472</f>
        <v>2797.8305785123966</v>
      </c>
      <c r="R472" s="96">
        <f t="shared" ref="R472:R478" si="127">N472-Q472</f>
        <v>8332.1694214876043</v>
      </c>
      <c r="S472" s="112">
        <f>+[1]Sheet1!$I$521</f>
        <v>-2800</v>
      </c>
      <c r="T472" s="104">
        <f>-(Q472+S472)</f>
        <v>2.1694214876033584</v>
      </c>
      <c r="U472" s="76">
        <f>+SUM(S472:T472)+Q472</f>
        <v>0</v>
      </c>
    </row>
    <row r="473" spans="1:21">
      <c r="A473" s="106" t="s">
        <v>268</v>
      </c>
      <c r="B473" s="152">
        <v>43435</v>
      </c>
      <c r="C473" s="159">
        <v>3800000</v>
      </c>
      <c r="D473" s="99"/>
      <c r="E473" s="99"/>
      <c r="F473" s="99"/>
      <c r="G473" s="95">
        <v>0</v>
      </c>
      <c r="H473" s="99"/>
      <c r="I473" s="99"/>
      <c r="J473" s="99"/>
      <c r="K473" s="99">
        <f>$K$2-B473</f>
        <v>486</v>
      </c>
      <c r="L473" s="95">
        <f>K473/365</f>
        <v>1.3315068493150686</v>
      </c>
      <c r="M473" s="98">
        <f>-[1]Sheet1!$G$511</f>
        <v>504932</v>
      </c>
      <c r="N473" s="96">
        <f>C473-M473</f>
        <v>3295068</v>
      </c>
      <c r="O473" s="95">
        <f>+$O$471-L473</f>
        <v>8.668493150684931</v>
      </c>
      <c r="P473" s="95">
        <f t="shared" si="126"/>
        <v>3295068</v>
      </c>
      <c r="Q473" s="96">
        <f>P473/O473</f>
        <v>380120.04424778762</v>
      </c>
      <c r="R473" s="96">
        <f t="shared" si="127"/>
        <v>2914947.9557522126</v>
      </c>
      <c r="S473" s="112">
        <f>+[1]Sheet1!$I$511</f>
        <v>-380000</v>
      </c>
      <c r="T473" s="104">
        <f>-(Q473+S473)</f>
        <v>-120.04424778762041</v>
      </c>
      <c r="U473" s="76"/>
    </row>
    <row r="474" spans="1:21">
      <c r="A474" s="222" t="s">
        <v>269</v>
      </c>
      <c r="B474" s="223">
        <v>43698</v>
      </c>
      <c r="C474" s="224">
        <v>93775</v>
      </c>
      <c r="D474" s="99"/>
      <c r="E474" s="99"/>
      <c r="F474" s="99"/>
      <c r="G474" s="95">
        <v>0</v>
      </c>
      <c r="H474" s="99"/>
      <c r="I474" s="99"/>
      <c r="J474" s="99"/>
      <c r="K474" s="99">
        <f t="shared" ref="K474:K478" si="128">$K$2-B474</f>
        <v>223</v>
      </c>
      <c r="L474" s="95">
        <f t="shared" ref="L474:L478" si="129">K474/365</f>
        <v>0.61095890410958908</v>
      </c>
      <c r="M474" s="224">
        <v>5739.23</v>
      </c>
      <c r="N474" s="96">
        <f t="shared" ref="N474:N478" si="130">C474-M474</f>
        <v>88035.77</v>
      </c>
      <c r="O474" s="95">
        <f t="shared" ref="O474:O478" si="131">+$O$471-L474</f>
        <v>9.3890410958904109</v>
      </c>
      <c r="P474" s="95">
        <f t="shared" si="126"/>
        <v>88035.77</v>
      </c>
      <c r="Q474" s="96">
        <f t="shared" ref="Q474:Q478" si="132">P474/O474</f>
        <v>9376.4388824044363</v>
      </c>
      <c r="R474" s="96">
        <f t="shared" si="127"/>
        <v>78659.331117595575</v>
      </c>
      <c r="S474" s="112">
        <f>+[1]Sheet1!$I$512</f>
        <v>-9377.5</v>
      </c>
      <c r="T474" s="104">
        <f t="shared" ref="T474:T479" si="133">-(Q474+S474)</f>
        <v>1.0611175955637009</v>
      </c>
      <c r="U474" s="76"/>
    </row>
    <row r="475" spans="1:21">
      <c r="A475" s="222" t="s">
        <v>270</v>
      </c>
      <c r="B475" s="223">
        <v>43698</v>
      </c>
      <c r="C475" s="224">
        <v>48600</v>
      </c>
      <c r="D475" s="99"/>
      <c r="E475" s="99"/>
      <c r="F475" s="99"/>
      <c r="G475" s="95">
        <v>0</v>
      </c>
      <c r="H475" s="99"/>
      <c r="I475" s="99"/>
      <c r="J475" s="99"/>
      <c r="K475" s="99">
        <f t="shared" si="128"/>
        <v>223</v>
      </c>
      <c r="L475" s="95">
        <f t="shared" si="129"/>
        <v>0.61095890410958908</v>
      </c>
      <c r="M475" s="224">
        <v>2974.43</v>
      </c>
      <c r="N475" s="96">
        <f t="shared" si="130"/>
        <v>45625.57</v>
      </c>
      <c r="O475" s="95">
        <f t="shared" si="131"/>
        <v>9.3890410958904109</v>
      </c>
      <c r="P475" s="95">
        <f t="shared" si="126"/>
        <v>45625.57</v>
      </c>
      <c r="Q475" s="96">
        <f t="shared" si="132"/>
        <v>4859.4493872191424</v>
      </c>
      <c r="R475" s="96">
        <f t="shared" si="127"/>
        <v>40766.120612780855</v>
      </c>
      <c r="S475" s="112">
        <f>+[1]Sheet1!$I$513</f>
        <v>-4860</v>
      </c>
      <c r="T475" s="104">
        <f t="shared" si="133"/>
        <v>0.55061278085759113</v>
      </c>
      <c r="U475" s="76"/>
    </row>
    <row r="476" spans="1:21">
      <c r="A476" s="222" t="s">
        <v>271</v>
      </c>
      <c r="B476" s="223">
        <v>43705</v>
      </c>
      <c r="C476" s="224">
        <v>94090</v>
      </c>
      <c r="D476" s="99"/>
      <c r="E476" s="99"/>
      <c r="F476" s="99"/>
      <c r="G476" s="95">
        <v>0</v>
      </c>
      <c r="H476" s="99"/>
      <c r="I476" s="99"/>
      <c r="J476" s="99"/>
      <c r="K476" s="99">
        <f t="shared" si="128"/>
        <v>216</v>
      </c>
      <c r="L476" s="95">
        <f t="shared" si="129"/>
        <v>0.59178082191780823</v>
      </c>
      <c r="M476" s="224">
        <v>5578.56</v>
      </c>
      <c r="N476" s="96">
        <f t="shared" si="130"/>
        <v>88511.44</v>
      </c>
      <c r="O476" s="95">
        <f t="shared" si="131"/>
        <v>9.4082191780821915</v>
      </c>
      <c r="P476" s="95">
        <f t="shared" si="126"/>
        <v>88511.44</v>
      </c>
      <c r="Q476" s="96">
        <f t="shared" si="132"/>
        <v>9407.8845661036703</v>
      </c>
      <c r="R476" s="96">
        <f t="shared" si="127"/>
        <v>79103.555433896327</v>
      </c>
      <c r="S476" s="112">
        <f>+[1]Sheet1!$I$514</f>
        <v>-9409</v>
      </c>
      <c r="T476" s="104">
        <f t="shared" si="133"/>
        <v>1.115433896329705</v>
      </c>
      <c r="U476" s="76"/>
    </row>
    <row r="477" spans="1:21">
      <c r="A477" s="222" t="s">
        <v>272</v>
      </c>
      <c r="B477" s="223">
        <v>43734</v>
      </c>
      <c r="C477" s="224">
        <v>2125300.54</v>
      </c>
      <c r="D477" s="99"/>
      <c r="E477" s="99"/>
      <c r="F477" s="99"/>
      <c r="G477" s="95">
        <v>0</v>
      </c>
      <c r="H477" s="99"/>
      <c r="I477" s="99"/>
      <c r="J477" s="99"/>
      <c r="K477" s="99">
        <f t="shared" si="128"/>
        <v>187</v>
      </c>
      <c r="L477" s="95">
        <f t="shared" si="129"/>
        <v>0.51232876712328768</v>
      </c>
      <c r="M477" s="224">
        <v>109168.44</v>
      </c>
      <c r="N477" s="96">
        <f t="shared" si="130"/>
        <v>2016132.1</v>
      </c>
      <c r="O477" s="95">
        <f t="shared" si="131"/>
        <v>9.4876712328767123</v>
      </c>
      <c r="P477" s="95">
        <f t="shared" si="126"/>
        <v>2016132.1</v>
      </c>
      <c r="Q477" s="96">
        <f t="shared" si="132"/>
        <v>212500.20690153047</v>
      </c>
      <c r="R477" s="96">
        <f t="shared" si="127"/>
        <v>1803631.8930984696</v>
      </c>
      <c r="S477" s="112">
        <f>+[1]Sheet1!$I$515</f>
        <v>-212530.05</v>
      </c>
      <c r="T477" s="104">
        <f t="shared" si="133"/>
        <v>29.843098469515098</v>
      </c>
      <c r="U477" s="76"/>
    </row>
    <row r="478" spans="1:21">
      <c r="A478" s="222" t="s">
        <v>273</v>
      </c>
      <c r="B478" s="223">
        <v>43844</v>
      </c>
      <c r="C478" s="224">
        <v>1000000.06</v>
      </c>
      <c r="D478" s="99"/>
      <c r="E478" s="99"/>
      <c r="F478" s="99"/>
      <c r="G478" s="95">
        <v>0</v>
      </c>
      <c r="H478" s="99"/>
      <c r="I478" s="99"/>
      <c r="J478" s="99"/>
      <c r="K478" s="99">
        <f t="shared" si="128"/>
        <v>77</v>
      </c>
      <c r="L478" s="95">
        <f t="shared" si="129"/>
        <v>0.21095890410958903</v>
      </c>
      <c r="M478" s="224">
        <v>21311.48</v>
      </c>
      <c r="N478" s="96">
        <f t="shared" si="130"/>
        <v>978688.58000000007</v>
      </c>
      <c r="O478" s="95">
        <f t="shared" si="131"/>
        <v>9.7890410958904113</v>
      </c>
      <c r="P478" s="95">
        <f t="shared" si="126"/>
        <v>978688.58000000007</v>
      </c>
      <c r="Q478" s="96">
        <f t="shared" si="132"/>
        <v>99977.982563671991</v>
      </c>
      <c r="R478" s="96">
        <f t="shared" si="127"/>
        <v>878710.59743632807</v>
      </c>
      <c r="S478" s="112">
        <f>+[1]Sheet1!$I$516</f>
        <v>-100000.01</v>
      </c>
      <c r="T478" s="104">
        <f t="shared" si="133"/>
        <v>22.027436328004114</v>
      </c>
      <c r="U478" s="76"/>
    </row>
    <row r="479" spans="1:21">
      <c r="A479" s="106"/>
      <c r="B479" s="152"/>
      <c r="C479" s="159"/>
      <c r="D479" s="99"/>
      <c r="E479" s="99"/>
      <c r="F479" s="99"/>
      <c r="G479" s="95"/>
      <c r="H479" s="99"/>
      <c r="I479" s="99"/>
      <c r="J479" s="99"/>
      <c r="K479" s="99"/>
      <c r="L479" s="95"/>
      <c r="M479" s="98"/>
      <c r="N479" s="96"/>
      <c r="O479" s="95"/>
      <c r="P479" s="95"/>
      <c r="Q479" s="96"/>
      <c r="R479" s="96"/>
      <c r="S479" s="112"/>
      <c r="T479" s="104">
        <f t="shared" si="133"/>
        <v>0</v>
      </c>
      <c r="U479" s="76"/>
    </row>
    <row r="480" spans="1:21" ht="16.5">
      <c r="A480" s="200" t="s">
        <v>274</v>
      </c>
      <c r="B480" s="115"/>
      <c r="C480" s="116">
        <f>+SUM(C472:C478)</f>
        <v>7189765.5999999996</v>
      </c>
      <c r="D480" s="115"/>
      <c r="E480" s="115"/>
      <c r="F480" s="115"/>
      <c r="G480" s="85"/>
      <c r="H480" s="115"/>
      <c r="I480" s="115"/>
      <c r="J480" s="115"/>
      <c r="K480" s="115"/>
      <c r="L480" s="85"/>
      <c r="M480" s="116">
        <f>+SUM(M472:M478)</f>
        <v>666574.14000000013</v>
      </c>
      <c r="N480" s="116">
        <f>+SUM(N472:N478)</f>
        <v>6523191.46</v>
      </c>
      <c r="O480" s="85"/>
      <c r="P480" s="116">
        <f t="shared" ref="P480:R480" si="134">+SUM(P472:P478)</f>
        <v>6523191.46</v>
      </c>
      <c r="Q480" s="116">
        <f t="shared" si="134"/>
        <v>719039.83712722978</v>
      </c>
      <c r="R480" s="116">
        <f t="shared" si="134"/>
        <v>5804151.6228727708</v>
      </c>
      <c r="S480" s="104"/>
      <c r="T480" s="104"/>
      <c r="U480" s="191">
        <f>-SUM(S472:S478)</f>
        <v>718976.56</v>
      </c>
    </row>
    <row r="481" spans="1:21">
      <c r="S481" s="104"/>
      <c r="T481" s="104"/>
    </row>
    <row r="482" spans="1:21">
      <c r="A482" s="75" t="s">
        <v>0</v>
      </c>
      <c r="C482" s="105">
        <f>+C12+C259+C290+C351+C358+C366+C389+C470+C480</f>
        <v>651888242.49999988</v>
      </c>
      <c r="M482" s="105">
        <f>+M12+M259+M290+M351+M358+M366+M389+M470+M480</f>
        <v>294407003.77220047</v>
      </c>
      <c r="N482" s="105">
        <f>+N12+N259+N290+N351+N358+N366+N389+N470+N480</f>
        <v>357481238.72779936</v>
      </c>
      <c r="P482" s="105">
        <f>+P12+P259+P290+P351+P358+P366+P389+P470+P480</f>
        <v>136133772.67699999</v>
      </c>
      <c r="Q482" s="105">
        <f>+Q12+Q259+Q290+Q351+Q358+Q366+Q389+Q470+Q480</f>
        <v>29503311.952307992</v>
      </c>
      <c r="R482" s="105">
        <f>+R12+R259+R290+R351+R358+R366+R389+R470+R480</f>
        <v>327977926.77549124</v>
      </c>
      <c r="S482" s="104">
        <f>+SUM(S3:S480)</f>
        <v>-27710673.650000013</v>
      </c>
      <c r="T482" s="104">
        <f>+SUM(T3:T480)</f>
        <v>-1792674.9588129194</v>
      </c>
      <c r="U482" s="76">
        <f>+SUM(U4:U480)</f>
        <v>27710673.650000006</v>
      </c>
    </row>
    <row r="483" spans="1:21">
      <c r="C483" s="105"/>
      <c r="S483" s="104"/>
      <c r="T483" s="104"/>
    </row>
    <row r="484" spans="1:21">
      <c r="C484" s="105"/>
      <c r="Q484" s="86" t="s">
        <v>275</v>
      </c>
      <c r="R484" s="86"/>
      <c r="S484" s="178">
        <f>+SUM(S4:S479)</f>
        <v>-27710673.650000013</v>
      </c>
      <c r="T484" s="104"/>
    </row>
    <row r="485" spans="1:21">
      <c r="C485" s="105"/>
      <c r="N485" s="226"/>
      <c r="Q485" s="86" t="s">
        <v>276</v>
      </c>
      <c r="R485" s="117"/>
      <c r="S485" s="227">
        <f>+'[3]DEP ADD 2020-21'!K83</f>
        <v>-176294.02000000005</v>
      </c>
      <c r="T485" s="104"/>
    </row>
    <row r="486" spans="1:21">
      <c r="Q486" s="86"/>
      <c r="R486" s="86"/>
      <c r="S486" s="178"/>
      <c r="T486" s="104">
        <f t="shared" si="125"/>
        <v>0</v>
      </c>
    </row>
    <row r="487" spans="1:21">
      <c r="Q487" s="86" t="s">
        <v>277</v>
      </c>
      <c r="R487" s="86"/>
      <c r="S487" s="178">
        <f>+S484+S485</f>
        <v>-27886967.670000013</v>
      </c>
      <c r="T487" s="104">
        <f>+S487-[1]Sheet1!$I$611</f>
        <v>0</v>
      </c>
    </row>
    <row r="488" spans="1:21">
      <c r="S488" s="104"/>
      <c r="T488" s="104"/>
    </row>
    <row r="489" spans="1:21">
      <c r="Q489" s="105" t="s">
        <v>278</v>
      </c>
      <c r="S489" s="228">
        <f>-[1]Sheet1!$I$611</f>
        <v>27886967.670000002</v>
      </c>
      <c r="T489" s="104"/>
    </row>
    <row r="490" spans="1:21">
      <c r="S490" s="104"/>
      <c r="T490" s="104"/>
    </row>
    <row r="491" spans="1:21">
      <c r="Q491" s="229" t="s">
        <v>279</v>
      </c>
      <c r="S491" s="104"/>
      <c r="T491" s="104"/>
    </row>
    <row r="492" spans="1:21">
      <c r="S492" s="104"/>
      <c r="T492" s="104"/>
    </row>
    <row r="493" spans="1:21">
      <c r="Q493" s="105" t="s">
        <v>280</v>
      </c>
      <c r="R493" s="104">
        <f>+Q482</f>
        <v>29503311.952307992</v>
      </c>
      <c r="T493" s="104"/>
    </row>
    <row r="494" spans="1:21">
      <c r="Q494" s="105" t="s">
        <v>281</v>
      </c>
      <c r="R494" s="104">
        <f>+'[3]DEP ADD 2020-21'!I83</f>
        <v>176293.99853936073</v>
      </c>
      <c r="S494" s="191">
        <f>+R494+R493</f>
        <v>29679605.950847354</v>
      </c>
      <c r="T494" s="104"/>
    </row>
    <row r="495" spans="1:21">
      <c r="S495" s="104"/>
      <c r="T495" s="104"/>
    </row>
    <row r="496" spans="1:21">
      <c r="Q496" s="226" t="s">
        <v>56</v>
      </c>
      <c r="R496" s="226"/>
      <c r="S496" s="230">
        <f>+S489-SUM(R493:R494)</f>
        <v>-1792638.280847352</v>
      </c>
      <c r="T496" s="104">
        <f>+S496-T482</f>
        <v>36.677965567447245</v>
      </c>
    </row>
    <row r="497" spans="17:20">
      <c r="Q497" s="105" t="s">
        <v>282</v>
      </c>
      <c r="R497" s="105">
        <f>+T482</f>
        <v>-1792674.9588129194</v>
      </c>
      <c r="S497" s="104"/>
      <c r="T497" s="104"/>
    </row>
    <row r="498" spans="17:20">
      <c r="Q498" s="105" t="s">
        <v>283</v>
      </c>
      <c r="R498" s="105">
        <f>+'[3]DEP ADD 2020-21'!L83</f>
        <v>0</v>
      </c>
      <c r="S498" s="104"/>
      <c r="T498" s="104"/>
    </row>
    <row r="499" spans="17:20">
      <c r="S499" s="104"/>
      <c r="T499" s="104"/>
    </row>
    <row r="500" spans="17:20">
      <c r="S500" s="104"/>
      <c r="T500" s="104"/>
    </row>
    <row r="501" spans="17:20">
      <c r="S501" s="104"/>
      <c r="T501" s="104"/>
    </row>
  </sheetData>
  <autoFilter ref="A14:Y259"/>
  <mergeCells count="2">
    <mergeCell ref="S120:S232"/>
    <mergeCell ref="T120:T2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12"/>
  <sheetViews>
    <sheetView topLeftCell="E1" workbookViewId="0">
      <selection activeCell="P13" sqref="P13"/>
    </sheetView>
  </sheetViews>
  <sheetFormatPr defaultColWidth="9.28515625" defaultRowHeight="15"/>
  <cols>
    <col min="3" max="3" width="6.140625" bestFit="1" customWidth="1"/>
    <col min="4" max="4" width="47.140625" customWidth="1"/>
    <col min="5" max="5" width="11.7109375" customWidth="1"/>
    <col min="6" max="6" width="11.5703125" customWidth="1"/>
    <col min="7" max="7" width="10.140625" customWidth="1"/>
    <col min="8" max="9" width="9.42578125" bestFit="1" customWidth="1"/>
    <col min="10" max="11" width="14.5703125" bestFit="1" customWidth="1"/>
    <col min="12" max="12" width="9.42578125" bestFit="1" customWidth="1"/>
    <col min="13" max="13" width="14.5703125" bestFit="1" customWidth="1"/>
    <col min="14" max="16" width="16" bestFit="1" customWidth="1"/>
  </cols>
  <sheetData>
    <row r="2" spans="3:17" ht="15.75" thickBot="1">
      <c r="C2" s="706" t="s">
        <v>651</v>
      </c>
      <c r="D2" s="706"/>
      <c r="E2" s="706"/>
      <c r="F2" s="707"/>
      <c r="G2" s="707"/>
      <c r="H2" s="707"/>
      <c r="I2" s="707"/>
      <c r="J2" s="707"/>
      <c r="K2" s="707"/>
      <c r="L2" s="708"/>
      <c r="M2" s="706"/>
      <c r="N2" s="706"/>
      <c r="O2" s="706"/>
      <c r="P2" s="706"/>
    </row>
    <row r="3" spans="3:17" ht="60" customHeight="1">
      <c r="C3" s="40" t="s">
        <v>1</v>
      </c>
      <c r="D3" s="40" t="s">
        <v>2</v>
      </c>
      <c r="E3" s="40" t="s">
        <v>12</v>
      </c>
      <c r="F3" s="40" t="s">
        <v>3</v>
      </c>
      <c r="G3" s="40" t="s">
        <v>27</v>
      </c>
      <c r="H3" s="40" t="s">
        <v>28</v>
      </c>
      <c r="I3" s="40" t="s">
        <v>4</v>
      </c>
      <c r="J3" s="41" t="s">
        <v>5</v>
      </c>
      <c r="K3" s="41" t="s">
        <v>11</v>
      </c>
      <c r="L3" s="42" t="s">
        <v>6</v>
      </c>
      <c r="M3" s="41" t="s">
        <v>7</v>
      </c>
      <c r="N3" s="41" t="s">
        <v>8</v>
      </c>
      <c r="O3" s="41" t="s">
        <v>9</v>
      </c>
      <c r="P3" s="41" t="s">
        <v>10</v>
      </c>
    </row>
    <row r="4" spans="3:17">
      <c r="C4" s="630">
        <v>1</v>
      </c>
      <c r="D4" s="630" t="s">
        <v>267</v>
      </c>
      <c r="E4" s="643">
        <v>41723</v>
      </c>
      <c r="F4" s="643">
        <v>44470</v>
      </c>
      <c r="G4" s="642">
        <f>(F4-E4)/365</f>
        <v>7.5260273972602736</v>
      </c>
      <c r="H4" s="637">
        <v>3</v>
      </c>
      <c r="I4" s="638">
        <f t="shared" ref="I4:I10" si="0">(95/H4/100)</f>
        <v>0.31666666666666665</v>
      </c>
      <c r="J4" s="640">
        <v>28000</v>
      </c>
      <c r="K4" s="640">
        <v>8332.1694214876043</v>
      </c>
      <c r="L4" s="644">
        <v>0</v>
      </c>
      <c r="M4" s="640">
        <f t="shared" ref="M4:M10" si="1">J4*(1+L4)</f>
        <v>28000</v>
      </c>
      <c r="N4" s="640">
        <f t="shared" ref="N4:N10" si="2">G4*I4*M4</f>
        <v>66730.776255707751</v>
      </c>
      <c r="O4" s="640">
        <f t="shared" ref="O4:O10" si="3">IF(M4-N4&lt;=0,5%*M4,M4-N4)</f>
        <v>1400</v>
      </c>
      <c r="P4" s="640">
        <f t="shared" ref="P4:P10" si="4">IF(O4=M4*5%,O4,O4*0.9)</f>
        <v>1400</v>
      </c>
      <c r="Q4" s="639"/>
    </row>
    <row r="5" spans="3:17">
      <c r="C5" s="630">
        <v>2</v>
      </c>
      <c r="D5" s="630" t="s">
        <v>268</v>
      </c>
      <c r="E5" s="643">
        <v>43435</v>
      </c>
      <c r="F5" s="643">
        <v>44470</v>
      </c>
      <c r="G5" s="642">
        <f t="shared" ref="G5:G10" si="5">(F5-E5)/365</f>
        <v>2.8356164383561642</v>
      </c>
      <c r="H5" s="637">
        <v>3</v>
      </c>
      <c r="I5" s="638">
        <f t="shared" si="0"/>
        <v>0.31666666666666665</v>
      </c>
      <c r="J5" s="640">
        <v>3800000</v>
      </c>
      <c r="K5" s="640">
        <v>2914947.9557522126</v>
      </c>
      <c r="L5" s="644">
        <v>0</v>
      </c>
      <c r="M5" s="640">
        <f t="shared" si="1"/>
        <v>3800000</v>
      </c>
      <c r="N5" s="640">
        <f t="shared" si="2"/>
        <v>3412191.7808219171</v>
      </c>
      <c r="O5" s="640">
        <f t="shared" si="3"/>
        <v>387808.21917808289</v>
      </c>
      <c r="P5" s="640">
        <f t="shared" si="4"/>
        <v>349027.39726027462</v>
      </c>
      <c r="Q5" s="639"/>
    </row>
    <row r="6" spans="3:17">
      <c r="C6" s="630">
        <v>3</v>
      </c>
      <c r="D6" s="630" t="s">
        <v>269</v>
      </c>
      <c r="E6" s="643">
        <v>43698</v>
      </c>
      <c r="F6" s="643">
        <v>44470</v>
      </c>
      <c r="G6" s="642">
        <f t="shared" si="5"/>
        <v>2.1150684931506851</v>
      </c>
      <c r="H6" s="637">
        <v>3</v>
      </c>
      <c r="I6" s="638">
        <f t="shared" si="0"/>
        <v>0.31666666666666665</v>
      </c>
      <c r="J6" s="640">
        <v>93775</v>
      </c>
      <c r="K6" s="640">
        <v>78659.331117595575</v>
      </c>
      <c r="L6" s="644">
        <v>0</v>
      </c>
      <c r="M6" s="640">
        <f t="shared" si="1"/>
        <v>93775</v>
      </c>
      <c r="N6" s="640">
        <f t="shared" si="2"/>
        <v>62807.840182648404</v>
      </c>
      <c r="O6" s="640">
        <f t="shared" si="3"/>
        <v>30967.159817351596</v>
      </c>
      <c r="P6" s="640">
        <f t="shared" si="4"/>
        <v>27870.443835616436</v>
      </c>
      <c r="Q6" s="639"/>
    </row>
    <row r="7" spans="3:17">
      <c r="C7" s="630">
        <v>4</v>
      </c>
      <c r="D7" s="630" t="s">
        <v>270</v>
      </c>
      <c r="E7" s="643">
        <v>43698</v>
      </c>
      <c r="F7" s="643">
        <v>44470</v>
      </c>
      <c r="G7" s="642">
        <f t="shared" si="5"/>
        <v>2.1150684931506851</v>
      </c>
      <c r="H7" s="637">
        <v>3</v>
      </c>
      <c r="I7" s="638">
        <f t="shared" si="0"/>
        <v>0.31666666666666665</v>
      </c>
      <c r="J7" s="640">
        <v>48600</v>
      </c>
      <c r="K7" s="640">
        <v>40766.120612780855</v>
      </c>
      <c r="L7" s="644">
        <v>0</v>
      </c>
      <c r="M7" s="640">
        <f t="shared" si="1"/>
        <v>48600</v>
      </c>
      <c r="N7" s="640">
        <f t="shared" si="2"/>
        <v>32550.904109589042</v>
      </c>
      <c r="O7" s="640">
        <f t="shared" si="3"/>
        <v>16049.095890410958</v>
      </c>
      <c r="P7" s="640">
        <f t="shared" si="4"/>
        <v>14444.186301369862</v>
      </c>
      <c r="Q7" s="639"/>
    </row>
    <row r="8" spans="3:17">
      <c r="C8" s="630">
        <v>5</v>
      </c>
      <c r="D8" s="630" t="s">
        <v>271</v>
      </c>
      <c r="E8" s="643">
        <v>43705</v>
      </c>
      <c r="F8" s="643">
        <v>44470</v>
      </c>
      <c r="G8" s="642">
        <f t="shared" si="5"/>
        <v>2.095890410958904</v>
      </c>
      <c r="H8" s="637">
        <v>3</v>
      </c>
      <c r="I8" s="638">
        <f t="shared" si="0"/>
        <v>0.31666666666666665</v>
      </c>
      <c r="J8" s="640">
        <v>94090</v>
      </c>
      <c r="K8" s="640">
        <v>79103.555433896327</v>
      </c>
      <c r="L8" s="644">
        <v>0</v>
      </c>
      <c r="M8" s="640">
        <f t="shared" si="1"/>
        <v>94090</v>
      </c>
      <c r="N8" s="640">
        <f t="shared" si="2"/>
        <v>62447.404109589035</v>
      </c>
      <c r="O8" s="640">
        <f t="shared" si="3"/>
        <v>31642.595890410965</v>
      </c>
      <c r="P8" s="640">
        <f t="shared" si="4"/>
        <v>28478.336301369869</v>
      </c>
      <c r="Q8" s="639"/>
    </row>
    <row r="9" spans="3:17">
      <c r="C9" s="630">
        <v>6</v>
      </c>
      <c r="D9" s="630" t="s">
        <v>272</v>
      </c>
      <c r="E9" s="643">
        <v>43734</v>
      </c>
      <c r="F9" s="643">
        <v>44470</v>
      </c>
      <c r="G9" s="642">
        <f t="shared" si="5"/>
        <v>2.0164383561643837</v>
      </c>
      <c r="H9" s="637">
        <v>3</v>
      </c>
      <c r="I9" s="638">
        <f t="shared" si="0"/>
        <v>0.31666666666666665</v>
      </c>
      <c r="J9" s="640">
        <v>2125300.54</v>
      </c>
      <c r="K9" s="640">
        <v>1803631.8930984696</v>
      </c>
      <c r="L9" s="644">
        <v>0</v>
      </c>
      <c r="M9" s="640">
        <f t="shared" si="1"/>
        <v>2125300.54</v>
      </c>
      <c r="N9" s="640">
        <f t="shared" si="2"/>
        <v>1357086.8836237444</v>
      </c>
      <c r="O9" s="640">
        <f t="shared" si="3"/>
        <v>768213.65637625568</v>
      </c>
      <c r="P9" s="640">
        <f t="shared" si="4"/>
        <v>691392.29073863011</v>
      </c>
      <c r="Q9" s="639"/>
    </row>
    <row r="10" spans="3:17" ht="26.25">
      <c r="C10" s="630">
        <v>7</v>
      </c>
      <c r="D10" s="630" t="s">
        <v>273</v>
      </c>
      <c r="E10" s="643">
        <v>43844</v>
      </c>
      <c r="F10" s="643">
        <v>44470</v>
      </c>
      <c r="G10" s="642">
        <f t="shared" si="5"/>
        <v>1.715068493150685</v>
      </c>
      <c r="H10" s="637">
        <v>3</v>
      </c>
      <c r="I10" s="638">
        <f t="shared" si="0"/>
        <v>0.31666666666666665</v>
      </c>
      <c r="J10" s="640">
        <v>1000000.06</v>
      </c>
      <c r="K10" s="640">
        <v>878710.59743632807</v>
      </c>
      <c r="L10" s="644">
        <v>0</v>
      </c>
      <c r="M10" s="640">
        <f t="shared" si="1"/>
        <v>1000000.06</v>
      </c>
      <c r="N10" s="640">
        <f t="shared" si="2"/>
        <v>543105.05541735166</v>
      </c>
      <c r="O10" s="640">
        <f t="shared" si="3"/>
        <v>456895.0045826484</v>
      </c>
      <c r="P10" s="640">
        <f t="shared" si="4"/>
        <v>411205.50412438356</v>
      </c>
      <c r="Q10" s="639"/>
    </row>
    <row r="11" spans="3:17">
      <c r="C11" s="630"/>
      <c r="D11" s="630" t="s">
        <v>340</v>
      </c>
      <c r="E11" s="643">
        <v>44281</v>
      </c>
      <c r="F11" s="643">
        <v>44470</v>
      </c>
      <c r="G11" s="642">
        <f t="shared" ref="G11" si="6">(F11-E11)/365</f>
        <v>0.51780821917808217</v>
      </c>
      <c r="H11" s="637">
        <v>3</v>
      </c>
      <c r="I11" s="638">
        <f t="shared" ref="I11" si="7">(95/H11/100)</f>
        <v>0.31666666666666665</v>
      </c>
      <c r="J11" s="640">
        <v>990000.06</v>
      </c>
      <c r="K11" s="640">
        <v>988372.66264109593</v>
      </c>
      <c r="L11" s="644">
        <v>0</v>
      </c>
      <c r="M11" s="640">
        <f t="shared" ref="M11" si="8">J11*(1+L11)</f>
        <v>990000.06</v>
      </c>
      <c r="N11" s="640">
        <f t="shared" ref="N11" si="9">G11*I11*M11</f>
        <v>162332.88655068493</v>
      </c>
      <c r="O11" s="640">
        <f t="shared" ref="O11" si="10">IF(M11-N11&lt;=0,5%*M11,M11-N11)</f>
        <v>827667.17344931513</v>
      </c>
      <c r="P11" s="640">
        <f t="shared" ref="P11" si="11">IF(O11=M11*5%,O11,O11*0.9)</f>
        <v>744900.45610438369</v>
      </c>
      <c r="Q11" s="639"/>
    </row>
    <row r="12" spans="3:17" s="23" customFormat="1">
      <c r="C12" s="709" t="s">
        <v>13</v>
      </c>
      <c r="D12" s="710"/>
      <c r="E12" s="710"/>
      <c r="F12" s="710"/>
      <c r="G12" s="710"/>
      <c r="H12" s="710"/>
      <c r="I12" s="711"/>
      <c r="J12" s="641">
        <f>SUM(J4:J11)</f>
        <v>8179765.6600000001</v>
      </c>
      <c r="K12" s="641">
        <f>SUM(K4:K11)</f>
        <v>6792524.2855138667</v>
      </c>
      <c r="L12" s="636"/>
      <c r="M12" s="641">
        <f>SUM(M4:M11)</f>
        <v>8179765.6600000001</v>
      </c>
      <c r="N12" s="641">
        <f t="shared" ref="M12:P12" si="12">SUM(N4:N11)</f>
        <v>5699253.5310712326</v>
      </c>
      <c r="O12" s="641">
        <f t="shared" si="12"/>
        <v>2520642.9051844757</v>
      </c>
      <c r="P12" s="641">
        <f>SUM(P4:P11)</f>
        <v>2268718.6146660284</v>
      </c>
    </row>
  </sheetData>
  <mergeCells count="2">
    <mergeCell ref="C2:P2"/>
    <mergeCell ref="C12:I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2"/>
  <sheetViews>
    <sheetView tabSelected="1" topLeftCell="E4" workbookViewId="0">
      <selection activeCell="D6" sqref="D6:J21"/>
    </sheetView>
  </sheetViews>
  <sheetFormatPr defaultRowHeight="15"/>
  <cols>
    <col min="4" max="4" width="7" customWidth="1"/>
    <col min="5" max="5" width="21.5703125" customWidth="1"/>
    <col min="6" max="6" width="13.140625" customWidth="1"/>
    <col min="7" max="8" width="18.5703125" bestFit="1" customWidth="1"/>
    <col min="9" max="9" width="18.28515625" bestFit="1" customWidth="1"/>
    <col min="10" max="10" width="18.5703125" bestFit="1" customWidth="1"/>
    <col min="11" max="11" width="16.85546875" bestFit="1" customWidth="1"/>
    <col min="12" max="12" width="19" bestFit="1" customWidth="1"/>
    <col min="13" max="14" width="14.28515625" bestFit="1" customWidth="1"/>
  </cols>
  <sheetData>
    <row r="5" spans="4:14" ht="15.75" thickBot="1"/>
    <row r="6" spans="4:14" ht="30.75" customHeight="1" thickBot="1">
      <c r="D6" s="712" t="s">
        <v>658</v>
      </c>
      <c r="E6" s="713"/>
      <c r="F6" s="713"/>
      <c r="G6" s="713"/>
      <c r="H6" s="713"/>
      <c r="I6" s="713"/>
      <c r="J6" s="714"/>
    </row>
    <row r="7" spans="4:14" s="23" customFormat="1" ht="15.75" thickBot="1">
      <c r="D7" s="50" t="s">
        <v>35</v>
      </c>
      <c r="E7" s="51" t="s">
        <v>14</v>
      </c>
      <c r="F7" s="51" t="s">
        <v>16</v>
      </c>
      <c r="G7" s="51" t="s">
        <v>5</v>
      </c>
      <c r="H7" s="51" t="s">
        <v>11</v>
      </c>
      <c r="I7" s="51" t="s">
        <v>26</v>
      </c>
      <c r="J7" s="52" t="s">
        <v>25</v>
      </c>
    </row>
    <row r="8" spans="4:14">
      <c r="D8" s="45">
        <v>1</v>
      </c>
      <c r="E8" s="61" t="s">
        <v>15</v>
      </c>
      <c r="F8" s="12" t="s">
        <v>18</v>
      </c>
      <c r="G8" s="46">
        <f>'P&amp;M'!J309</f>
        <v>492893839.27627105</v>
      </c>
      <c r="H8" s="46">
        <f>'P&amp;M'!K309</f>
        <v>188643338.42427394</v>
      </c>
      <c r="I8" s="46">
        <f>'P&amp;M'!M309</f>
        <v>504045978.89467108</v>
      </c>
      <c r="J8" s="47">
        <f>'P&amp;M'!P309</f>
        <v>284910540.90151888</v>
      </c>
      <c r="K8" s="25"/>
    </row>
    <row r="9" spans="4:14">
      <c r="D9" s="43">
        <v>2</v>
      </c>
      <c r="E9" s="62" t="s">
        <v>615</v>
      </c>
      <c r="F9" s="34" t="s">
        <v>19</v>
      </c>
      <c r="G9" s="14">
        <f>'FURNITURE FIXTURES'!I28</f>
        <v>301752.53000000003</v>
      </c>
      <c r="H9" s="14">
        <f>'FURNITURE FIXTURES'!J28</f>
        <v>218391.24964999995</v>
      </c>
      <c r="I9" s="14">
        <f>'FURNITURE FIXTURES'!L28</f>
        <v>301752.53000000003</v>
      </c>
      <c r="J9" s="44">
        <f>'FURNITURE FIXTURES'!O28</f>
        <v>141957.68551416043</v>
      </c>
      <c r="K9" s="25"/>
      <c r="M9" s="1">
        <v>8193118158.6500015</v>
      </c>
      <c r="N9" s="1">
        <v>3755663341.1100011</v>
      </c>
    </row>
    <row r="10" spans="4:14">
      <c r="D10" s="43">
        <v>3</v>
      </c>
      <c r="E10" s="62" t="s">
        <v>616</v>
      </c>
      <c r="F10" s="34" t="s">
        <v>22</v>
      </c>
      <c r="G10" s="14">
        <f>'MOTOR VEHICLES'!I14</f>
        <v>6954999.3099999996</v>
      </c>
      <c r="H10" s="14">
        <f>'MOTOR VEHICLES'!J14</f>
        <v>2462086.0657666246</v>
      </c>
      <c r="I10" s="14">
        <f>'MOTOR VEHICLES'!L14</f>
        <v>6954999.3099999996</v>
      </c>
      <c r="J10" s="44">
        <f>'MOTOR VEHICLES'!O14</f>
        <v>2505573.7325337161</v>
      </c>
      <c r="K10" s="25"/>
    </row>
    <row r="11" spans="4:14">
      <c r="D11" s="43">
        <v>3</v>
      </c>
      <c r="E11" s="62" t="s">
        <v>649</v>
      </c>
      <c r="F11" s="34" t="s">
        <v>21</v>
      </c>
      <c r="G11" s="14">
        <f>'OFFICE EQUIPMENTS'!I78</f>
        <v>3177641.2899999991</v>
      </c>
      <c r="H11" s="14">
        <f>'OFFICE EQUIPMENTS'!J78</f>
        <v>987127.65841877938</v>
      </c>
      <c r="I11" s="14">
        <f>'OFFICE EQUIPMENTS'!L78</f>
        <v>3263256.2270999993</v>
      </c>
      <c r="J11" s="44">
        <f>'OFFICE EQUIPMENTS'!O78</f>
        <v>1379817.3010821079</v>
      </c>
      <c r="K11" s="25"/>
    </row>
    <row r="12" spans="4:14">
      <c r="D12" s="43">
        <v>4</v>
      </c>
      <c r="E12" s="62" t="s">
        <v>618</v>
      </c>
      <c r="F12" s="34" t="s">
        <v>20</v>
      </c>
      <c r="G12" s="14">
        <f>'Electrical Installattions'!I24</f>
        <v>82275638.599999994</v>
      </c>
      <c r="H12" s="14">
        <f>'Electrical Installattions'!J24</f>
        <v>5333345.4098669756</v>
      </c>
      <c r="I12" s="14">
        <f>'Electrical Installattions'!L24</f>
        <v>98702359.939999983</v>
      </c>
      <c r="J12" s="44">
        <f>'Electrical Installattions'!O24</f>
        <v>39179157.198063716</v>
      </c>
      <c r="K12" s="25"/>
    </row>
    <row r="13" spans="4:14">
      <c r="D13" s="43">
        <v>5</v>
      </c>
      <c r="E13" s="62" t="s">
        <v>236</v>
      </c>
      <c r="F13" s="34" t="s">
        <v>23</v>
      </c>
      <c r="G13" s="14">
        <f>COMPUTER!I101</f>
        <v>3149891.3799999994</v>
      </c>
      <c r="H13" s="14">
        <f>COMPUTER!J101</f>
        <v>1242913.1567809263</v>
      </c>
      <c r="I13" s="14">
        <f>COMPUTER!L101</f>
        <v>3149891.3799999994</v>
      </c>
      <c r="J13" s="44">
        <f>COMPUTER!O101</f>
        <v>872947.25721684936</v>
      </c>
      <c r="K13" s="25"/>
      <c r="L13" s="25"/>
      <c r="M13" s="23" t="s">
        <v>620</v>
      </c>
    </row>
    <row r="14" spans="4:14" ht="15.75" thickBot="1">
      <c r="D14" s="43">
        <v>6</v>
      </c>
      <c r="E14" s="62" t="s">
        <v>619</v>
      </c>
      <c r="F14" s="34" t="s">
        <v>24</v>
      </c>
      <c r="G14" s="14">
        <f>SOFTWARE!J12</f>
        <v>8179765.6600000001</v>
      </c>
      <c r="H14" s="14">
        <f>SOFTWARE!K12</f>
        <v>6792524.2855138667</v>
      </c>
      <c r="I14" s="14">
        <f>SOFTWARE!M12</f>
        <v>8179765.6600000001</v>
      </c>
      <c r="J14" s="44">
        <f>SOFTWARE!P12</f>
        <v>2268718.6146660284</v>
      </c>
      <c r="K14" s="25"/>
      <c r="L14" s="25"/>
    </row>
    <row r="15" spans="4:14" s="23" customFormat="1" ht="15.75" thickBot="1">
      <c r="D15" s="715" t="s">
        <v>13</v>
      </c>
      <c r="E15" s="716"/>
      <c r="F15" s="716"/>
      <c r="G15" s="48">
        <f>SUM(G8:G14)</f>
        <v>596933528.04627097</v>
      </c>
      <c r="H15" s="48">
        <f>SUM(H8:H14)</f>
        <v>205679726.25027114</v>
      </c>
      <c r="I15" s="48">
        <f>SUM(I8:I14)</f>
        <v>624598003.94177103</v>
      </c>
      <c r="J15" s="49">
        <f>SUM(J8:J14)</f>
        <v>331258712.69059551</v>
      </c>
      <c r="M15" s="23" t="s">
        <v>5</v>
      </c>
      <c r="N15" s="23" t="s">
        <v>11</v>
      </c>
    </row>
    <row r="16" spans="4:14" ht="15.75">
      <c r="D16" s="717" t="s">
        <v>29</v>
      </c>
      <c r="E16" s="718"/>
      <c r="F16" s="718"/>
      <c r="G16" s="718"/>
      <c r="H16" s="718"/>
      <c r="I16" s="718"/>
      <c r="J16" s="719"/>
      <c r="M16" s="105">
        <v>194215864</v>
      </c>
      <c r="N16" s="105">
        <v>126439618.60668075</v>
      </c>
    </row>
    <row r="17" spans="4:12" ht="30.75" customHeight="1">
      <c r="D17" s="720" t="s">
        <v>660</v>
      </c>
      <c r="E17" s="721"/>
      <c r="F17" s="721"/>
      <c r="G17" s="721"/>
      <c r="H17" s="721"/>
      <c r="I17" s="721"/>
      <c r="J17" s="722"/>
    </row>
    <row r="18" spans="4:12" ht="29.25" customHeight="1">
      <c r="D18" s="720" t="s">
        <v>31</v>
      </c>
      <c r="E18" s="721"/>
      <c r="F18" s="721"/>
      <c r="G18" s="721"/>
      <c r="H18" s="721"/>
      <c r="I18" s="721"/>
      <c r="J18" s="722"/>
      <c r="L18" s="672">
        <v>80128000</v>
      </c>
    </row>
    <row r="19" spans="4:12" ht="45" customHeight="1">
      <c r="D19" s="720" t="s">
        <v>32</v>
      </c>
      <c r="E19" s="721"/>
      <c r="F19" s="721"/>
      <c r="G19" s="721"/>
      <c r="H19" s="721"/>
      <c r="I19" s="721"/>
      <c r="J19" s="722"/>
      <c r="L19" s="672">
        <v>188723415</v>
      </c>
    </row>
    <row r="20" spans="4:12" ht="17.25" customHeight="1">
      <c r="D20" s="724" t="s">
        <v>659</v>
      </c>
      <c r="E20" s="725"/>
      <c r="F20" s="725"/>
      <c r="G20" s="725"/>
      <c r="H20" s="725"/>
      <c r="I20" s="725"/>
      <c r="J20" s="726"/>
      <c r="L20" s="673">
        <f>SUM(L19,L18,J15)</f>
        <v>600110127.69059551</v>
      </c>
    </row>
    <row r="21" spans="4:12" ht="45.75" customHeight="1" thickBot="1">
      <c r="D21" s="727" t="s">
        <v>34</v>
      </c>
      <c r="E21" s="728"/>
      <c r="F21" s="728"/>
      <c r="G21" s="728"/>
      <c r="H21" s="728"/>
      <c r="I21" s="728"/>
      <c r="J21" s="729"/>
    </row>
    <row r="22" spans="4:12">
      <c r="D22" s="723"/>
      <c r="E22" s="723"/>
      <c r="F22" s="723"/>
      <c r="G22" s="723"/>
      <c r="H22" s="723"/>
      <c r="I22" s="723"/>
      <c r="J22" s="723"/>
    </row>
  </sheetData>
  <mergeCells count="9">
    <mergeCell ref="D6:J6"/>
    <mergeCell ref="D15:F15"/>
    <mergeCell ref="D16:J16"/>
    <mergeCell ref="D17:J17"/>
    <mergeCell ref="D22:J22"/>
    <mergeCell ref="D19:J19"/>
    <mergeCell ref="D20:J20"/>
    <mergeCell ref="D21:J21"/>
    <mergeCell ref="D18:J1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4"/>
  <sheetViews>
    <sheetView topLeftCell="A4" workbookViewId="0">
      <selection activeCell="D6" sqref="D6:J23"/>
    </sheetView>
  </sheetViews>
  <sheetFormatPr defaultRowHeight="15"/>
  <cols>
    <col min="4" max="4" width="10.5703125" bestFit="1" customWidth="1"/>
    <col min="5" max="5" width="26.85546875" customWidth="1"/>
    <col min="6" max="6" width="14.85546875" customWidth="1"/>
    <col min="7" max="8" width="18.5703125" bestFit="1" customWidth="1"/>
    <col min="9" max="9" width="18.28515625" bestFit="1" customWidth="1"/>
    <col min="10" max="10" width="18.5703125" bestFit="1" customWidth="1"/>
    <col min="11" max="11" width="16.85546875" bestFit="1" customWidth="1"/>
    <col min="12" max="12" width="15.85546875" bestFit="1" customWidth="1"/>
    <col min="13" max="14" width="14.28515625" bestFit="1" customWidth="1"/>
  </cols>
  <sheetData>
    <row r="5" spans="4:14" ht="15.75" thickBot="1"/>
    <row r="6" spans="4:14" ht="15.75" thickBot="1">
      <c r="D6" s="734" t="s">
        <v>650</v>
      </c>
      <c r="E6" s="735"/>
      <c r="F6" s="735"/>
      <c r="G6" s="735"/>
      <c r="H6" s="735"/>
      <c r="I6" s="735"/>
      <c r="J6" s="736"/>
    </row>
    <row r="7" spans="4:14" s="23" customFormat="1" ht="15.75" thickBot="1">
      <c r="D7" s="50" t="s">
        <v>35</v>
      </c>
      <c r="E7" s="51" t="s">
        <v>14</v>
      </c>
      <c r="F7" s="51" t="s">
        <v>16</v>
      </c>
      <c r="G7" s="51" t="s">
        <v>5</v>
      </c>
      <c r="H7" s="51" t="s">
        <v>11</v>
      </c>
      <c r="I7" s="51" t="s">
        <v>26</v>
      </c>
      <c r="J7" s="52" t="s">
        <v>25</v>
      </c>
    </row>
    <row r="8" spans="4:14">
      <c r="D8" s="45">
        <v>1</v>
      </c>
      <c r="E8" s="61" t="s">
        <v>15</v>
      </c>
      <c r="F8" s="12" t="s">
        <v>18</v>
      </c>
      <c r="G8" s="46">
        <f>'P&amp;M'!J309</f>
        <v>492893839.27627105</v>
      </c>
      <c r="H8" s="46">
        <f>'P&amp;M'!K309</f>
        <v>188643338.42427394</v>
      </c>
      <c r="I8" s="46"/>
      <c r="J8" s="47"/>
      <c r="K8" s="25"/>
    </row>
    <row r="9" spans="4:14">
      <c r="D9" s="43">
        <v>2</v>
      </c>
      <c r="E9" s="62" t="s">
        <v>615</v>
      </c>
      <c r="F9" s="34" t="s">
        <v>19</v>
      </c>
      <c r="G9" s="14">
        <f>'FURNITURE FIXTURES'!I28</f>
        <v>301752.53000000003</v>
      </c>
      <c r="H9" s="14">
        <f>'FURNITURE FIXTURES'!J28</f>
        <v>218391.24964999995</v>
      </c>
      <c r="I9" s="14"/>
      <c r="J9" s="44"/>
      <c r="K9" s="25"/>
      <c r="M9" s="1">
        <v>8193118158.6500015</v>
      </c>
      <c r="N9" s="1">
        <v>3755663341.1100011</v>
      </c>
    </row>
    <row r="10" spans="4:14">
      <c r="D10" s="43">
        <v>3</v>
      </c>
      <c r="E10" s="62" t="s">
        <v>616</v>
      </c>
      <c r="F10" s="34" t="s">
        <v>22</v>
      </c>
      <c r="G10" s="14">
        <f>'MOTOR VEHICLES'!I14</f>
        <v>6954999.3099999996</v>
      </c>
      <c r="H10" s="14">
        <f>'MOTOR VEHICLES'!J14</f>
        <v>2462086.0657666246</v>
      </c>
      <c r="I10" s="14"/>
      <c r="J10" s="44"/>
      <c r="K10" s="25"/>
    </row>
    <row r="11" spans="4:14">
      <c r="D11" s="43">
        <v>3</v>
      </c>
      <c r="E11" s="62" t="s">
        <v>617</v>
      </c>
      <c r="F11" s="34" t="s">
        <v>21</v>
      </c>
      <c r="G11" s="14">
        <f>'OFFICE EQUIPMENTS'!I78</f>
        <v>3177641.2899999991</v>
      </c>
      <c r="H11" s="14">
        <f>'OFFICE EQUIPMENTS'!J78</f>
        <v>987127.65841877938</v>
      </c>
      <c r="I11" s="14"/>
      <c r="J11" s="44"/>
      <c r="K11" s="25"/>
    </row>
    <row r="12" spans="4:14">
      <c r="D12" s="43">
        <v>4</v>
      </c>
      <c r="E12" s="62" t="s">
        <v>618</v>
      </c>
      <c r="F12" s="34" t="s">
        <v>20</v>
      </c>
      <c r="G12" s="14">
        <f>'Electrical Installattions'!I24</f>
        <v>82275638.599999994</v>
      </c>
      <c r="H12" s="14">
        <f>'Electrical Installattions'!J24</f>
        <v>5333345.4098669756</v>
      </c>
      <c r="I12" s="14"/>
      <c r="J12" s="44"/>
      <c r="K12" s="25"/>
    </row>
    <row r="13" spans="4:14">
      <c r="D13" s="43">
        <v>5</v>
      </c>
      <c r="E13" s="62" t="s">
        <v>236</v>
      </c>
      <c r="F13" s="34" t="s">
        <v>23</v>
      </c>
      <c r="G13" s="14">
        <f>COMPUTER!I101</f>
        <v>3149891.3799999994</v>
      </c>
      <c r="H13" s="14">
        <f>COMPUTER!J101</f>
        <v>1242913.1567809263</v>
      </c>
      <c r="I13" s="14"/>
      <c r="J13" s="44"/>
      <c r="K13" s="25"/>
      <c r="L13" s="25"/>
      <c r="M13" s="23" t="s">
        <v>620</v>
      </c>
    </row>
    <row r="14" spans="4:14">
      <c r="D14" s="43">
        <v>6</v>
      </c>
      <c r="E14" s="62" t="s">
        <v>619</v>
      </c>
      <c r="F14" s="34" t="s">
        <v>24</v>
      </c>
      <c r="G14" s="14">
        <f>SOFTWARE!J12</f>
        <v>8179765.6600000001</v>
      </c>
      <c r="H14" s="14">
        <f>SOFTWARE!K12</f>
        <v>6792524.2855138667</v>
      </c>
      <c r="I14" s="14"/>
      <c r="J14" s="44"/>
      <c r="K14" s="25"/>
      <c r="L14" s="25"/>
    </row>
    <row r="15" spans="4:14">
      <c r="D15" s="580">
        <v>7</v>
      </c>
      <c r="E15" s="581" t="s">
        <v>214</v>
      </c>
      <c r="F15" s="582"/>
      <c r="G15" s="583">
        <f>'[3]DEP 2020-21'!$C$358</f>
        <v>187834478</v>
      </c>
      <c r="H15" s="583">
        <f>'[3]DEP 2020-21'!$R$358</f>
        <v>121892010.92361955</v>
      </c>
      <c r="I15" s="730" t="s">
        <v>621</v>
      </c>
      <c r="J15" s="731"/>
      <c r="K15" s="25"/>
      <c r="L15" s="25"/>
    </row>
    <row r="16" spans="4:14" ht="15.75" thickBot="1">
      <c r="D16" s="580">
        <v>8</v>
      </c>
      <c r="E16" s="581" t="s">
        <v>219</v>
      </c>
      <c r="F16" s="582"/>
      <c r="G16" s="583">
        <f>'[3]DEP 2020-21'!$C$366</f>
        <v>6381386</v>
      </c>
      <c r="H16" s="583">
        <f>'[3]DEP 2020-21'!$R$366</f>
        <v>4547607.6830611993</v>
      </c>
      <c r="I16" s="732"/>
      <c r="J16" s="733"/>
      <c r="K16" s="25"/>
      <c r="L16" s="25"/>
    </row>
    <row r="17" spans="4:14" s="23" customFormat="1" ht="15.75" thickBot="1">
      <c r="D17" s="715" t="s">
        <v>13</v>
      </c>
      <c r="E17" s="716"/>
      <c r="F17" s="716"/>
      <c r="G17" s="48">
        <f>SUM(G8:G16)</f>
        <v>791149392.04627097</v>
      </c>
      <c r="H17" s="48">
        <f>SUM(H8:H16)</f>
        <v>332119344.85695189</v>
      </c>
      <c r="I17" s="48">
        <f>SUM(I8:I14)</f>
        <v>0</v>
      </c>
      <c r="J17" s="49">
        <f>SUM(J8:J14)</f>
        <v>0</v>
      </c>
      <c r="M17" s="23" t="s">
        <v>5</v>
      </c>
      <c r="N17" s="23" t="s">
        <v>11</v>
      </c>
    </row>
    <row r="18" spans="4:14" ht="15.75">
      <c r="D18" s="717" t="s">
        <v>29</v>
      </c>
      <c r="E18" s="718"/>
      <c r="F18" s="718"/>
      <c r="G18" s="718"/>
      <c r="H18" s="718"/>
      <c r="I18" s="718"/>
      <c r="J18" s="719"/>
      <c r="M18" s="105">
        <v>194215864</v>
      </c>
      <c r="N18" s="105">
        <v>126439618.60668075</v>
      </c>
    </row>
    <row r="19" spans="4:14">
      <c r="D19" s="720" t="s">
        <v>30</v>
      </c>
      <c r="E19" s="721"/>
      <c r="F19" s="721"/>
      <c r="G19" s="721"/>
      <c r="H19" s="721"/>
      <c r="I19" s="721"/>
      <c r="J19" s="722"/>
    </row>
    <row r="20" spans="4:14" ht="29.25" customHeight="1">
      <c r="D20" s="720" t="s">
        <v>31</v>
      </c>
      <c r="E20" s="721"/>
      <c r="F20" s="721"/>
      <c r="G20" s="721"/>
      <c r="H20" s="721"/>
      <c r="I20" s="721"/>
      <c r="J20" s="722"/>
      <c r="L20">
        <v>135587516.07627118</v>
      </c>
    </row>
    <row r="21" spans="4:14" ht="45" customHeight="1">
      <c r="D21" s="720" t="s">
        <v>32</v>
      </c>
      <c r="E21" s="721"/>
      <c r="F21" s="721"/>
      <c r="G21" s="721"/>
      <c r="H21" s="721"/>
      <c r="I21" s="721"/>
      <c r="J21" s="722"/>
      <c r="L21">
        <v>4385488.47</v>
      </c>
    </row>
    <row r="22" spans="4:14" ht="17.25" customHeight="1">
      <c r="D22" s="724" t="s">
        <v>33</v>
      </c>
      <c r="E22" s="725"/>
      <c r="F22" s="725"/>
      <c r="G22" s="725"/>
      <c r="H22" s="725"/>
      <c r="I22" s="725"/>
      <c r="J22" s="726"/>
      <c r="L22">
        <v>651888242.49999988</v>
      </c>
    </row>
    <row r="23" spans="4:14" ht="45.75" customHeight="1" thickBot="1">
      <c r="D23" s="727" t="s">
        <v>34</v>
      </c>
      <c r="E23" s="728"/>
      <c r="F23" s="728"/>
      <c r="G23" s="728"/>
      <c r="H23" s="728"/>
      <c r="I23" s="728"/>
      <c r="J23" s="729"/>
      <c r="L23">
        <f>SUM(L20:L22)</f>
        <v>791861247.04627109</v>
      </c>
    </row>
    <row r="24" spans="4:14">
      <c r="D24" s="723"/>
      <c r="E24" s="723"/>
      <c r="F24" s="723"/>
      <c r="G24" s="723"/>
      <c r="H24" s="723"/>
      <c r="I24" s="723"/>
      <c r="J24" s="723"/>
    </row>
  </sheetData>
  <mergeCells count="10">
    <mergeCell ref="D22:J22"/>
    <mergeCell ref="D23:J23"/>
    <mergeCell ref="D24:J24"/>
    <mergeCell ref="I15:J16"/>
    <mergeCell ref="D6:J6"/>
    <mergeCell ref="D17:F17"/>
    <mergeCell ref="D18:J18"/>
    <mergeCell ref="D19:J19"/>
    <mergeCell ref="D20:J20"/>
    <mergeCell ref="D21:J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Q104"/>
  <sheetViews>
    <sheetView topLeftCell="A46" workbookViewId="0">
      <selection activeCell="G62" sqref="G62"/>
    </sheetView>
  </sheetViews>
  <sheetFormatPr defaultRowHeight="15"/>
  <cols>
    <col min="4" max="4" width="14.28515625" customWidth="1"/>
    <col min="5" max="5" width="18.140625" customWidth="1"/>
    <col min="7" max="7" width="22" customWidth="1"/>
    <col min="8" max="8" width="17.7109375" customWidth="1"/>
    <col min="9" max="9" width="17.5703125" customWidth="1"/>
    <col min="13" max="13" width="16.85546875" customWidth="1"/>
    <col min="14" max="14" width="11.140625" customWidth="1"/>
  </cols>
  <sheetData>
    <row r="8" spans="4:17">
      <c r="E8" t="s">
        <v>623</v>
      </c>
      <c r="L8" s="35"/>
    </row>
    <row r="9" spans="4:17">
      <c r="D9" t="s">
        <v>622</v>
      </c>
      <c r="E9">
        <v>8</v>
      </c>
      <c r="L9" s="35"/>
    </row>
    <row r="10" spans="4:17">
      <c r="D10" t="s">
        <v>624</v>
      </c>
      <c r="E10">
        <v>10</v>
      </c>
      <c r="L10" s="35"/>
    </row>
    <row r="11" spans="4:17">
      <c r="L11" s="35"/>
    </row>
    <row r="12" spans="4:17">
      <c r="L12" s="35"/>
    </row>
    <row r="13" spans="4:17" ht="15.75" thickBot="1">
      <c r="D13" s="740" t="s">
        <v>627</v>
      </c>
      <c r="E13" s="740"/>
      <c r="G13" s="740" t="s">
        <v>628</v>
      </c>
      <c r="H13" s="740"/>
      <c r="J13" s="740" t="s">
        <v>629</v>
      </c>
      <c r="K13" s="743"/>
      <c r="L13" s="35"/>
      <c r="M13" s="744" t="s">
        <v>630</v>
      </c>
      <c r="N13" s="689"/>
    </row>
    <row r="14" spans="4:17" ht="26.25" thickBot="1">
      <c r="D14" s="657" t="s">
        <v>625</v>
      </c>
      <c r="E14" s="657" t="s">
        <v>626</v>
      </c>
      <c r="G14" s="657" t="s">
        <v>625</v>
      </c>
      <c r="H14" s="657" t="s">
        <v>626</v>
      </c>
      <c r="J14" s="657" t="s">
        <v>631</v>
      </c>
      <c r="K14" s="657" t="s">
        <v>626</v>
      </c>
      <c r="L14" s="35"/>
      <c r="M14" s="656"/>
      <c r="N14" s="656"/>
      <c r="P14" s="740" t="s">
        <v>632</v>
      </c>
      <c r="Q14" s="740"/>
    </row>
    <row r="15" spans="4:17" ht="26.25" customHeight="1" thickBot="1">
      <c r="D15" s="658">
        <v>2020</v>
      </c>
      <c r="E15" s="659">
        <v>118.8</v>
      </c>
      <c r="G15" s="658">
        <v>2020</v>
      </c>
      <c r="H15" s="659">
        <v>112.1</v>
      </c>
      <c r="J15" s="658">
        <v>2020</v>
      </c>
      <c r="K15" s="659">
        <v>106.8</v>
      </c>
      <c r="L15" s="35"/>
      <c r="M15" s="657" t="s">
        <v>631</v>
      </c>
      <c r="N15" s="657" t="s">
        <v>626</v>
      </c>
      <c r="P15" s="657" t="s">
        <v>631</v>
      </c>
      <c r="Q15" s="657" t="s">
        <v>626</v>
      </c>
    </row>
    <row r="16" spans="4:17" ht="15.75" thickBot="1">
      <c r="D16" s="658">
        <v>2019</v>
      </c>
      <c r="E16" s="659">
        <v>120</v>
      </c>
      <c r="G16" s="658">
        <v>2019</v>
      </c>
      <c r="H16" s="659">
        <v>112.4</v>
      </c>
      <c r="J16" s="658">
        <v>2019</v>
      </c>
      <c r="K16" s="659">
        <v>103.1</v>
      </c>
      <c r="L16" s="35"/>
      <c r="M16" s="658">
        <v>2020</v>
      </c>
      <c r="N16" s="659">
        <v>109.6</v>
      </c>
      <c r="P16" s="658">
        <v>2020</v>
      </c>
      <c r="Q16" s="659">
        <v>115</v>
      </c>
    </row>
    <row r="17" spans="4:17" ht="15.75" thickBot="1">
      <c r="D17" s="658">
        <v>2018</v>
      </c>
      <c r="E17" s="659">
        <v>116.8</v>
      </c>
      <c r="G17" s="658">
        <v>2018</v>
      </c>
      <c r="H17" s="659">
        <v>112.3</v>
      </c>
      <c r="J17" s="658">
        <v>2018</v>
      </c>
      <c r="K17" s="659">
        <v>99.4</v>
      </c>
      <c r="L17" s="35"/>
      <c r="M17" s="658">
        <v>2019</v>
      </c>
      <c r="N17" s="659">
        <v>109.3</v>
      </c>
      <c r="P17" s="658">
        <v>2019</v>
      </c>
      <c r="Q17" s="659">
        <v>116.4</v>
      </c>
    </row>
    <row r="18" spans="4:17" ht="15.75" thickBot="1">
      <c r="D18" s="658">
        <v>2017</v>
      </c>
      <c r="E18" s="659">
        <v>105.1</v>
      </c>
      <c r="G18" s="658">
        <v>2017</v>
      </c>
      <c r="H18" s="659">
        <v>104.7</v>
      </c>
      <c r="J18" s="658">
        <v>2017</v>
      </c>
      <c r="K18" s="659">
        <v>99.6</v>
      </c>
      <c r="L18" s="35"/>
      <c r="M18" s="658">
        <v>2018</v>
      </c>
      <c r="N18" s="659">
        <v>108.5</v>
      </c>
      <c r="P18" s="658">
        <v>2018</v>
      </c>
      <c r="Q18" s="659">
        <v>120.8</v>
      </c>
    </row>
    <row r="19" spans="4:17" ht="15.75" thickBot="1">
      <c r="D19" s="658">
        <v>2016</v>
      </c>
      <c r="E19" s="659">
        <v>100.1</v>
      </c>
      <c r="G19" s="658">
        <v>2016</v>
      </c>
      <c r="H19" s="659">
        <v>99.7</v>
      </c>
      <c r="J19" s="658">
        <v>2016</v>
      </c>
      <c r="K19" s="659">
        <v>101.7</v>
      </c>
      <c r="L19" s="35"/>
      <c r="M19" s="658">
        <v>2017</v>
      </c>
      <c r="N19" s="659">
        <v>104.3</v>
      </c>
      <c r="P19" s="658">
        <v>2017</v>
      </c>
      <c r="Q19" s="659">
        <v>119.4</v>
      </c>
    </row>
    <row r="20" spans="4:17" ht="15.75" thickBot="1">
      <c r="D20" s="658">
        <v>2015</v>
      </c>
      <c r="E20" s="659">
        <v>99.4</v>
      </c>
      <c r="G20" s="658">
        <v>2015</v>
      </c>
      <c r="H20" s="659">
        <v>108.5</v>
      </c>
      <c r="J20" s="658">
        <v>2015</v>
      </c>
      <c r="K20" s="659">
        <v>106.2</v>
      </c>
      <c r="L20" s="35"/>
      <c r="M20" s="658">
        <v>2016</v>
      </c>
      <c r="N20" s="659">
        <v>102.8</v>
      </c>
      <c r="P20" s="658">
        <v>2016</v>
      </c>
      <c r="Q20" s="659">
        <v>115.4</v>
      </c>
    </row>
    <row r="21" spans="4:17" ht="15.75" thickBot="1">
      <c r="D21" s="658">
        <v>2014</v>
      </c>
      <c r="E21" s="659">
        <v>100.1</v>
      </c>
      <c r="G21" s="658">
        <v>2014</v>
      </c>
      <c r="H21" s="659">
        <v>114.9</v>
      </c>
      <c r="J21" s="658">
        <v>2014</v>
      </c>
      <c r="K21" s="659">
        <v>109.8</v>
      </c>
      <c r="L21" s="35"/>
      <c r="M21" s="658">
        <v>2015</v>
      </c>
      <c r="N21" s="659">
        <v>104.8</v>
      </c>
      <c r="P21" s="658">
        <v>2015</v>
      </c>
      <c r="Q21" s="659">
        <v>115.7</v>
      </c>
    </row>
    <row r="22" spans="4:17" ht="15.75" thickBot="1">
      <c r="D22" s="658">
        <v>2013</v>
      </c>
      <c r="E22" s="659">
        <v>100.1</v>
      </c>
      <c r="G22" s="658">
        <v>2013</v>
      </c>
      <c r="H22" s="659">
        <v>112.8</v>
      </c>
      <c r="J22" s="658">
        <v>2013</v>
      </c>
      <c r="K22" s="659">
        <v>98.3</v>
      </c>
      <c r="L22" s="35"/>
      <c r="M22" s="658">
        <v>2014</v>
      </c>
      <c r="N22" s="659">
        <v>111.5</v>
      </c>
      <c r="P22" s="658">
        <v>2014</v>
      </c>
      <c r="Q22" s="659">
        <v>112.5</v>
      </c>
    </row>
    <row r="23" spans="4:17" ht="15.75" thickBot="1">
      <c r="D23" s="658">
        <v>2012</v>
      </c>
      <c r="E23" s="656"/>
      <c r="G23" s="658">
        <v>2012</v>
      </c>
      <c r="H23" s="656"/>
      <c r="J23" s="658">
        <v>2012</v>
      </c>
      <c r="K23" s="656"/>
      <c r="L23" s="35"/>
      <c r="M23" s="658">
        <v>2013</v>
      </c>
      <c r="N23" s="659">
        <v>108.7</v>
      </c>
      <c r="P23" s="658">
        <v>2013</v>
      </c>
      <c r="Q23" s="659">
        <v>108.3</v>
      </c>
    </row>
    <row r="24" spans="4:17" ht="15.75" thickBot="1">
      <c r="G24" s="664">
        <v>2008</v>
      </c>
      <c r="H24" s="665">
        <v>0.22</v>
      </c>
      <c r="L24" s="35"/>
      <c r="M24" s="658">
        <v>2012</v>
      </c>
      <c r="N24" s="656"/>
      <c r="P24" s="658">
        <v>2012</v>
      </c>
      <c r="Q24" s="656"/>
    </row>
    <row r="25" spans="4:17">
      <c r="G25" s="664">
        <v>2009</v>
      </c>
      <c r="H25" s="666">
        <v>0.19</v>
      </c>
      <c r="L25" s="35"/>
    </row>
    <row r="26" spans="4:17">
      <c r="G26" s="664">
        <v>2010</v>
      </c>
      <c r="H26">
        <v>20</v>
      </c>
      <c r="L26" s="35"/>
    </row>
    <row r="27" spans="4:17">
      <c r="L27" s="35"/>
    </row>
    <row r="28" spans="4:17">
      <c r="L28" s="35"/>
    </row>
    <row r="29" spans="4:17" ht="15.75" thickBot="1">
      <c r="D29" s="740" t="s">
        <v>633</v>
      </c>
      <c r="E29" s="740"/>
      <c r="G29" s="740" t="s">
        <v>634</v>
      </c>
      <c r="H29" s="740"/>
      <c r="J29" s="740" t="s">
        <v>635</v>
      </c>
      <c r="K29" s="743"/>
      <c r="L29" s="35"/>
      <c r="M29" s="745" t="s">
        <v>636</v>
      </c>
      <c r="N29" s="740"/>
    </row>
    <row r="30" spans="4:17" ht="26.25" thickBot="1">
      <c r="D30" s="657" t="s">
        <v>631</v>
      </c>
      <c r="E30" s="657" t="s">
        <v>626</v>
      </c>
      <c r="G30" s="657" t="s">
        <v>631</v>
      </c>
      <c r="H30" s="657" t="s">
        <v>626</v>
      </c>
      <c r="J30" s="657" t="s">
        <v>631</v>
      </c>
      <c r="K30" s="657" t="s">
        <v>626</v>
      </c>
      <c r="L30" s="35"/>
      <c r="M30" s="657" t="s">
        <v>631</v>
      </c>
      <c r="N30" s="657" t="s">
        <v>626</v>
      </c>
    </row>
    <row r="31" spans="4:17" ht="15.75" thickBot="1">
      <c r="D31" s="658">
        <v>2020</v>
      </c>
      <c r="E31" s="659">
        <v>116.9</v>
      </c>
      <c r="G31" s="658">
        <v>2020</v>
      </c>
      <c r="H31" s="659">
        <v>123.4</v>
      </c>
      <c r="J31" s="658">
        <v>2020</v>
      </c>
      <c r="K31" s="659">
        <v>113.7</v>
      </c>
      <c r="L31" s="35"/>
      <c r="M31" s="658">
        <v>2020</v>
      </c>
      <c r="N31" s="659">
        <v>47.1</v>
      </c>
    </row>
    <row r="32" spans="4:17" ht="15.75" thickBot="1">
      <c r="D32" s="658">
        <v>2019</v>
      </c>
      <c r="E32" s="659">
        <v>117.8</v>
      </c>
      <c r="G32" s="658">
        <v>2019</v>
      </c>
      <c r="H32" s="659">
        <v>112.9</v>
      </c>
      <c r="J32" s="658">
        <v>2019</v>
      </c>
      <c r="K32" s="659">
        <v>111.4</v>
      </c>
      <c r="L32" s="35"/>
      <c r="M32" s="658">
        <v>2019</v>
      </c>
      <c r="N32" s="659">
        <v>46.5</v>
      </c>
    </row>
    <row r="33" spans="4:14" ht="15.75" thickBot="1">
      <c r="D33" s="658">
        <v>2018</v>
      </c>
      <c r="E33" s="659">
        <v>116</v>
      </c>
      <c r="G33" s="658">
        <v>2018</v>
      </c>
      <c r="H33" s="659">
        <v>106.6</v>
      </c>
      <c r="J33" s="658">
        <v>2018</v>
      </c>
      <c r="K33" s="659">
        <v>110.3</v>
      </c>
      <c r="L33" s="35"/>
      <c r="M33" s="658">
        <v>2018</v>
      </c>
      <c r="N33" s="659">
        <v>46.7</v>
      </c>
    </row>
    <row r="34" spans="4:14" ht="15.75" thickBot="1">
      <c r="D34" s="658">
        <v>2017</v>
      </c>
      <c r="E34" s="659">
        <v>112.9</v>
      </c>
      <c r="G34" s="658">
        <v>2017</v>
      </c>
      <c r="H34" s="659">
        <v>105.2</v>
      </c>
      <c r="J34" s="658">
        <v>2017</v>
      </c>
      <c r="K34" s="659">
        <v>113.4</v>
      </c>
      <c r="L34" s="35"/>
      <c r="M34" s="658">
        <v>2017</v>
      </c>
      <c r="N34" s="659">
        <v>46.7</v>
      </c>
    </row>
    <row r="35" spans="4:14" ht="15.75" thickBot="1">
      <c r="D35" s="658">
        <v>2016</v>
      </c>
      <c r="E35" s="659">
        <v>110.2</v>
      </c>
      <c r="G35" s="658">
        <v>2016</v>
      </c>
      <c r="H35" s="659">
        <v>102.3</v>
      </c>
      <c r="J35" s="658">
        <v>2016</v>
      </c>
      <c r="K35" s="659">
        <v>117.5</v>
      </c>
      <c r="M35" s="658">
        <v>2016</v>
      </c>
      <c r="N35" s="659">
        <v>52.7</v>
      </c>
    </row>
    <row r="36" spans="4:14" ht="15.75" thickBot="1">
      <c r="D36" s="658">
        <v>2015</v>
      </c>
      <c r="E36" s="659">
        <v>109.3</v>
      </c>
      <c r="G36" s="658">
        <v>2015</v>
      </c>
      <c r="H36" s="659">
        <v>100.9</v>
      </c>
      <c r="J36" s="658">
        <v>2015</v>
      </c>
      <c r="K36" s="659">
        <v>120.6</v>
      </c>
      <c r="M36" s="658">
        <v>2015</v>
      </c>
      <c r="N36" s="659">
        <v>70.599999999999994</v>
      </c>
    </row>
    <row r="37" spans="4:14" ht="15.75" thickBot="1">
      <c r="D37" s="658">
        <v>2014</v>
      </c>
      <c r="E37" s="659">
        <v>107.5</v>
      </c>
      <c r="G37" s="658">
        <v>2014</v>
      </c>
      <c r="H37" s="659">
        <v>101</v>
      </c>
      <c r="J37" s="658">
        <v>2014</v>
      </c>
      <c r="K37" s="659">
        <v>118.6</v>
      </c>
      <c r="M37" s="658">
        <v>2014</v>
      </c>
      <c r="N37" s="659">
        <v>67.599999999999994</v>
      </c>
    </row>
    <row r="38" spans="4:14" ht="15.75" thickBot="1">
      <c r="D38" s="658">
        <v>2013</v>
      </c>
      <c r="E38" s="659">
        <v>104.8</v>
      </c>
      <c r="G38" s="658">
        <v>2013</v>
      </c>
      <c r="H38" s="659">
        <v>99.4</v>
      </c>
      <c r="J38" s="658">
        <v>2013</v>
      </c>
      <c r="K38" s="659">
        <v>111.8</v>
      </c>
      <c r="M38" s="658">
        <v>2013</v>
      </c>
      <c r="N38" s="659">
        <v>89.3</v>
      </c>
    </row>
    <row r="39" spans="4:14" ht="15.75" thickBot="1">
      <c r="D39" s="658">
        <v>2012</v>
      </c>
      <c r="E39" s="656"/>
      <c r="G39" s="658">
        <v>2012</v>
      </c>
      <c r="H39" s="656"/>
      <c r="J39" s="658">
        <v>2012</v>
      </c>
      <c r="K39" s="656"/>
      <c r="M39" s="658">
        <v>2012</v>
      </c>
      <c r="N39" s="656"/>
    </row>
    <row r="41" spans="4:14" ht="15.75" thickBot="1">
      <c r="D41" s="740" t="s">
        <v>637</v>
      </c>
      <c r="E41" s="740"/>
    </row>
    <row r="42" spans="4:14" ht="15.75" thickBot="1">
      <c r="D42" s="657" t="s">
        <v>631</v>
      </c>
      <c r="E42" s="657" t="s">
        <v>626</v>
      </c>
      <c r="G42" s="742" t="s">
        <v>638</v>
      </c>
      <c r="H42" s="742"/>
      <c r="J42" s="739" t="s">
        <v>639</v>
      </c>
      <c r="K42" s="739"/>
      <c r="M42" s="741" t="s">
        <v>640</v>
      </c>
      <c r="N42" s="741"/>
    </row>
    <row r="43" spans="4:14" ht="15.75" thickBot="1">
      <c r="D43" s="658">
        <v>2020</v>
      </c>
      <c r="E43" s="659">
        <v>117.3</v>
      </c>
      <c r="G43" s="657" t="s">
        <v>631</v>
      </c>
      <c r="H43" s="657" t="s">
        <v>626</v>
      </c>
      <c r="J43" s="658">
        <v>2020</v>
      </c>
      <c r="K43" s="659">
        <v>113.8</v>
      </c>
      <c r="L43" s="656"/>
      <c r="M43" s="657" t="s">
        <v>625</v>
      </c>
      <c r="N43" s="657" t="s">
        <v>626</v>
      </c>
    </row>
    <row r="44" spans="4:14" ht="15.75" thickBot="1">
      <c r="D44" s="658">
        <v>2019</v>
      </c>
      <c r="E44" s="659">
        <v>112.5</v>
      </c>
      <c r="G44" s="658">
        <v>2020</v>
      </c>
      <c r="H44" s="659">
        <v>84.3</v>
      </c>
      <c r="J44" s="658">
        <v>2019</v>
      </c>
      <c r="K44" s="659">
        <v>112.5</v>
      </c>
      <c r="M44" s="658">
        <v>2020</v>
      </c>
      <c r="N44" s="659">
        <v>127.4</v>
      </c>
    </row>
    <row r="45" spans="4:14" ht="15.75" thickBot="1">
      <c r="D45" s="658">
        <v>2018</v>
      </c>
      <c r="E45" s="659">
        <v>107.1</v>
      </c>
      <c r="G45" s="658">
        <v>2019</v>
      </c>
      <c r="H45" s="659">
        <v>86.3</v>
      </c>
      <c r="J45" s="658">
        <v>2018</v>
      </c>
      <c r="K45" s="659">
        <v>101</v>
      </c>
      <c r="M45" s="658">
        <v>2019</v>
      </c>
      <c r="N45" s="659">
        <v>126</v>
      </c>
    </row>
    <row r="46" spans="4:14" ht="15.75" thickBot="1">
      <c r="D46" s="658">
        <v>2017</v>
      </c>
      <c r="E46" s="659">
        <v>110.4</v>
      </c>
      <c r="G46" s="658">
        <v>2018</v>
      </c>
      <c r="H46" s="659">
        <v>88.1</v>
      </c>
      <c r="J46" s="658">
        <v>2017</v>
      </c>
      <c r="K46" s="659">
        <v>96.5</v>
      </c>
      <c r="M46" s="658">
        <v>2018</v>
      </c>
      <c r="N46" s="659">
        <v>122.9</v>
      </c>
    </row>
    <row r="47" spans="4:14" ht="15.75" thickBot="1">
      <c r="D47" s="658">
        <v>2016</v>
      </c>
      <c r="E47" s="659">
        <v>107.5</v>
      </c>
      <c r="G47" s="658">
        <v>2017</v>
      </c>
      <c r="H47" s="659">
        <v>89.7</v>
      </c>
      <c r="J47" s="658">
        <v>2016</v>
      </c>
      <c r="K47" s="659">
        <v>92.9</v>
      </c>
      <c r="M47" s="658">
        <v>2017</v>
      </c>
      <c r="N47" s="659">
        <v>118.3</v>
      </c>
    </row>
    <row r="48" spans="4:14" ht="15.75" thickBot="1">
      <c r="D48" s="658">
        <v>2015</v>
      </c>
      <c r="E48" s="659">
        <v>108.4</v>
      </c>
      <c r="G48" s="658">
        <v>2016</v>
      </c>
      <c r="H48" s="659">
        <v>94.5</v>
      </c>
      <c r="J48" s="658">
        <v>2015</v>
      </c>
      <c r="K48" s="659">
        <v>97.5</v>
      </c>
      <c r="M48" s="658">
        <v>2016</v>
      </c>
      <c r="N48" s="659">
        <v>115.2</v>
      </c>
    </row>
    <row r="49" spans="4:14" ht="15.75" thickBot="1">
      <c r="D49" s="658">
        <v>2014</v>
      </c>
      <c r="E49" s="659">
        <v>107.5</v>
      </c>
      <c r="G49" s="658">
        <v>2015</v>
      </c>
      <c r="H49" s="659">
        <v>101.8</v>
      </c>
      <c r="J49" s="658">
        <v>2014</v>
      </c>
      <c r="K49" s="659">
        <v>105.1</v>
      </c>
      <c r="M49" s="658">
        <v>2015</v>
      </c>
      <c r="N49" s="659">
        <v>111.7</v>
      </c>
    </row>
    <row r="50" spans="4:14" ht="15.75" thickBot="1">
      <c r="D50" s="658">
        <v>2013</v>
      </c>
      <c r="E50" s="659">
        <v>106.9</v>
      </c>
      <c r="G50" s="658">
        <v>2014</v>
      </c>
      <c r="H50" s="659">
        <v>100.8</v>
      </c>
      <c r="J50" s="658">
        <v>2013</v>
      </c>
      <c r="K50" s="659">
        <v>101.7</v>
      </c>
      <c r="M50" s="658">
        <v>2014</v>
      </c>
      <c r="N50" s="659">
        <v>107.5</v>
      </c>
    </row>
    <row r="51" spans="4:14" ht="15.75" thickBot="1">
      <c r="D51" s="658">
        <v>2012</v>
      </c>
      <c r="E51" s="656"/>
      <c r="G51" s="658">
        <v>2013</v>
      </c>
      <c r="H51" s="659">
        <v>100.6</v>
      </c>
      <c r="J51" s="658">
        <v>2012</v>
      </c>
      <c r="K51" s="656"/>
      <c r="M51" s="658">
        <v>2013</v>
      </c>
      <c r="N51" s="659">
        <v>106.6</v>
      </c>
    </row>
    <row r="52" spans="4:14" ht="15.75" thickBot="1">
      <c r="G52" s="658">
        <v>2012</v>
      </c>
      <c r="H52" s="656"/>
      <c r="M52" s="658">
        <v>2012</v>
      </c>
      <c r="N52" s="656"/>
    </row>
    <row r="55" spans="4:14" ht="15.75" thickBot="1">
      <c r="D55" s="739" t="s">
        <v>641</v>
      </c>
      <c r="E55" s="739"/>
      <c r="J55" s="740" t="s">
        <v>642</v>
      </c>
      <c r="K55" s="740"/>
      <c r="M55" s="740" t="s">
        <v>643</v>
      </c>
      <c r="N55" s="740"/>
    </row>
    <row r="56" spans="4:14" ht="26.25" thickBot="1">
      <c r="D56" s="657" t="s">
        <v>631</v>
      </c>
      <c r="E56" s="657" t="s">
        <v>626</v>
      </c>
      <c r="G56" s="739" t="s">
        <v>644</v>
      </c>
      <c r="H56" s="739"/>
      <c r="J56" s="657" t="s">
        <v>631</v>
      </c>
      <c r="K56" s="657" t="s">
        <v>626</v>
      </c>
      <c r="M56" s="657" t="s">
        <v>631</v>
      </c>
      <c r="N56" s="657" t="s">
        <v>626</v>
      </c>
    </row>
    <row r="57" spans="4:14" ht="15.75" thickBot="1">
      <c r="D57" s="658">
        <v>2020</v>
      </c>
      <c r="E57" s="659">
        <v>124.6</v>
      </c>
      <c r="G57" s="657" t="s">
        <v>631</v>
      </c>
      <c r="H57" s="657" t="s">
        <v>626</v>
      </c>
      <c r="J57" s="658">
        <v>2020</v>
      </c>
      <c r="K57" s="659">
        <v>120.6</v>
      </c>
      <c r="M57" s="658">
        <v>2020</v>
      </c>
      <c r="N57" s="659">
        <v>100.2</v>
      </c>
    </row>
    <row r="58" spans="4:14" ht="15.75" thickBot="1">
      <c r="D58" s="658">
        <v>2019</v>
      </c>
      <c r="E58" s="659">
        <v>126.1</v>
      </c>
      <c r="G58" s="658">
        <v>2020</v>
      </c>
      <c r="H58" s="659">
        <v>108.9</v>
      </c>
      <c r="J58" s="658">
        <v>2019</v>
      </c>
      <c r="K58" s="659">
        <v>119.4</v>
      </c>
      <c r="M58" s="658">
        <v>2019</v>
      </c>
      <c r="N58" s="659">
        <v>97.7</v>
      </c>
    </row>
    <row r="59" spans="4:14" ht="15.75" thickBot="1">
      <c r="D59" s="658">
        <v>2018</v>
      </c>
      <c r="E59" s="659">
        <v>124.3</v>
      </c>
      <c r="G59" s="658">
        <v>2019</v>
      </c>
      <c r="H59" s="659">
        <v>108.6</v>
      </c>
      <c r="J59" s="658">
        <v>2018</v>
      </c>
      <c r="K59" s="659">
        <v>120.4</v>
      </c>
      <c r="M59" s="658">
        <v>2018</v>
      </c>
      <c r="N59" s="659">
        <v>103.6</v>
      </c>
    </row>
    <row r="60" spans="4:14" ht="15.75" thickBot="1">
      <c r="D60" s="658">
        <v>2017</v>
      </c>
      <c r="E60" s="659">
        <v>123.8</v>
      </c>
      <c r="G60" s="658">
        <v>2018</v>
      </c>
      <c r="H60" s="659">
        <v>106.5</v>
      </c>
      <c r="J60" s="658">
        <v>2017</v>
      </c>
      <c r="K60" s="659">
        <v>119.4</v>
      </c>
      <c r="M60" s="658">
        <v>2017</v>
      </c>
      <c r="N60" s="659">
        <v>109.2</v>
      </c>
    </row>
    <row r="61" spans="4:14" ht="15.75" thickBot="1">
      <c r="D61" s="658">
        <v>2016</v>
      </c>
      <c r="E61" s="659">
        <v>117.9</v>
      </c>
      <c r="G61" s="658">
        <v>2017</v>
      </c>
      <c r="H61" s="659">
        <v>103.7</v>
      </c>
      <c r="J61" s="658">
        <v>2016</v>
      </c>
      <c r="K61" s="659">
        <v>115.1</v>
      </c>
      <c r="M61" s="658">
        <v>2016</v>
      </c>
      <c r="N61" s="659">
        <v>113.2</v>
      </c>
    </row>
    <row r="62" spans="4:14" ht="15.75" thickBot="1">
      <c r="D62" s="658">
        <v>2015</v>
      </c>
      <c r="E62" s="659">
        <v>113.6</v>
      </c>
      <c r="G62" s="658">
        <v>2016</v>
      </c>
      <c r="H62" s="659">
        <v>101.7</v>
      </c>
      <c r="J62" s="658">
        <v>2015</v>
      </c>
      <c r="K62" s="659">
        <v>110.3</v>
      </c>
      <c r="M62" s="658">
        <v>2015</v>
      </c>
      <c r="N62" s="659">
        <v>109</v>
      </c>
    </row>
    <row r="63" spans="4:14" ht="15.75" thickBot="1">
      <c r="D63" s="658">
        <v>2014</v>
      </c>
      <c r="E63" s="659">
        <v>113.4</v>
      </c>
      <c r="G63" s="658">
        <v>2015</v>
      </c>
      <c r="H63" s="659">
        <v>101.5</v>
      </c>
      <c r="J63" s="658">
        <v>2014</v>
      </c>
      <c r="K63" s="659">
        <v>114.2</v>
      </c>
      <c r="M63" s="658">
        <v>2014</v>
      </c>
      <c r="N63" s="659">
        <v>110.1</v>
      </c>
    </row>
    <row r="64" spans="4:14" ht="15.75" thickBot="1">
      <c r="D64" s="658">
        <v>2013</v>
      </c>
      <c r="E64" s="659">
        <v>109.8</v>
      </c>
      <c r="G64" s="658">
        <v>2014</v>
      </c>
      <c r="H64" s="659">
        <v>102.4</v>
      </c>
      <c r="J64" s="658">
        <v>2013</v>
      </c>
      <c r="K64" s="659">
        <v>111.7</v>
      </c>
      <c r="M64" s="658">
        <v>2013</v>
      </c>
      <c r="N64" s="659">
        <v>104.9</v>
      </c>
    </row>
    <row r="65" spans="4:14" ht="15.75" thickBot="1">
      <c r="D65" s="658">
        <v>2012</v>
      </c>
      <c r="E65" s="656"/>
      <c r="G65" s="658">
        <v>2013</v>
      </c>
      <c r="H65" s="659">
        <v>104.1</v>
      </c>
      <c r="J65" s="658">
        <v>2012</v>
      </c>
      <c r="K65" s="656"/>
      <c r="M65" s="658">
        <v>2012</v>
      </c>
      <c r="N65" s="656"/>
    </row>
    <row r="66" spans="4:14" ht="15.75" thickBot="1">
      <c r="D66" s="664">
        <v>2008</v>
      </c>
      <c r="E66" s="666">
        <v>0.2</v>
      </c>
      <c r="G66" s="658">
        <v>2012</v>
      </c>
      <c r="H66" s="656"/>
    </row>
    <row r="67" spans="4:14">
      <c r="D67" s="664">
        <v>2009</v>
      </c>
      <c r="E67" s="666">
        <v>0.18</v>
      </c>
    </row>
    <row r="71" spans="4:14" ht="15.75" thickBot="1">
      <c r="D71" s="741" t="s">
        <v>645</v>
      </c>
      <c r="E71" s="741"/>
      <c r="M71" s="741" t="s">
        <v>646</v>
      </c>
      <c r="N71" s="741"/>
    </row>
    <row r="72" spans="4:14" ht="16.5" thickBot="1">
      <c r="D72" s="667" t="s">
        <v>631</v>
      </c>
      <c r="E72" s="667" t="s">
        <v>626</v>
      </c>
      <c r="G72" s="547" t="s">
        <v>80</v>
      </c>
      <c r="H72" s="19">
        <v>39539</v>
      </c>
      <c r="I72" s="737" t="s">
        <v>647</v>
      </c>
      <c r="M72" s="657" t="s">
        <v>631</v>
      </c>
      <c r="N72" s="657" t="s">
        <v>626</v>
      </c>
    </row>
    <row r="73" spans="4:14" ht="16.5" thickBot="1">
      <c r="D73" s="668">
        <v>2020</v>
      </c>
      <c r="E73" s="669">
        <v>112.6</v>
      </c>
      <c r="G73" s="547" t="s">
        <v>82</v>
      </c>
      <c r="H73" s="19">
        <v>39539</v>
      </c>
      <c r="I73" s="737"/>
      <c r="M73" s="658">
        <v>2020</v>
      </c>
      <c r="N73" s="659">
        <v>127.6</v>
      </c>
    </row>
    <row r="74" spans="4:14" ht="16.5" thickBot="1">
      <c r="D74" s="668">
        <v>2019</v>
      </c>
      <c r="E74" s="669">
        <v>112.6</v>
      </c>
      <c r="G74" s="547" t="s">
        <v>76</v>
      </c>
      <c r="H74" s="19">
        <v>39903</v>
      </c>
      <c r="I74" s="737"/>
      <c r="M74" s="658">
        <v>2019</v>
      </c>
      <c r="N74" s="659">
        <v>133.6</v>
      </c>
    </row>
    <row r="75" spans="4:14" ht="16.5" thickBot="1">
      <c r="D75" s="668">
        <v>2018</v>
      </c>
      <c r="E75" s="669">
        <v>112</v>
      </c>
      <c r="G75" s="547" t="s">
        <v>80</v>
      </c>
      <c r="H75" s="19">
        <v>39903</v>
      </c>
      <c r="I75" s="737"/>
      <c r="M75" s="658">
        <v>2018</v>
      </c>
      <c r="N75" s="659">
        <v>136.5</v>
      </c>
    </row>
    <row r="76" spans="4:14" ht="16.5" thickBot="1">
      <c r="D76" s="668">
        <v>2017</v>
      </c>
      <c r="E76" s="669">
        <v>109.6</v>
      </c>
      <c r="G76" s="547" t="s">
        <v>82</v>
      </c>
      <c r="H76" s="19">
        <v>39903</v>
      </c>
      <c r="I76" s="737"/>
      <c r="M76" s="658">
        <v>2017</v>
      </c>
      <c r="N76" s="659">
        <v>134.30000000000001</v>
      </c>
    </row>
    <row r="77" spans="4:14" ht="16.5" thickBot="1">
      <c r="D77" s="668">
        <v>2016</v>
      </c>
      <c r="E77" s="669">
        <v>107.6</v>
      </c>
      <c r="G77" s="547"/>
      <c r="H77" s="19"/>
      <c r="I77" s="737"/>
      <c r="M77" s="658">
        <v>2016</v>
      </c>
      <c r="N77" s="659">
        <v>127.3</v>
      </c>
    </row>
    <row r="78" spans="4:14" ht="16.5" thickBot="1">
      <c r="D78" s="668">
        <v>2015</v>
      </c>
      <c r="E78" s="669">
        <v>107.1</v>
      </c>
      <c r="G78" s="548"/>
      <c r="H78" s="19"/>
      <c r="I78" s="737"/>
      <c r="M78" s="658">
        <v>2015</v>
      </c>
      <c r="N78" s="659">
        <v>118.8</v>
      </c>
    </row>
    <row r="79" spans="4:14" ht="16.5" thickBot="1">
      <c r="D79" s="668">
        <v>2014</v>
      </c>
      <c r="E79" s="669">
        <v>103</v>
      </c>
      <c r="G79" s="548" t="s">
        <v>95</v>
      </c>
      <c r="H79" s="19">
        <v>42363</v>
      </c>
      <c r="I79" s="737"/>
      <c r="M79" s="658">
        <v>2014</v>
      </c>
      <c r="N79" s="659">
        <v>116</v>
      </c>
    </row>
    <row r="80" spans="4:14" ht="16.5" thickBot="1">
      <c r="D80" s="668">
        <v>2013</v>
      </c>
      <c r="E80" s="669">
        <v>100.8</v>
      </c>
      <c r="G80" s="548" t="s">
        <v>96</v>
      </c>
      <c r="H80" s="19">
        <v>42399</v>
      </c>
      <c r="I80" s="737"/>
      <c r="M80" s="658">
        <v>2013</v>
      </c>
      <c r="N80" s="659">
        <v>110.9</v>
      </c>
    </row>
    <row r="81" spans="4:14" ht="16.5" thickBot="1">
      <c r="D81" s="668">
        <v>2012</v>
      </c>
      <c r="E81" s="656"/>
      <c r="G81" s="548"/>
      <c r="H81" s="19"/>
      <c r="I81" s="737"/>
      <c r="M81" s="658">
        <v>2012</v>
      </c>
      <c r="N81" s="656"/>
    </row>
    <row r="82" spans="4:14">
      <c r="G82" s="549" t="s">
        <v>99</v>
      </c>
      <c r="H82" s="19">
        <v>42471</v>
      </c>
      <c r="I82" s="737"/>
    </row>
    <row r="83" spans="4:14">
      <c r="G83" s="549" t="s">
        <v>107</v>
      </c>
      <c r="H83" s="19">
        <v>42578</v>
      </c>
      <c r="I83" s="737"/>
    </row>
    <row r="84" spans="4:14">
      <c r="G84" s="550" t="s">
        <v>111</v>
      </c>
      <c r="H84" s="19">
        <v>42870</v>
      </c>
      <c r="I84" s="737"/>
    </row>
    <row r="85" spans="4:14">
      <c r="G85" s="550" t="s">
        <v>116</v>
      </c>
      <c r="H85" s="19">
        <v>43285</v>
      </c>
      <c r="I85" s="737"/>
    </row>
    <row r="86" spans="4:14">
      <c r="G86" s="550" t="s">
        <v>117</v>
      </c>
      <c r="H86" s="19">
        <v>43287</v>
      </c>
      <c r="I86" s="737"/>
    </row>
    <row r="87" spans="4:14">
      <c r="G87" s="550" t="s">
        <v>120</v>
      </c>
      <c r="H87" s="19">
        <v>43294</v>
      </c>
      <c r="I87" s="737"/>
    </row>
    <row r="88" spans="4:14">
      <c r="G88" s="550" t="s">
        <v>121</v>
      </c>
      <c r="H88" s="19">
        <v>43308</v>
      </c>
      <c r="I88" s="737"/>
    </row>
    <row r="89" spans="4:14">
      <c r="G89" s="550" t="s">
        <v>122</v>
      </c>
      <c r="H89" s="19">
        <v>43308</v>
      </c>
      <c r="I89" s="737"/>
    </row>
    <row r="90" spans="4:14">
      <c r="G90" s="550" t="s">
        <v>123</v>
      </c>
      <c r="H90" s="19">
        <v>43308</v>
      </c>
      <c r="I90" s="737"/>
    </row>
    <row r="91" spans="4:14">
      <c r="G91" s="550" t="s">
        <v>124</v>
      </c>
      <c r="H91" s="19">
        <v>43406</v>
      </c>
      <c r="I91" s="737"/>
    </row>
    <row r="92" spans="4:14">
      <c r="G92" s="562" t="s">
        <v>127</v>
      </c>
      <c r="H92" s="19">
        <v>43561</v>
      </c>
      <c r="I92" s="737"/>
    </row>
    <row r="94" spans="4:14" ht="15.75" thickBot="1">
      <c r="G94" s="738" t="s">
        <v>648</v>
      </c>
      <c r="H94" s="738"/>
    </row>
    <row r="95" spans="4:14" ht="15.75" thickBot="1">
      <c r="G95" s="657" t="s">
        <v>631</v>
      </c>
      <c r="H95" s="657" t="s">
        <v>626</v>
      </c>
    </row>
    <row r="96" spans="4:14" ht="15.75" thickBot="1">
      <c r="G96" s="658">
        <v>2020</v>
      </c>
      <c r="H96" s="659">
        <v>128.30000000000001</v>
      </c>
    </row>
    <row r="97" spans="7:8" ht="15.75" thickBot="1">
      <c r="G97" s="658">
        <v>2019</v>
      </c>
      <c r="H97" s="659">
        <v>131</v>
      </c>
    </row>
    <row r="98" spans="7:8" ht="15.75" thickBot="1">
      <c r="G98" s="658">
        <v>2018</v>
      </c>
      <c r="H98" s="659">
        <v>129.6</v>
      </c>
    </row>
    <row r="99" spans="7:8" ht="15.75" thickBot="1">
      <c r="G99" s="658">
        <v>2017</v>
      </c>
      <c r="H99" s="659">
        <v>126.6</v>
      </c>
    </row>
    <row r="100" spans="7:8" ht="15.75" thickBot="1">
      <c r="G100" s="658">
        <v>2016</v>
      </c>
      <c r="H100" s="659">
        <v>124.4</v>
      </c>
    </row>
    <row r="101" spans="7:8" ht="15.75" thickBot="1">
      <c r="G101" s="658">
        <v>2015</v>
      </c>
      <c r="H101" s="659">
        <v>129</v>
      </c>
    </row>
    <row r="102" spans="7:8" ht="15.75" thickBot="1">
      <c r="G102" s="658">
        <v>2014</v>
      </c>
      <c r="H102" s="659">
        <v>128.6</v>
      </c>
    </row>
    <row r="103" spans="7:8" ht="15.75" thickBot="1">
      <c r="G103" s="658">
        <v>2013</v>
      </c>
      <c r="H103" s="659">
        <v>117.9</v>
      </c>
    </row>
    <row r="104" spans="7:8" ht="15.75" thickBot="1">
      <c r="G104" s="658">
        <v>2012</v>
      </c>
      <c r="H104" s="656"/>
    </row>
  </sheetData>
  <mergeCells count="21">
    <mergeCell ref="P14:Q14"/>
    <mergeCell ref="G42:H42"/>
    <mergeCell ref="J42:K42"/>
    <mergeCell ref="M42:N42"/>
    <mergeCell ref="D13:E13"/>
    <mergeCell ref="G13:H13"/>
    <mergeCell ref="J13:K13"/>
    <mergeCell ref="M13:N13"/>
    <mergeCell ref="D29:E29"/>
    <mergeCell ref="G29:H29"/>
    <mergeCell ref="J29:K29"/>
    <mergeCell ref="M29:N29"/>
    <mergeCell ref="D41:E41"/>
    <mergeCell ref="I72:I92"/>
    <mergeCell ref="G94:H94"/>
    <mergeCell ref="D55:E55"/>
    <mergeCell ref="J55:K55"/>
    <mergeCell ref="M55:N55"/>
    <mergeCell ref="G56:H56"/>
    <mergeCell ref="D71:E71"/>
    <mergeCell ref="M71:N7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73" workbookViewId="0">
      <selection activeCell="A23" sqref="A23"/>
    </sheetView>
  </sheetViews>
  <sheetFormatPr defaultRowHeight="15"/>
  <cols>
    <col min="1" max="1" width="46.28515625" bestFit="1" customWidth="1"/>
    <col min="2" max="2" width="12.7109375" bestFit="1" customWidth="1"/>
    <col min="3" max="3" width="10.140625" bestFit="1" customWidth="1"/>
    <col min="4" max="4" width="7" bestFit="1" customWidth="1"/>
    <col min="5" max="5" width="6.85546875" bestFit="1" customWidth="1"/>
    <col min="6" max="6" width="10.140625" bestFit="1" customWidth="1"/>
    <col min="9" max="9" width="9.5703125" bestFit="1" customWidth="1"/>
    <col min="10" max="10" width="12.5703125" bestFit="1" customWidth="1"/>
    <col min="11" max="11" width="15" hidden="1" customWidth="1"/>
    <col min="12" max="12" width="12.28515625" hidden="1" customWidth="1"/>
    <col min="13" max="13" width="11.28515625" hidden="1" customWidth="1"/>
    <col min="14" max="15" width="0" hidden="1" customWidth="1"/>
  </cols>
  <sheetData>
    <row r="1" spans="1:14" ht="39">
      <c r="A1" s="231" t="s">
        <v>284</v>
      </c>
      <c r="B1" s="232" t="s">
        <v>285</v>
      </c>
      <c r="C1" s="231" t="s">
        <v>286</v>
      </c>
      <c r="D1" s="231" t="s">
        <v>287</v>
      </c>
      <c r="E1" s="231" t="s">
        <v>288</v>
      </c>
      <c r="F1" s="231" t="s">
        <v>289</v>
      </c>
      <c r="G1" s="231" t="s">
        <v>290</v>
      </c>
      <c r="H1" s="231" t="s">
        <v>291</v>
      </c>
      <c r="I1" s="233" t="s">
        <v>292</v>
      </c>
      <c r="J1" s="234" t="s">
        <v>293</v>
      </c>
      <c r="K1" s="235" t="s">
        <v>294</v>
      </c>
      <c r="L1" s="235" t="s">
        <v>295</v>
      </c>
    </row>
    <row r="2" spans="1:14">
      <c r="A2" s="236" t="s">
        <v>296</v>
      </c>
      <c r="B2" s="237"/>
      <c r="C2" s="238"/>
      <c r="D2" s="238"/>
      <c r="E2" s="238"/>
      <c r="F2" s="239">
        <v>44286</v>
      </c>
      <c r="G2" s="238"/>
      <c r="H2" s="238"/>
      <c r="I2" s="237"/>
      <c r="J2" s="240"/>
    </row>
    <row r="3" spans="1:14" ht="16.5">
      <c r="A3" s="200" t="s">
        <v>15</v>
      </c>
      <c r="B3" s="241"/>
      <c r="C3" s="194"/>
      <c r="D3" s="194"/>
      <c r="E3" s="194"/>
      <c r="F3" s="194"/>
      <c r="G3" s="194"/>
      <c r="H3" s="194"/>
      <c r="I3" s="242"/>
      <c r="J3" s="243"/>
    </row>
    <row r="4" spans="1:14">
      <c r="A4" s="244" t="s">
        <v>297</v>
      </c>
      <c r="B4" s="245">
        <v>1057000</v>
      </c>
      <c r="C4" s="246">
        <v>44067</v>
      </c>
      <c r="D4" s="247">
        <f>B4*5%</f>
        <v>52850</v>
      </c>
      <c r="E4" s="248">
        <v>20</v>
      </c>
      <c r="F4" s="248">
        <f>$F$2-C4+1</f>
        <v>220</v>
      </c>
      <c r="G4" s="248">
        <f>F4/365</f>
        <v>0.60273972602739723</v>
      </c>
      <c r="H4" s="248">
        <f>(E4-G4)*365</f>
        <v>7080</v>
      </c>
      <c r="I4" s="249">
        <f>((B4-D4)/(E4))*F4/365</f>
        <v>30262.054794520547</v>
      </c>
      <c r="J4" s="247">
        <f>B4-I4</f>
        <v>1026737.9452054794</v>
      </c>
      <c r="K4" s="250">
        <f>+[1]Sheet1!$I$202</f>
        <v>-30262.05</v>
      </c>
      <c r="L4" s="250">
        <f>-ROUND(K4+I4,0)</f>
        <v>0</v>
      </c>
    </row>
    <row r="5" spans="1:14">
      <c r="A5" s="244" t="s">
        <v>298</v>
      </c>
      <c r="B5" s="245">
        <v>400000</v>
      </c>
      <c r="C5" s="246">
        <v>44250</v>
      </c>
      <c r="D5" s="247">
        <f>B5*5%</f>
        <v>20000</v>
      </c>
      <c r="E5" s="248">
        <v>20</v>
      </c>
      <c r="F5" s="248">
        <f>$F$2-C5+1</f>
        <v>37</v>
      </c>
      <c r="G5" s="248">
        <f>F5/365</f>
        <v>0.10136986301369863</v>
      </c>
      <c r="H5" s="248">
        <f>(E5-G5)*365</f>
        <v>7263</v>
      </c>
      <c r="I5" s="249">
        <f>((B5-D5)/(E5))*F5/365</f>
        <v>1926.027397260274</v>
      </c>
      <c r="J5" s="247">
        <f>B5-I5</f>
        <v>398073.9726027397</v>
      </c>
      <c r="K5" s="250">
        <f>+[1]Sheet1!$I$203</f>
        <v>-1926.03</v>
      </c>
      <c r="L5" s="250">
        <f>-ROUND(K5+I5,0)</f>
        <v>0</v>
      </c>
      <c r="N5">
        <f>400000*95%</f>
        <v>380000</v>
      </c>
    </row>
    <row r="6" spans="1:14">
      <c r="A6" s="209"/>
      <c r="B6" s="251">
        <f>+SUM(B4:B5)</f>
        <v>1457000</v>
      </c>
      <c r="C6" s="252"/>
      <c r="D6" s="194"/>
      <c r="E6" s="194"/>
      <c r="F6" s="194"/>
      <c r="G6" s="194"/>
      <c r="H6" s="194"/>
      <c r="I6" s="251">
        <f t="shared" ref="I6:J6" si="0">+SUM(I4:I5)</f>
        <v>32188.082191780821</v>
      </c>
      <c r="J6" s="251">
        <f t="shared" si="0"/>
        <v>1424811.9178082191</v>
      </c>
      <c r="M6" s="253">
        <f>-SUM(K4:K5)</f>
        <v>32188.079999999998</v>
      </c>
    </row>
    <row r="7" spans="1:14">
      <c r="A7" s="254" t="s">
        <v>299</v>
      </c>
      <c r="B7" s="255"/>
      <c r="C7" s="252"/>
      <c r="D7" s="256"/>
      <c r="E7" s="257"/>
      <c r="F7" s="194"/>
      <c r="G7" s="194"/>
      <c r="H7" s="194"/>
      <c r="I7" s="255"/>
      <c r="J7" s="258"/>
    </row>
    <row r="8" spans="1:14">
      <c r="A8" s="244" t="s">
        <v>300</v>
      </c>
      <c r="B8" s="245">
        <v>25390.62</v>
      </c>
      <c r="C8" s="246">
        <v>44044</v>
      </c>
      <c r="D8" s="256">
        <f>B8*5%</f>
        <v>1269.5309999999999</v>
      </c>
      <c r="E8" s="257">
        <v>5</v>
      </c>
      <c r="F8" s="194">
        <f>$F$2-C8+1</f>
        <v>243</v>
      </c>
      <c r="G8" s="194">
        <f>F8/365</f>
        <v>0.66575342465753429</v>
      </c>
      <c r="H8" s="194">
        <f>(E8-G8)*365</f>
        <v>1582</v>
      </c>
      <c r="I8" s="255">
        <f>((B8-D8)/(E8))*F8/365</f>
        <v>3211.7395216438358</v>
      </c>
      <c r="J8" s="258">
        <f t="shared" ref="J8:J23" si="1">B8-I8</f>
        <v>22178.880478356165</v>
      </c>
      <c r="K8" s="245">
        <v>-3211.74</v>
      </c>
      <c r="L8" s="250">
        <f t="shared" ref="L8:L23" si="2">-ROUND(K8+I8,0)</f>
        <v>0</v>
      </c>
    </row>
    <row r="9" spans="1:14">
      <c r="A9" s="244" t="s">
        <v>301</v>
      </c>
      <c r="B9" s="245">
        <v>45200</v>
      </c>
      <c r="C9" s="246">
        <v>44056</v>
      </c>
      <c r="D9" s="256">
        <f>B9*5%</f>
        <v>2260</v>
      </c>
      <c r="E9" s="257">
        <v>5</v>
      </c>
      <c r="F9" s="194">
        <f t="shared" ref="F9:F23" si="3">$F$2-C9+1</f>
        <v>231</v>
      </c>
      <c r="G9" s="194">
        <f t="shared" ref="G9:G23" si="4">F9/365</f>
        <v>0.63287671232876708</v>
      </c>
      <c r="H9" s="194">
        <f t="shared" ref="H9:H23" si="5">(E9-G9)*365</f>
        <v>1594</v>
      </c>
      <c r="I9" s="255">
        <f t="shared" ref="I9:I23" si="6">((B9-D9)/(E9))*F9/365</f>
        <v>5435.1452054794518</v>
      </c>
      <c r="J9" s="258">
        <f t="shared" si="1"/>
        <v>39764.85479452055</v>
      </c>
      <c r="K9" s="245">
        <v>-5435.15</v>
      </c>
      <c r="L9" s="250">
        <f t="shared" si="2"/>
        <v>0</v>
      </c>
    </row>
    <row r="10" spans="1:14">
      <c r="A10" s="244" t="s">
        <v>302</v>
      </c>
      <c r="B10" s="245">
        <v>26554.69</v>
      </c>
      <c r="C10" s="246">
        <v>44089</v>
      </c>
      <c r="D10" s="256">
        <f t="shared" ref="D10:D23" si="7">B10*5%</f>
        <v>1327.7345</v>
      </c>
      <c r="E10" s="257">
        <v>5</v>
      </c>
      <c r="F10" s="194">
        <f t="shared" si="3"/>
        <v>198</v>
      </c>
      <c r="G10" s="194">
        <f t="shared" si="4"/>
        <v>0.54246575342465753</v>
      </c>
      <c r="H10" s="194">
        <f t="shared" si="5"/>
        <v>1627</v>
      </c>
      <c r="I10" s="255">
        <f t="shared" si="6"/>
        <v>2736.9518843835617</v>
      </c>
      <c r="J10" s="258">
        <f t="shared" si="1"/>
        <v>23817.738115616437</v>
      </c>
      <c r="K10" s="245">
        <v>-2736.95</v>
      </c>
      <c r="L10" s="250">
        <f t="shared" si="2"/>
        <v>0</v>
      </c>
    </row>
    <row r="11" spans="1:14">
      <c r="A11" s="244" t="s">
        <v>303</v>
      </c>
      <c r="B11" s="245">
        <v>103720.34</v>
      </c>
      <c r="C11" s="246">
        <v>44097</v>
      </c>
      <c r="D11" s="256">
        <f t="shared" si="7"/>
        <v>5186.0169999999998</v>
      </c>
      <c r="E11" s="257">
        <v>5</v>
      </c>
      <c r="F11" s="194">
        <f t="shared" si="3"/>
        <v>190</v>
      </c>
      <c r="G11" s="194">
        <f t="shared" si="4"/>
        <v>0.52054794520547942</v>
      </c>
      <c r="H11" s="194">
        <f t="shared" si="5"/>
        <v>1635</v>
      </c>
      <c r="I11" s="255">
        <f t="shared" si="6"/>
        <v>10258.367873972604</v>
      </c>
      <c r="J11" s="258">
        <f t="shared" si="1"/>
        <v>93461.972126027395</v>
      </c>
      <c r="K11" s="245">
        <v>-10258.370000000001</v>
      </c>
      <c r="L11" s="250">
        <f t="shared" si="2"/>
        <v>0</v>
      </c>
    </row>
    <row r="12" spans="1:14">
      <c r="A12" s="244" t="s">
        <v>304</v>
      </c>
      <c r="B12" s="245">
        <v>63906.78</v>
      </c>
      <c r="C12" s="246">
        <v>44097</v>
      </c>
      <c r="D12" s="256">
        <f t="shared" si="7"/>
        <v>3195.3389999999999</v>
      </c>
      <c r="E12" s="257">
        <v>5</v>
      </c>
      <c r="F12" s="194">
        <f t="shared" si="3"/>
        <v>190</v>
      </c>
      <c r="G12" s="194">
        <f t="shared" si="4"/>
        <v>0.52054794520547942</v>
      </c>
      <c r="H12" s="194">
        <f t="shared" si="5"/>
        <v>1635</v>
      </c>
      <c r="I12" s="255">
        <f t="shared" si="6"/>
        <v>6320.6431726027395</v>
      </c>
      <c r="J12" s="258">
        <f t="shared" si="1"/>
        <v>57586.136827397262</v>
      </c>
      <c r="K12" s="245">
        <v>-6320.64</v>
      </c>
      <c r="L12" s="250">
        <f t="shared" si="2"/>
        <v>0</v>
      </c>
    </row>
    <row r="13" spans="1:14">
      <c r="A13" s="244" t="s">
        <v>305</v>
      </c>
      <c r="B13" s="245">
        <v>24900</v>
      </c>
      <c r="C13" s="246">
        <v>44114</v>
      </c>
      <c r="D13" s="256">
        <f t="shared" si="7"/>
        <v>1245</v>
      </c>
      <c r="E13" s="257">
        <v>5</v>
      </c>
      <c r="F13" s="194">
        <f t="shared" si="3"/>
        <v>173</v>
      </c>
      <c r="G13" s="194">
        <f t="shared" si="4"/>
        <v>0.47397260273972602</v>
      </c>
      <c r="H13" s="194">
        <f t="shared" si="5"/>
        <v>1651.9999999999998</v>
      </c>
      <c r="I13" s="255">
        <f t="shared" si="6"/>
        <v>2242.364383561644</v>
      </c>
      <c r="J13" s="258">
        <f t="shared" si="1"/>
        <v>22657.635616438354</v>
      </c>
      <c r="K13" s="245">
        <v>-2242.36</v>
      </c>
      <c r="L13" s="250">
        <f t="shared" si="2"/>
        <v>0</v>
      </c>
    </row>
    <row r="14" spans="1:14">
      <c r="A14" s="244" t="s">
        <v>306</v>
      </c>
      <c r="B14" s="245">
        <v>20800.330000000002</v>
      </c>
      <c r="C14" s="246">
        <v>44163</v>
      </c>
      <c r="D14" s="256">
        <f t="shared" si="7"/>
        <v>1040.0165000000002</v>
      </c>
      <c r="E14" s="257">
        <v>5</v>
      </c>
      <c r="F14" s="194">
        <f t="shared" si="3"/>
        <v>124</v>
      </c>
      <c r="G14" s="194">
        <f t="shared" si="4"/>
        <v>0.33972602739726027</v>
      </c>
      <c r="H14" s="194">
        <f t="shared" si="5"/>
        <v>1701</v>
      </c>
      <c r="I14" s="255">
        <f t="shared" si="6"/>
        <v>1342.6185610958905</v>
      </c>
      <c r="J14" s="258">
        <f t="shared" si="1"/>
        <v>19457.711438904113</v>
      </c>
      <c r="K14" s="245">
        <v>-1342.62</v>
      </c>
      <c r="L14" s="250">
        <f t="shared" si="2"/>
        <v>0</v>
      </c>
    </row>
    <row r="15" spans="1:14">
      <c r="A15" s="244" t="s">
        <v>307</v>
      </c>
      <c r="B15" s="245">
        <v>21000</v>
      </c>
      <c r="C15" s="246">
        <v>44192</v>
      </c>
      <c r="D15" s="256">
        <f t="shared" si="7"/>
        <v>1050</v>
      </c>
      <c r="E15" s="257">
        <v>5</v>
      </c>
      <c r="F15" s="194">
        <f t="shared" si="3"/>
        <v>95</v>
      </c>
      <c r="G15" s="194">
        <f t="shared" si="4"/>
        <v>0.26027397260273971</v>
      </c>
      <c r="H15" s="194">
        <f t="shared" si="5"/>
        <v>1730</v>
      </c>
      <c r="I15" s="255">
        <f t="shared" si="6"/>
        <v>1038.4931506849316</v>
      </c>
      <c r="J15" s="258">
        <f t="shared" si="1"/>
        <v>19961.506849315068</v>
      </c>
      <c r="K15" s="245">
        <v>-1038.49</v>
      </c>
      <c r="L15" s="250">
        <f t="shared" si="2"/>
        <v>0</v>
      </c>
    </row>
    <row r="16" spans="1:14">
      <c r="A16" s="244" t="s">
        <v>308</v>
      </c>
      <c r="B16" s="245">
        <v>8898.2999999999993</v>
      </c>
      <c r="C16" s="246">
        <v>44194</v>
      </c>
      <c r="D16" s="256">
        <f t="shared" si="7"/>
        <v>444.91499999999996</v>
      </c>
      <c r="E16" s="257">
        <v>5</v>
      </c>
      <c r="F16" s="194">
        <f t="shared" si="3"/>
        <v>93</v>
      </c>
      <c r="G16" s="194">
        <f t="shared" si="4"/>
        <v>0.25479452054794521</v>
      </c>
      <c r="H16" s="194">
        <f t="shared" si="5"/>
        <v>1731.9999999999998</v>
      </c>
      <c r="I16" s="255">
        <f t="shared" si="6"/>
        <v>430.77523561643829</v>
      </c>
      <c r="J16" s="258">
        <f t="shared" si="1"/>
        <v>8467.524764383561</v>
      </c>
      <c r="K16" s="245">
        <v>-430.77</v>
      </c>
      <c r="L16" s="250">
        <f t="shared" si="2"/>
        <v>0</v>
      </c>
    </row>
    <row r="17" spans="1:13">
      <c r="A17" s="244" t="s">
        <v>309</v>
      </c>
      <c r="B17" s="245">
        <v>35500</v>
      </c>
      <c r="C17" s="246">
        <v>44249</v>
      </c>
      <c r="D17" s="256">
        <f t="shared" si="7"/>
        <v>1775</v>
      </c>
      <c r="E17" s="257">
        <v>5</v>
      </c>
      <c r="F17" s="194">
        <f t="shared" si="3"/>
        <v>38</v>
      </c>
      <c r="G17" s="194">
        <f t="shared" si="4"/>
        <v>0.10410958904109589</v>
      </c>
      <c r="H17" s="194">
        <f t="shared" si="5"/>
        <v>1787</v>
      </c>
      <c r="I17" s="255">
        <f t="shared" si="6"/>
        <v>702.21917808219177</v>
      </c>
      <c r="J17" s="258">
        <f t="shared" si="1"/>
        <v>34797.780821917811</v>
      </c>
      <c r="K17" s="245">
        <v>-702.22</v>
      </c>
      <c r="L17" s="250">
        <f t="shared" si="2"/>
        <v>0</v>
      </c>
    </row>
    <row r="18" spans="1:13">
      <c r="A18" s="244" t="s">
        <v>310</v>
      </c>
      <c r="B18" s="245">
        <v>10875</v>
      </c>
      <c r="C18" s="246">
        <v>44257</v>
      </c>
      <c r="D18" s="256">
        <f t="shared" si="7"/>
        <v>543.75</v>
      </c>
      <c r="E18" s="257">
        <v>5</v>
      </c>
      <c r="F18" s="194">
        <f t="shared" si="3"/>
        <v>30</v>
      </c>
      <c r="G18" s="194">
        <f t="shared" si="4"/>
        <v>8.2191780821917804E-2</v>
      </c>
      <c r="H18" s="194">
        <f t="shared" si="5"/>
        <v>1794.9999999999998</v>
      </c>
      <c r="I18" s="255">
        <f t="shared" si="6"/>
        <v>169.82876712328766</v>
      </c>
      <c r="J18" s="258">
        <f t="shared" si="1"/>
        <v>10705.171232876712</v>
      </c>
      <c r="K18" s="245">
        <v>-169.83</v>
      </c>
      <c r="L18" s="250">
        <f t="shared" si="2"/>
        <v>0</v>
      </c>
    </row>
    <row r="19" spans="1:13">
      <c r="A19" s="244" t="s">
        <v>311</v>
      </c>
      <c r="B19" s="245">
        <v>10875</v>
      </c>
      <c r="C19" s="246">
        <v>44257</v>
      </c>
      <c r="D19" s="256">
        <f t="shared" si="7"/>
        <v>543.75</v>
      </c>
      <c r="E19" s="257">
        <v>5</v>
      </c>
      <c r="F19" s="194">
        <f t="shared" si="3"/>
        <v>30</v>
      </c>
      <c r="G19" s="194">
        <f t="shared" si="4"/>
        <v>8.2191780821917804E-2</v>
      </c>
      <c r="H19" s="194">
        <f t="shared" si="5"/>
        <v>1794.9999999999998</v>
      </c>
      <c r="I19" s="255">
        <f t="shared" si="6"/>
        <v>169.82876712328766</v>
      </c>
      <c r="J19" s="258">
        <f t="shared" si="1"/>
        <v>10705.171232876712</v>
      </c>
      <c r="K19" s="245">
        <v>-169.83</v>
      </c>
      <c r="L19" s="250">
        <f t="shared" si="2"/>
        <v>0</v>
      </c>
    </row>
    <row r="20" spans="1:13">
      <c r="A20" s="244" t="s">
        <v>312</v>
      </c>
      <c r="B20" s="245">
        <v>10875</v>
      </c>
      <c r="C20" s="246">
        <v>44257</v>
      </c>
      <c r="D20" s="259">
        <f t="shared" si="7"/>
        <v>543.75</v>
      </c>
      <c r="E20" s="260">
        <v>5</v>
      </c>
      <c r="F20" s="139">
        <f t="shared" si="3"/>
        <v>30</v>
      </c>
      <c r="G20" s="194">
        <f t="shared" si="4"/>
        <v>8.2191780821917804E-2</v>
      </c>
      <c r="H20" s="194">
        <f t="shared" si="5"/>
        <v>1794.9999999999998</v>
      </c>
      <c r="I20" s="255">
        <f t="shared" si="6"/>
        <v>169.82876712328766</v>
      </c>
      <c r="J20" s="258">
        <f t="shared" si="1"/>
        <v>10705.171232876712</v>
      </c>
      <c r="K20" s="245">
        <v>-169.83</v>
      </c>
      <c r="L20" s="250">
        <f t="shared" si="2"/>
        <v>0</v>
      </c>
    </row>
    <row r="21" spans="1:13">
      <c r="A21" s="244" t="s">
        <v>313</v>
      </c>
      <c r="B21" s="245">
        <v>7990</v>
      </c>
      <c r="C21" s="246">
        <v>44261</v>
      </c>
      <c r="D21" s="259">
        <f t="shared" si="7"/>
        <v>399.5</v>
      </c>
      <c r="E21" s="260">
        <v>5</v>
      </c>
      <c r="F21" s="139">
        <f t="shared" si="3"/>
        <v>26</v>
      </c>
      <c r="G21" s="194">
        <f t="shared" si="4"/>
        <v>7.1232876712328766E-2</v>
      </c>
      <c r="H21" s="194">
        <f t="shared" si="5"/>
        <v>1799</v>
      </c>
      <c r="I21" s="255">
        <f t="shared" si="6"/>
        <v>108.13863013698629</v>
      </c>
      <c r="J21" s="258">
        <f t="shared" si="1"/>
        <v>7881.8613698630134</v>
      </c>
      <c r="K21" s="245">
        <v>-108.14</v>
      </c>
      <c r="L21" s="250">
        <f t="shared" si="2"/>
        <v>0</v>
      </c>
    </row>
    <row r="22" spans="1:13">
      <c r="A22" s="244" t="s">
        <v>314</v>
      </c>
      <c r="B22" s="245">
        <v>18515.63</v>
      </c>
      <c r="C22" s="246">
        <v>44266</v>
      </c>
      <c r="D22" s="259">
        <f t="shared" si="7"/>
        <v>925.78150000000005</v>
      </c>
      <c r="E22" s="260">
        <v>5</v>
      </c>
      <c r="F22" s="139">
        <f t="shared" si="3"/>
        <v>21</v>
      </c>
      <c r="G22" s="194">
        <f t="shared" si="4"/>
        <v>5.7534246575342465E-2</v>
      </c>
      <c r="H22" s="194">
        <f t="shared" si="5"/>
        <v>1803.9999999999998</v>
      </c>
      <c r="I22" s="255">
        <f t="shared" si="6"/>
        <v>202.40373616438356</v>
      </c>
      <c r="J22" s="258">
        <f t="shared" si="1"/>
        <v>18313.226263835619</v>
      </c>
      <c r="K22" s="245">
        <v>-202.4</v>
      </c>
      <c r="L22" s="250">
        <f t="shared" si="2"/>
        <v>0</v>
      </c>
    </row>
    <row r="23" spans="1:13">
      <c r="A23" s="244" t="s">
        <v>315</v>
      </c>
      <c r="B23" s="245">
        <v>20338.98</v>
      </c>
      <c r="C23" s="246">
        <v>44272</v>
      </c>
      <c r="D23" s="259">
        <f t="shared" si="7"/>
        <v>1016.9490000000001</v>
      </c>
      <c r="E23" s="260">
        <v>5</v>
      </c>
      <c r="F23" s="139">
        <f t="shared" si="3"/>
        <v>15</v>
      </c>
      <c r="G23" s="194">
        <f t="shared" si="4"/>
        <v>4.1095890410958902E-2</v>
      </c>
      <c r="H23" s="194">
        <f t="shared" si="5"/>
        <v>1810</v>
      </c>
      <c r="I23" s="255">
        <f t="shared" si="6"/>
        <v>158.81121369863013</v>
      </c>
      <c r="J23" s="258">
        <f t="shared" si="1"/>
        <v>20180.168786301369</v>
      </c>
      <c r="K23" s="245">
        <v>-158.81</v>
      </c>
      <c r="L23" s="250">
        <f t="shared" si="2"/>
        <v>0</v>
      </c>
    </row>
    <row r="24" spans="1:13">
      <c r="A24" s="194"/>
      <c r="B24" s="251">
        <f>SUM(B8:B23)</f>
        <v>455340.67</v>
      </c>
      <c r="C24" s="252"/>
      <c r="D24" s="256"/>
      <c r="E24" s="257"/>
      <c r="F24" s="194"/>
      <c r="G24" s="194"/>
      <c r="H24" s="194"/>
      <c r="I24" s="261">
        <f>SUM(I8:I23)</f>
        <v>34698.158048493155</v>
      </c>
      <c r="J24" s="261">
        <f>SUM(J8:J23)</f>
        <v>420642.51195150689</v>
      </c>
      <c r="M24" s="262">
        <f>-SUM(K8:K23)</f>
        <v>34698.15</v>
      </c>
    </row>
    <row r="25" spans="1:13">
      <c r="A25" s="254" t="s">
        <v>221</v>
      </c>
      <c r="B25" s="255"/>
      <c r="C25" s="252"/>
      <c r="D25" s="256"/>
      <c r="E25" s="257"/>
      <c r="F25" s="194"/>
      <c r="G25" s="194"/>
      <c r="H25" s="194"/>
      <c r="I25" s="255"/>
      <c r="J25" s="258"/>
    </row>
    <row r="26" spans="1:13">
      <c r="A26" s="244" t="s">
        <v>316</v>
      </c>
      <c r="B26" s="245">
        <v>80000</v>
      </c>
      <c r="C26" s="246">
        <v>43987</v>
      </c>
      <c r="D26" s="259">
        <f t="shared" ref="D26:D27" si="8">B26*5%</f>
        <v>4000</v>
      </c>
      <c r="E26" s="260">
        <v>10</v>
      </c>
      <c r="F26" s="139">
        <f t="shared" ref="F26:F27" si="9">$F$2-C26+1</f>
        <v>300</v>
      </c>
      <c r="G26" s="139">
        <f>F26/365</f>
        <v>0.82191780821917804</v>
      </c>
      <c r="H26" s="139">
        <f>(E26-G26)*365</f>
        <v>3350</v>
      </c>
      <c r="I26" s="255">
        <f>((B26-D26)/(E26))*F26/365</f>
        <v>6246.5753424657532</v>
      </c>
      <c r="J26" s="258">
        <f t="shared" ref="J26:J27" si="10">B26-I26</f>
        <v>73753.42465753424</v>
      </c>
      <c r="K26" s="263">
        <f>+[1]Sheet1!$I$274</f>
        <v>-6246.58</v>
      </c>
      <c r="L26" s="250">
        <f t="shared" ref="L26:L27" si="11">-ROUND(K26+I26,0)</f>
        <v>0</v>
      </c>
    </row>
    <row r="27" spans="1:13">
      <c r="A27" s="244" t="s">
        <v>317</v>
      </c>
      <c r="B27" s="245">
        <v>613850</v>
      </c>
      <c r="C27" s="246">
        <v>44145</v>
      </c>
      <c r="D27" s="259">
        <f t="shared" si="8"/>
        <v>30692.5</v>
      </c>
      <c r="E27" s="260">
        <v>10</v>
      </c>
      <c r="F27" s="139">
        <f t="shared" si="9"/>
        <v>142</v>
      </c>
      <c r="G27" s="139">
        <f>F27/365</f>
        <v>0.38904109589041097</v>
      </c>
      <c r="H27" s="139">
        <f>(E27-G27)*365</f>
        <v>3508</v>
      </c>
      <c r="I27" s="255">
        <f>((B27-D27)/(E27))*F27/365</f>
        <v>22687.223287671233</v>
      </c>
      <c r="J27" s="258">
        <f t="shared" si="10"/>
        <v>591162.77671232878</v>
      </c>
      <c r="K27" s="263">
        <f>+[1]Sheet1!$I$275</f>
        <v>-22687.22</v>
      </c>
      <c r="L27" s="250">
        <f t="shared" si="11"/>
        <v>0</v>
      </c>
    </row>
    <row r="28" spans="1:13">
      <c r="A28" s="209"/>
      <c r="B28" s="251">
        <f>+SUM(B26:B27)</f>
        <v>693850</v>
      </c>
      <c r="C28" s="252"/>
      <c r="D28" s="264"/>
      <c r="E28" s="194"/>
      <c r="F28" s="194"/>
      <c r="G28" s="194"/>
      <c r="H28" s="194"/>
      <c r="I28" s="242">
        <f>SUM(I26:I27)</f>
        <v>28933.798630136986</v>
      </c>
      <c r="J28" s="242">
        <f>SUM(J26:J27)</f>
        <v>664916.201369863</v>
      </c>
      <c r="M28" s="265">
        <f>-SUM(K26:K27)</f>
        <v>28933.800000000003</v>
      </c>
    </row>
    <row r="29" spans="1:13" ht="16.5">
      <c r="A29" s="266"/>
      <c r="B29" s="267"/>
      <c r="C29" s="252"/>
      <c r="D29" s="194"/>
      <c r="E29" s="194"/>
      <c r="F29" s="194"/>
      <c r="G29" s="194"/>
      <c r="H29" s="194"/>
      <c r="I29" s="255"/>
      <c r="J29" s="258"/>
    </row>
    <row r="30" spans="1:13">
      <c r="A30" s="254" t="s">
        <v>17</v>
      </c>
      <c r="B30" s="255"/>
      <c r="C30" s="252"/>
      <c r="D30" s="256"/>
      <c r="E30" s="257"/>
      <c r="F30" s="194"/>
      <c r="G30" s="194"/>
      <c r="H30" s="194"/>
      <c r="I30" s="255"/>
      <c r="J30" s="258"/>
    </row>
    <row r="31" spans="1:13">
      <c r="A31" s="194"/>
      <c r="B31" s="255"/>
      <c r="C31" s="252"/>
      <c r="D31" s="256"/>
      <c r="E31" s="257"/>
      <c r="F31" s="194"/>
      <c r="G31" s="194"/>
      <c r="H31" s="194"/>
      <c r="I31" s="255"/>
      <c r="J31" s="258"/>
      <c r="K31" s="263"/>
      <c r="L31" s="250">
        <f t="shared" ref="L31:L32" si="12">-ROUND(K31+I31,0)</f>
        <v>0</v>
      </c>
    </row>
    <row r="32" spans="1:13">
      <c r="A32" s="194"/>
      <c r="B32" s="255"/>
      <c r="C32" s="252"/>
      <c r="D32" s="256"/>
      <c r="E32" s="257"/>
      <c r="F32" s="194"/>
      <c r="G32" s="194"/>
      <c r="H32" s="194"/>
      <c r="I32" s="255"/>
      <c r="J32" s="258"/>
      <c r="K32" s="263"/>
      <c r="L32" s="250">
        <f t="shared" si="12"/>
        <v>0</v>
      </c>
    </row>
    <row r="33" spans="1:13">
      <c r="A33" s="209"/>
      <c r="B33" s="251">
        <f>+SUM(B31:B32)</f>
        <v>0</v>
      </c>
      <c r="C33" s="252"/>
      <c r="D33" s="264"/>
      <c r="E33" s="194"/>
      <c r="F33" s="194"/>
      <c r="G33" s="194"/>
      <c r="H33" s="194"/>
      <c r="I33" s="242">
        <f>SUM(I31:I32)</f>
        <v>0</v>
      </c>
      <c r="J33" s="242">
        <f>SUM(J31:J32)</f>
        <v>0</v>
      </c>
      <c r="M33" s="265">
        <f>-SUM(K31:K32)</f>
        <v>0</v>
      </c>
    </row>
    <row r="34" spans="1:13" ht="16.5">
      <c r="A34" s="266"/>
      <c r="B34" s="267"/>
      <c r="C34" s="252"/>
      <c r="D34" s="194"/>
      <c r="E34" s="194"/>
      <c r="F34" s="194"/>
      <c r="G34" s="194"/>
      <c r="H34" s="194"/>
      <c r="I34" s="255"/>
      <c r="J34" s="258"/>
    </row>
    <row r="35" spans="1:13">
      <c r="A35" s="254" t="s">
        <v>318</v>
      </c>
      <c r="B35" s="255"/>
      <c r="C35" s="252"/>
      <c r="D35" s="256"/>
      <c r="E35" s="257"/>
      <c r="F35" s="194"/>
      <c r="G35" s="194"/>
      <c r="H35" s="194"/>
      <c r="I35" s="255"/>
      <c r="J35" s="258"/>
    </row>
    <row r="36" spans="1:13">
      <c r="A36" s="194"/>
      <c r="B36" s="255"/>
      <c r="C36" s="252"/>
      <c r="D36" s="256"/>
      <c r="E36" s="257"/>
      <c r="F36" s="194"/>
      <c r="G36" s="194"/>
      <c r="H36" s="194"/>
      <c r="I36" s="255"/>
      <c r="J36" s="258"/>
      <c r="K36" s="268"/>
      <c r="L36" s="250">
        <f t="shared" ref="L36:L38" si="13">-ROUND(K36+I36,0)</f>
        <v>0</v>
      </c>
    </row>
    <row r="37" spans="1:13">
      <c r="A37" s="194"/>
      <c r="B37" s="255"/>
      <c r="C37" s="252"/>
      <c r="D37" s="256"/>
      <c r="E37" s="257"/>
      <c r="F37" s="194"/>
      <c r="G37" s="194"/>
      <c r="H37" s="194"/>
      <c r="I37" s="255"/>
      <c r="J37" s="258"/>
      <c r="K37" s="268"/>
      <c r="L37" s="250">
        <f t="shared" si="13"/>
        <v>0</v>
      </c>
    </row>
    <row r="38" spans="1:13">
      <c r="A38" s="194"/>
      <c r="B38" s="255"/>
      <c r="C38" s="252"/>
      <c r="D38" s="256"/>
      <c r="E38" s="257"/>
      <c r="F38" s="194"/>
      <c r="G38" s="194"/>
      <c r="H38" s="194"/>
      <c r="I38" s="255"/>
      <c r="J38" s="258"/>
      <c r="K38" s="268"/>
      <c r="L38" s="250">
        <f t="shared" si="13"/>
        <v>0</v>
      </c>
    </row>
    <row r="39" spans="1:13">
      <c r="A39" s="209"/>
      <c r="B39" s="251">
        <f>+SUM(B36:B38)</f>
        <v>0</v>
      </c>
      <c r="C39" s="252"/>
      <c r="D39" s="264"/>
      <c r="E39" s="194"/>
      <c r="F39" s="194"/>
      <c r="G39" s="194"/>
      <c r="H39" s="194"/>
      <c r="I39" s="261">
        <f>+SUM(I36:I38)</f>
        <v>0</v>
      </c>
      <c r="J39" s="261">
        <f>+SUM(J36:J38)</f>
        <v>0</v>
      </c>
      <c r="M39" s="262">
        <f>-SUM(K36:K38)</f>
        <v>0</v>
      </c>
    </row>
    <row r="40" spans="1:13" ht="16.5">
      <c r="A40" s="266"/>
      <c r="B40" s="267"/>
      <c r="C40" s="252"/>
      <c r="D40" s="194"/>
      <c r="E40" s="194"/>
      <c r="F40" s="194"/>
      <c r="G40" s="194"/>
      <c r="H40" s="194"/>
      <c r="I40" s="255"/>
      <c r="J40" s="258"/>
    </row>
    <row r="41" spans="1:13" ht="16.5">
      <c r="A41" s="269" t="s">
        <v>237</v>
      </c>
      <c r="B41" s="270"/>
      <c r="C41" s="271"/>
      <c r="D41" s="272"/>
      <c r="E41" s="273"/>
      <c r="F41" s="274"/>
      <c r="G41" s="274"/>
      <c r="H41" s="274"/>
      <c r="I41" s="275"/>
      <c r="J41" s="276"/>
    </row>
    <row r="42" spans="1:13">
      <c r="A42" s="277" t="s">
        <v>319</v>
      </c>
      <c r="B42" s="278">
        <v>25500</v>
      </c>
      <c r="C42" s="279">
        <v>43983</v>
      </c>
      <c r="D42" s="256">
        <f t="shared" ref="D42:D61" si="14">B42*5%</f>
        <v>1275</v>
      </c>
      <c r="E42" s="257">
        <v>3</v>
      </c>
      <c r="F42" s="194">
        <f t="shared" ref="F42:F61" si="15">$F$2-C42+1</f>
        <v>304</v>
      </c>
      <c r="G42" s="194">
        <f t="shared" ref="G42:G61" si="16">F42/366</f>
        <v>0.8306010928961749</v>
      </c>
      <c r="H42" s="264">
        <f>(E42-G42)*365</f>
        <v>791.83060109289613</v>
      </c>
      <c r="I42" s="255">
        <f>((B42-D42)/(E42))*F42/365</f>
        <v>6725.4794520547948</v>
      </c>
      <c r="J42" s="258">
        <f t="shared" ref="J42:J61" si="17">B42-I42</f>
        <v>18774.520547945205</v>
      </c>
      <c r="K42" s="280">
        <f>+[1]Sheet1!$I$374</f>
        <v>-6725.48</v>
      </c>
      <c r="L42" s="250">
        <f t="shared" ref="L42:L61" si="18">-ROUND(K42+I42,0)</f>
        <v>0</v>
      </c>
    </row>
    <row r="43" spans="1:13">
      <c r="A43" s="277" t="s">
        <v>320</v>
      </c>
      <c r="B43" s="278">
        <v>25500</v>
      </c>
      <c r="C43" s="279">
        <v>43983</v>
      </c>
      <c r="D43" s="256">
        <f t="shared" si="14"/>
        <v>1275</v>
      </c>
      <c r="E43" s="257">
        <v>3</v>
      </c>
      <c r="F43" s="194">
        <f t="shared" si="15"/>
        <v>304</v>
      </c>
      <c r="G43" s="194">
        <f t="shared" si="16"/>
        <v>0.8306010928961749</v>
      </c>
      <c r="H43" s="264">
        <f t="shared" ref="H43:H61" si="19">(E43-G43)*365</f>
        <v>791.83060109289613</v>
      </c>
      <c r="I43" s="255">
        <f t="shared" ref="I43:I61" si="20">((B43-D43)/(E43))*F43/365</f>
        <v>6725.4794520547948</v>
      </c>
      <c r="J43" s="258">
        <f t="shared" si="17"/>
        <v>18774.520547945205</v>
      </c>
      <c r="K43" s="280">
        <f>+[1]Sheet1!$I$375</f>
        <v>-6725.48</v>
      </c>
      <c r="L43" s="250">
        <f t="shared" si="18"/>
        <v>0</v>
      </c>
    </row>
    <row r="44" spans="1:13">
      <c r="A44" s="277" t="s">
        <v>321</v>
      </c>
      <c r="B44" s="278">
        <v>19491.52</v>
      </c>
      <c r="C44" s="279">
        <v>43997</v>
      </c>
      <c r="D44" s="256">
        <f t="shared" si="14"/>
        <v>974.57600000000002</v>
      </c>
      <c r="E44" s="257">
        <v>3</v>
      </c>
      <c r="F44" s="194">
        <f t="shared" si="15"/>
        <v>290</v>
      </c>
      <c r="G44" s="194">
        <f t="shared" si="16"/>
        <v>0.79234972677595628</v>
      </c>
      <c r="H44" s="264">
        <f t="shared" si="19"/>
        <v>805.79234972677591</v>
      </c>
      <c r="I44" s="255">
        <f t="shared" si="20"/>
        <v>4904.0308310502278</v>
      </c>
      <c r="J44" s="258">
        <f t="shared" si="17"/>
        <v>14587.489168949773</v>
      </c>
      <c r="K44" s="280">
        <f>+[1]Sheet1!$I$376</f>
        <v>-4904.03</v>
      </c>
      <c r="L44" s="250">
        <f t="shared" si="18"/>
        <v>0</v>
      </c>
    </row>
    <row r="45" spans="1:13">
      <c r="A45" s="277" t="s">
        <v>322</v>
      </c>
      <c r="B45" s="278">
        <v>49152.54</v>
      </c>
      <c r="C45" s="279">
        <v>44095</v>
      </c>
      <c r="D45" s="256">
        <f t="shared" si="14"/>
        <v>2457.6270000000004</v>
      </c>
      <c r="E45" s="257">
        <v>3</v>
      </c>
      <c r="F45" s="194">
        <f t="shared" si="15"/>
        <v>192</v>
      </c>
      <c r="G45" s="194">
        <f t="shared" si="16"/>
        <v>0.52459016393442626</v>
      </c>
      <c r="H45" s="264">
        <f t="shared" si="19"/>
        <v>903.52459016393436</v>
      </c>
      <c r="I45" s="255">
        <f t="shared" si="20"/>
        <v>8187.6011835616437</v>
      </c>
      <c r="J45" s="258">
        <f t="shared" si="17"/>
        <v>40964.938816438356</v>
      </c>
      <c r="K45" s="280">
        <f>+[1]Sheet1!$I$377</f>
        <v>-8187.6</v>
      </c>
      <c r="L45" s="250">
        <f t="shared" si="18"/>
        <v>0</v>
      </c>
    </row>
    <row r="46" spans="1:13">
      <c r="A46" s="277" t="s">
        <v>323</v>
      </c>
      <c r="B46" s="278">
        <v>215000</v>
      </c>
      <c r="C46" s="279">
        <v>44147</v>
      </c>
      <c r="D46" s="256">
        <f t="shared" si="14"/>
        <v>10750</v>
      </c>
      <c r="E46" s="257">
        <v>3</v>
      </c>
      <c r="F46" s="194">
        <f t="shared" si="15"/>
        <v>140</v>
      </c>
      <c r="G46" s="194">
        <f t="shared" si="16"/>
        <v>0.38251366120218577</v>
      </c>
      <c r="H46" s="264">
        <f t="shared" si="19"/>
        <v>955.38251366120221</v>
      </c>
      <c r="I46" s="255">
        <f t="shared" si="20"/>
        <v>26114.15525114155</v>
      </c>
      <c r="J46" s="258">
        <f t="shared" si="17"/>
        <v>188885.84474885845</v>
      </c>
      <c r="K46" s="280">
        <f>+[1]Sheet1!$I$378</f>
        <v>-26114.16</v>
      </c>
      <c r="L46" s="250">
        <f t="shared" si="18"/>
        <v>0</v>
      </c>
    </row>
    <row r="47" spans="1:13">
      <c r="A47" s="277" t="s">
        <v>324</v>
      </c>
      <c r="B47" s="278">
        <v>100000</v>
      </c>
      <c r="C47" s="279">
        <v>44147</v>
      </c>
      <c r="D47" s="256">
        <f t="shared" si="14"/>
        <v>5000</v>
      </c>
      <c r="E47" s="257">
        <v>3</v>
      </c>
      <c r="F47" s="194">
        <f t="shared" si="15"/>
        <v>140</v>
      </c>
      <c r="G47" s="194">
        <f t="shared" si="16"/>
        <v>0.38251366120218577</v>
      </c>
      <c r="H47" s="264">
        <f t="shared" si="19"/>
        <v>955.38251366120221</v>
      </c>
      <c r="I47" s="255">
        <f t="shared" si="20"/>
        <v>12146.118721461189</v>
      </c>
      <c r="J47" s="258">
        <f t="shared" si="17"/>
        <v>87853.881278538815</v>
      </c>
      <c r="K47" s="280">
        <f>+[1]Sheet1!$I$379</f>
        <v>-12146.12</v>
      </c>
      <c r="L47" s="250">
        <f t="shared" si="18"/>
        <v>0</v>
      </c>
    </row>
    <row r="48" spans="1:13">
      <c r="A48" s="277" t="s">
        <v>325</v>
      </c>
      <c r="B48" s="278">
        <v>3500</v>
      </c>
      <c r="C48" s="279">
        <v>44200</v>
      </c>
      <c r="D48" s="256">
        <f t="shared" si="14"/>
        <v>175</v>
      </c>
      <c r="E48" s="257">
        <v>3</v>
      </c>
      <c r="F48" s="194">
        <f t="shared" si="15"/>
        <v>87</v>
      </c>
      <c r="G48" s="194">
        <f t="shared" si="16"/>
        <v>0.23770491803278687</v>
      </c>
      <c r="H48" s="264">
        <f t="shared" si="19"/>
        <v>1008.2377049180327</v>
      </c>
      <c r="I48" s="255">
        <f t="shared" si="20"/>
        <v>264.17808219178085</v>
      </c>
      <c r="J48" s="258">
        <f t="shared" si="17"/>
        <v>3235.821917808219</v>
      </c>
      <c r="K48" s="280">
        <f>+[1]Sheet1!$I$380</f>
        <v>-264.18</v>
      </c>
      <c r="L48" s="250">
        <f t="shared" si="18"/>
        <v>0</v>
      </c>
    </row>
    <row r="49" spans="1:13">
      <c r="A49" s="277" t="s">
        <v>326</v>
      </c>
      <c r="B49" s="278">
        <v>21610.17</v>
      </c>
      <c r="C49" s="279">
        <v>44201</v>
      </c>
      <c r="D49" s="256">
        <f t="shared" si="14"/>
        <v>1080.5084999999999</v>
      </c>
      <c r="E49" s="257">
        <v>3</v>
      </c>
      <c r="F49" s="194">
        <f t="shared" si="15"/>
        <v>86</v>
      </c>
      <c r="G49" s="194">
        <f t="shared" si="16"/>
        <v>0.23497267759562843</v>
      </c>
      <c r="H49" s="264">
        <f t="shared" si="19"/>
        <v>1009.2349726775956</v>
      </c>
      <c r="I49" s="255">
        <f t="shared" si="20"/>
        <v>1612.3752410958905</v>
      </c>
      <c r="J49" s="258">
        <f t="shared" si="17"/>
        <v>19997.794758904107</v>
      </c>
      <c r="K49" s="280">
        <f>+[1]Sheet1!$I$381</f>
        <v>-1612.38</v>
      </c>
      <c r="L49" s="250">
        <f t="shared" si="18"/>
        <v>0</v>
      </c>
    </row>
    <row r="50" spans="1:13">
      <c r="A50" s="277" t="s">
        <v>327</v>
      </c>
      <c r="B50" s="278">
        <v>50400</v>
      </c>
      <c r="C50" s="279">
        <v>44212</v>
      </c>
      <c r="D50" s="256">
        <f t="shared" si="14"/>
        <v>2520</v>
      </c>
      <c r="E50" s="257">
        <v>3</v>
      </c>
      <c r="F50" s="194">
        <f t="shared" si="15"/>
        <v>75</v>
      </c>
      <c r="G50" s="194">
        <f t="shared" si="16"/>
        <v>0.20491803278688525</v>
      </c>
      <c r="H50" s="264">
        <f t="shared" si="19"/>
        <v>1020.2049180327868</v>
      </c>
      <c r="I50" s="255">
        <f t="shared" si="20"/>
        <v>3279.4520547945203</v>
      </c>
      <c r="J50" s="258">
        <f t="shared" si="17"/>
        <v>47120.547945205479</v>
      </c>
      <c r="K50" s="280">
        <f>+[1]Sheet1!$I$382</f>
        <v>-3279.45</v>
      </c>
      <c r="L50" s="250">
        <f t="shared" si="18"/>
        <v>0</v>
      </c>
    </row>
    <row r="51" spans="1:13">
      <c r="A51" s="277" t="s">
        <v>328</v>
      </c>
      <c r="B51" s="278">
        <v>25200</v>
      </c>
      <c r="C51" s="279">
        <v>44212</v>
      </c>
      <c r="D51" s="256">
        <f t="shared" si="14"/>
        <v>1260</v>
      </c>
      <c r="E51" s="257">
        <v>3</v>
      </c>
      <c r="F51" s="194">
        <f t="shared" si="15"/>
        <v>75</v>
      </c>
      <c r="G51" s="194">
        <f t="shared" si="16"/>
        <v>0.20491803278688525</v>
      </c>
      <c r="H51" s="264">
        <f t="shared" si="19"/>
        <v>1020.2049180327868</v>
      </c>
      <c r="I51" s="255">
        <f t="shared" si="20"/>
        <v>1639.7260273972602</v>
      </c>
      <c r="J51" s="258">
        <f t="shared" si="17"/>
        <v>23560.273972602739</v>
      </c>
      <c r="K51" s="280">
        <f>+[1]Sheet1!$I$383</f>
        <v>-1639.73</v>
      </c>
      <c r="L51" s="250">
        <f t="shared" si="18"/>
        <v>0</v>
      </c>
    </row>
    <row r="52" spans="1:13">
      <c r="A52" s="277" t="s">
        <v>329</v>
      </c>
      <c r="B52" s="278">
        <v>25200</v>
      </c>
      <c r="C52" s="279">
        <v>44212</v>
      </c>
      <c r="D52" s="256">
        <f t="shared" si="14"/>
        <v>1260</v>
      </c>
      <c r="E52" s="257">
        <v>3</v>
      </c>
      <c r="F52" s="194">
        <f t="shared" si="15"/>
        <v>75</v>
      </c>
      <c r="G52" s="194">
        <f t="shared" si="16"/>
        <v>0.20491803278688525</v>
      </c>
      <c r="H52" s="264">
        <f t="shared" si="19"/>
        <v>1020.2049180327868</v>
      </c>
      <c r="I52" s="255">
        <f t="shared" si="20"/>
        <v>1639.7260273972602</v>
      </c>
      <c r="J52" s="258">
        <f t="shared" si="17"/>
        <v>23560.273972602739</v>
      </c>
      <c r="K52" s="280">
        <f>+[1]Sheet1!$I$384</f>
        <v>-1639.73</v>
      </c>
      <c r="L52" s="250">
        <f t="shared" si="18"/>
        <v>0</v>
      </c>
    </row>
    <row r="53" spans="1:13">
      <c r="A53" s="277" t="s">
        <v>330</v>
      </c>
      <c r="B53" s="278">
        <v>25200</v>
      </c>
      <c r="C53" s="279">
        <v>44212</v>
      </c>
      <c r="D53" s="256">
        <f t="shared" si="14"/>
        <v>1260</v>
      </c>
      <c r="E53" s="257">
        <v>3</v>
      </c>
      <c r="F53" s="194">
        <f t="shared" si="15"/>
        <v>75</v>
      </c>
      <c r="G53" s="194">
        <f t="shared" si="16"/>
        <v>0.20491803278688525</v>
      </c>
      <c r="H53" s="264">
        <f t="shared" si="19"/>
        <v>1020.2049180327868</v>
      </c>
      <c r="I53" s="255">
        <f t="shared" si="20"/>
        <v>1639.7260273972602</v>
      </c>
      <c r="J53" s="258">
        <f t="shared" si="17"/>
        <v>23560.273972602739</v>
      </c>
      <c r="K53" s="280">
        <f>+[1]Sheet1!$I$385</f>
        <v>-1639.73</v>
      </c>
      <c r="L53" s="250">
        <f t="shared" si="18"/>
        <v>0</v>
      </c>
    </row>
    <row r="54" spans="1:13">
      <c r="A54" s="277" t="s">
        <v>331</v>
      </c>
      <c r="B54" s="278">
        <v>25200</v>
      </c>
      <c r="C54" s="279">
        <v>44212</v>
      </c>
      <c r="D54" s="281">
        <f t="shared" si="14"/>
        <v>1260</v>
      </c>
      <c r="E54" s="282">
        <v>3</v>
      </c>
      <c r="F54" s="248">
        <f t="shared" si="15"/>
        <v>75</v>
      </c>
      <c r="G54" s="248">
        <f t="shared" si="16"/>
        <v>0.20491803278688525</v>
      </c>
      <c r="H54" s="264">
        <f t="shared" si="19"/>
        <v>1020.2049180327868</v>
      </c>
      <c r="I54" s="255">
        <f t="shared" si="20"/>
        <v>1639.7260273972602</v>
      </c>
      <c r="J54" s="247">
        <f t="shared" si="17"/>
        <v>23560.273972602739</v>
      </c>
      <c r="K54" s="280">
        <f>+[1]Sheet1!$I$386</f>
        <v>-1639.73</v>
      </c>
      <c r="L54" s="283">
        <f t="shared" si="18"/>
        <v>0</v>
      </c>
    </row>
    <row r="55" spans="1:13">
      <c r="A55" s="277" t="s">
        <v>332</v>
      </c>
      <c r="B55" s="278">
        <v>27543</v>
      </c>
      <c r="C55" s="279">
        <v>44249</v>
      </c>
      <c r="D55" s="281">
        <f t="shared" si="14"/>
        <v>1377.15</v>
      </c>
      <c r="E55" s="282">
        <v>3</v>
      </c>
      <c r="F55" s="248">
        <f>$F$2-C55+1</f>
        <v>38</v>
      </c>
      <c r="G55" s="248">
        <f t="shared" si="16"/>
        <v>0.10382513661202186</v>
      </c>
      <c r="H55" s="264">
        <f t="shared" si="19"/>
        <v>1057.1038251366122</v>
      </c>
      <c r="I55" s="255">
        <f t="shared" si="20"/>
        <v>908.03863013698628</v>
      </c>
      <c r="J55" s="247">
        <f t="shared" si="17"/>
        <v>26634.961369863013</v>
      </c>
      <c r="K55" s="280">
        <f>+[1]Sheet1!$I$387</f>
        <v>-908.04</v>
      </c>
      <c r="L55" s="283">
        <f t="shared" si="18"/>
        <v>0</v>
      </c>
    </row>
    <row r="56" spans="1:13">
      <c r="A56" s="277" t="s">
        <v>333</v>
      </c>
      <c r="B56" s="278">
        <v>25200</v>
      </c>
      <c r="C56" s="279">
        <v>44259</v>
      </c>
      <c r="D56" s="256">
        <f t="shared" si="14"/>
        <v>1260</v>
      </c>
      <c r="E56" s="257">
        <v>3</v>
      </c>
      <c r="F56" s="194">
        <f t="shared" si="15"/>
        <v>28</v>
      </c>
      <c r="G56" s="194">
        <f t="shared" si="16"/>
        <v>7.650273224043716E-2</v>
      </c>
      <c r="H56" s="264">
        <f t="shared" si="19"/>
        <v>1067.0765027322404</v>
      </c>
      <c r="I56" s="255">
        <f t="shared" si="20"/>
        <v>612.16438356164383</v>
      </c>
      <c r="J56" s="258">
        <f t="shared" si="17"/>
        <v>24587.835616438355</v>
      </c>
      <c r="K56" s="280">
        <f>+[1]Sheet1!$I$388</f>
        <v>-612.16</v>
      </c>
      <c r="L56" s="250">
        <f t="shared" si="18"/>
        <v>0</v>
      </c>
    </row>
    <row r="57" spans="1:13">
      <c r="A57" s="277" t="s">
        <v>334</v>
      </c>
      <c r="B57" s="278">
        <v>25200</v>
      </c>
      <c r="C57" s="279">
        <v>44270</v>
      </c>
      <c r="D57" s="256">
        <f t="shared" si="14"/>
        <v>1260</v>
      </c>
      <c r="E57" s="257">
        <v>3</v>
      </c>
      <c r="F57" s="194">
        <f t="shared" si="15"/>
        <v>17</v>
      </c>
      <c r="G57" s="194">
        <f t="shared" si="16"/>
        <v>4.6448087431693992E-2</v>
      </c>
      <c r="H57" s="264">
        <f t="shared" si="19"/>
        <v>1078.0464480874316</v>
      </c>
      <c r="I57" s="255">
        <f t="shared" si="20"/>
        <v>371.67123287671234</v>
      </c>
      <c r="J57" s="258">
        <f t="shared" si="17"/>
        <v>24828.328767123287</v>
      </c>
      <c r="K57" s="280">
        <f>+[1]Sheet1!$I$389</f>
        <v>-371.67</v>
      </c>
      <c r="L57" s="250">
        <f t="shared" si="18"/>
        <v>0</v>
      </c>
    </row>
    <row r="58" spans="1:13">
      <c r="A58" s="277" t="s">
        <v>335</v>
      </c>
      <c r="B58" s="278">
        <v>25200</v>
      </c>
      <c r="C58" s="279">
        <v>44278</v>
      </c>
      <c r="D58" s="256">
        <f t="shared" si="14"/>
        <v>1260</v>
      </c>
      <c r="E58" s="257">
        <v>3</v>
      </c>
      <c r="F58" s="194">
        <f t="shared" si="15"/>
        <v>9</v>
      </c>
      <c r="G58" s="194">
        <f t="shared" si="16"/>
        <v>2.4590163934426229E-2</v>
      </c>
      <c r="H58" s="264">
        <f t="shared" si="19"/>
        <v>1086.0245901639344</v>
      </c>
      <c r="I58" s="255">
        <f t="shared" si="20"/>
        <v>196.76712328767124</v>
      </c>
      <c r="J58" s="258">
        <f t="shared" si="17"/>
        <v>25003.232876712329</v>
      </c>
      <c r="K58" s="280">
        <f>+[1]Sheet1!$I$390</f>
        <v>-196.77</v>
      </c>
      <c r="L58" s="250">
        <f t="shared" si="18"/>
        <v>0</v>
      </c>
    </row>
    <row r="59" spans="1:13">
      <c r="A59" s="277" t="s">
        <v>336</v>
      </c>
      <c r="B59" s="278">
        <v>25200</v>
      </c>
      <c r="C59" s="279">
        <v>44278</v>
      </c>
      <c r="D59" s="256">
        <f t="shared" si="14"/>
        <v>1260</v>
      </c>
      <c r="E59" s="257">
        <v>3</v>
      </c>
      <c r="F59" s="194">
        <f t="shared" si="15"/>
        <v>9</v>
      </c>
      <c r="G59" s="194">
        <f t="shared" si="16"/>
        <v>2.4590163934426229E-2</v>
      </c>
      <c r="H59" s="264">
        <f t="shared" si="19"/>
        <v>1086.0245901639344</v>
      </c>
      <c r="I59" s="255">
        <f t="shared" si="20"/>
        <v>196.76712328767124</v>
      </c>
      <c r="J59" s="258">
        <f t="shared" si="17"/>
        <v>25003.232876712329</v>
      </c>
      <c r="K59" s="280">
        <f>+[1]Sheet1!$I$391</f>
        <v>-196.77</v>
      </c>
      <c r="L59" s="250">
        <f t="shared" si="18"/>
        <v>0</v>
      </c>
    </row>
    <row r="60" spans="1:13">
      <c r="A60" s="277" t="s">
        <v>337</v>
      </c>
      <c r="B60" s="278">
        <v>35170</v>
      </c>
      <c r="C60" s="279">
        <v>44286</v>
      </c>
      <c r="D60" s="256">
        <f t="shared" si="14"/>
        <v>1758.5</v>
      </c>
      <c r="E60" s="257">
        <v>3</v>
      </c>
      <c r="F60" s="194">
        <f t="shared" si="15"/>
        <v>1</v>
      </c>
      <c r="G60" s="194">
        <f t="shared" si="16"/>
        <v>2.7322404371584699E-3</v>
      </c>
      <c r="H60" s="264">
        <f t="shared" si="19"/>
        <v>1094.0027322404371</v>
      </c>
      <c r="I60" s="255">
        <f t="shared" si="20"/>
        <v>30.512785388127853</v>
      </c>
      <c r="J60" s="258">
        <f t="shared" si="17"/>
        <v>35139.487214611872</v>
      </c>
      <c r="K60" s="280">
        <f>+[1]Sheet1!$I$392</f>
        <v>-30.51</v>
      </c>
      <c r="L60" s="250">
        <f t="shared" si="18"/>
        <v>0</v>
      </c>
    </row>
    <row r="61" spans="1:13">
      <c r="A61" s="277" t="s">
        <v>338</v>
      </c>
      <c r="B61" s="278">
        <v>14830.51</v>
      </c>
      <c r="C61" s="279">
        <v>44286</v>
      </c>
      <c r="D61" s="256">
        <f t="shared" si="14"/>
        <v>741.52550000000008</v>
      </c>
      <c r="E61" s="257">
        <v>3</v>
      </c>
      <c r="F61" s="194">
        <f t="shared" si="15"/>
        <v>1</v>
      </c>
      <c r="G61" s="194">
        <f t="shared" si="16"/>
        <v>2.7322404371584699E-3</v>
      </c>
      <c r="H61" s="264">
        <f t="shared" si="19"/>
        <v>1094.0027322404371</v>
      </c>
      <c r="I61" s="255">
        <f t="shared" si="20"/>
        <v>12.866652511415527</v>
      </c>
      <c r="J61" s="258">
        <f t="shared" si="17"/>
        <v>14817.643347488585</v>
      </c>
      <c r="K61" s="280">
        <f>+[1]Sheet1!$I$393</f>
        <v>-12.87</v>
      </c>
      <c r="L61" s="250">
        <f t="shared" si="18"/>
        <v>0</v>
      </c>
    </row>
    <row r="62" spans="1:13" ht="16.5">
      <c r="A62" s="284"/>
      <c r="B62" s="285"/>
      <c r="C62" s="195"/>
      <c r="D62" s="286"/>
      <c r="E62" s="287"/>
      <c r="F62" s="288"/>
      <c r="G62" s="288"/>
      <c r="H62" s="288"/>
      <c r="I62" s="196"/>
      <c r="J62" s="289"/>
    </row>
    <row r="63" spans="1:13">
      <c r="A63" s="209"/>
      <c r="B63" s="251">
        <f>+SUM(B42:B61)</f>
        <v>789297.74</v>
      </c>
      <c r="C63" s="252"/>
      <c r="D63" s="264"/>
      <c r="E63" s="194"/>
      <c r="F63" s="194"/>
      <c r="G63" s="194"/>
      <c r="H63" s="194"/>
      <c r="I63" s="261">
        <f>+SUM(I42:I61)</f>
        <v>78846.562310045672</v>
      </c>
      <c r="J63" s="261">
        <f>+SUM(J42:J61)</f>
        <v>710451.17768995429</v>
      </c>
      <c r="M63" s="262">
        <f>-SUM(K42:K62)</f>
        <v>78846.589999999982</v>
      </c>
    </row>
    <row r="64" spans="1:13">
      <c r="A64" s="254"/>
      <c r="B64" s="261"/>
      <c r="C64" s="252"/>
      <c r="D64" s="256"/>
      <c r="E64" s="257"/>
      <c r="F64" s="194"/>
      <c r="G64" s="194"/>
      <c r="H64" s="194"/>
      <c r="I64" s="255"/>
      <c r="J64" s="258"/>
    </row>
    <row r="65" spans="1:13">
      <c r="A65" s="254" t="s">
        <v>339</v>
      </c>
      <c r="B65" s="255"/>
      <c r="C65" s="252"/>
      <c r="D65" s="194"/>
      <c r="E65" s="194"/>
      <c r="F65" s="252"/>
      <c r="G65" s="194"/>
      <c r="H65" s="194"/>
      <c r="I65" s="255"/>
      <c r="J65" s="194"/>
    </row>
    <row r="66" spans="1:13">
      <c r="A66" s="244" t="s">
        <v>340</v>
      </c>
      <c r="B66" s="245">
        <v>990000.06</v>
      </c>
      <c r="C66" s="246">
        <v>44281</v>
      </c>
      <c r="D66" s="256">
        <v>0</v>
      </c>
      <c r="E66" s="257">
        <v>10</v>
      </c>
      <c r="F66" s="194">
        <f t="shared" ref="F66" si="21">$F$2-C66+1</f>
        <v>6</v>
      </c>
      <c r="G66" s="194">
        <f>F66/365</f>
        <v>1.643835616438356E-2</v>
      </c>
      <c r="H66" s="194">
        <f>(E66-G66)*365</f>
        <v>3644</v>
      </c>
      <c r="I66" s="255">
        <f>((B66-D66)/(E66))*F66/365</f>
        <v>1627.3973589041098</v>
      </c>
      <c r="J66" s="258">
        <f t="shared" ref="J66" si="22">B66-I66</f>
        <v>988372.66264109593</v>
      </c>
      <c r="K66" s="268">
        <f>+[1]Sheet1!$I$517</f>
        <v>-1627.4</v>
      </c>
      <c r="L66" s="250">
        <f t="shared" ref="L66" si="23">-ROUND(K66+I66,0)</f>
        <v>0</v>
      </c>
    </row>
    <row r="67" spans="1:13">
      <c r="A67" s="194"/>
      <c r="B67" s="255"/>
      <c r="C67" s="290"/>
      <c r="D67" s="256"/>
      <c r="E67" s="257"/>
      <c r="F67" s="194"/>
      <c r="G67" s="194"/>
      <c r="H67" s="194"/>
      <c r="I67" s="255"/>
      <c r="J67" s="258"/>
    </row>
    <row r="68" spans="1:13">
      <c r="A68" s="194"/>
      <c r="B68" s="251">
        <f>+SUM(B66:B66)</f>
        <v>990000.06</v>
      </c>
      <c r="C68" s="252"/>
      <c r="D68" s="264"/>
      <c r="E68" s="194"/>
      <c r="F68" s="194"/>
      <c r="G68" s="194"/>
      <c r="H68" s="194"/>
      <c r="I68" s="261">
        <f>+SUM(I66:I66)</f>
        <v>1627.3973589041098</v>
      </c>
      <c r="J68" s="261">
        <f>+SUM(J66:J66)</f>
        <v>988372.66264109593</v>
      </c>
      <c r="M68" s="262">
        <f>-SUM(K66:K66)</f>
        <v>1627.4</v>
      </c>
    </row>
    <row r="69" spans="1:13">
      <c r="A69" s="254" t="s">
        <v>341</v>
      </c>
      <c r="B69" s="255"/>
      <c r="C69" s="290"/>
      <c r="D69" s="194"/>
      <c r="E69" s="194"/>
      <c r="F69" s="252"/>
      <c r="G69" s="194"/>
      <c r="H69" s="194"/>
      <c r="I69" s="255"/>
      <c r="J69" s="194"/>
    </row>
    <row r="70" spans="1:13">
      <c r="A70" s="194" t="s">
        <v>159</v>
      </c>
      <c r="B70" s="255"/>
      <c r="C70" s="290"/>
      <c r="D70" s="256"/>
      <c r="E70" s="257"/>
      <c r="F70" s="194"/>
      <c r="G70" s="194"/>
      <c r="H70" s="194"/>
      <c r="I70" s="255"/>
      <c r="J70" s="258"/>
      <c r="K70" s="268"/>
      <c r="L70" s="250">
        <f t="shared" ref="L70" si="24">-ROUND(K70+I70,0)</f>
        <v>0</v>
      </c>
    </row>
    <row r="71" spans="1:13">
      <c r="A71" s="194"/>
      <c r="B71" s="255"/>
      <c r="C71" s="290"/>
      <c r="D71" s="194"/>
      <c r="E71" s="194"/>
      <c r="F71" s="252"/>
      <c r="G71" s="194"/>
      <c r="H71" s="194"/>
      <c r="I71" s="255"/>
      <c r="J71" s="194"/>
    </row>
    <row r="72" spans="1:13">
      <c r="A72" s="194"/>
      <c r="B72" s="251">
        <f>SUM(B69:B71)</f>
        <v>0</v>
      </c>
      <c r="C72" s="252"/>
      <c r="D72" s="264"/>
      <c r="E72" s="194"/>
      <c r="F72" s="194"/>
      <c r="G72" s="194"/>
      <c r="H72" s="194"/>
      <c r="I72" s="261">
        <f>SUM(I69:I71)</f>
        <v>0</v>
      </c>
      <c r="J72" s="254">
        <f>SUM(J69:J71)</f>
        <v>0</v>
      </c>
      <c r="M72" s="262">
        <f>-SUM(K70:K70)</f>
        <v>0</v>
      </c>
    </row>
    <row r="73" spans="1:13">
      <c r="A73" s="194"/>
      <c r="B73" s="255"/>
      <c r="C73" s="252"/>
      <c r="D73" s="194"/>
      <c r="E73" s="194"/>
      <c r="F73" s="252"/>
      <c r="G73" s="194"/>
      <c r="H73" s="194"/>
      <c r="I73" s="255"/>
      <c r="J73" s="194"/>
    </row>
    <row r="74" spans="1:13" ht="15.75">
      <c r="A74" s="680" t="s">
        <v>342</v>
      </c>
      <c r="B74" s="680"/>
      <c r="C74" s="680"/>
      <c r="D74" s="291"/>
      <c r="E74" s="291"/>
      <c r="F74" s="291"/>
      <c r="G74" s="291"/>
      <c r="H74" s="291"/>
      <c r="I74" s="292"/>
      <c r="J74" s="291"/>
    </row>
    <row r="75" spans="1:13">
      <c r="A75" s="194"/>
      <c r="B75" s="255"/>
      <c r="C75" s="252"/>
      <c r="D75" s="293"/>
      <c r="E75" s="294"/>
      <c r="F75" s="294"/>
      <c r="G75" s="294"/>
      <c r="H75" s="294"/>
      <c r="I75" s="295"/>
      <c r="J75" s="255"/>
      <c r="L75" s="250">
        <f t="shared" ref="L75:L79" si="25">-ROUND(K75+I75,0)</f>
        <v>0</v>
      </c>
    </row>
    <row r="76" spans="1:13">
      <c r="A76" s="194"/>
      <c r="B76" s="255"/>
      <c r="C76" s="252"/>
      <c r="D76" s="293"/>
      <c r="E76" s="294"/>
      <c r="F76" s="294"/>
      <c r="G76" s="294"/>
      <c r="H76" s="294"/>
      <c r="I76" s="295"/>
      <c r="J76" s="255"/>
      <c r="L76" s="250">
        <f t="shared" si="25"/>
        <v>0</v>
      </c>
    </row>
    <row r="77" spans="1:13">
      <c r="A77" s="194"/>
      <c r="B77" s="255"/>
      <c r="C77" s="252"/>
      <c r="D77" s="293"/>
      <c r="E77" s="294"/>
      <c r="F77" s="294"/>
      <c r="G77" s="294"/>
      <c r="H77" s="294"/>
      <c r="I77" s="295"/>
      <c r="J77" s="255"/>
      <c r="L77" s="250">
        <f t="shared" si="25"/>
        <v>0</v>
      </c>
    </row>
    <row r="78" spans="1:13">
      <c r="A78" s="194"/>
      <c r="B78" s="255"/>
      <c r="C78" s="252"/>
      <c r="D78" s="293"/>
      <c r="E78" s="294"/>
      <c r="F78" s="294"/>
      <c r="G78" s="294"/>
      <c r="H78" s="294"/>
      <c r="I78" s="295"/>
      <c r="J78" s="255"/>
      <c r="L78" s="250">
        <f t="shared" si="25"/>
        <v>0</v>
      </c>
    </row>
    <row r="79" spans="1:13">
      <c r="B79" s="255"/>
      <c r="C79" s="252"/>
      <c r="D79" s="293"/>
      <c r="E79" s="294"/>
      <c r="F79" s="294"/>
      <c r="G79" s="294"/>
      <c r="H79" s="294"/>
      <c r="I79" s="295"/>
      <c r="J79" s="255"/>
      <c r="L79" s="250">
        <f t="shared" si="25"/>
        <v>0</v>
      </c>
    </row>
    <row r="80" spans="1:13">
      <c r="A80" s="254"/>
      <c r="B80" s="296"/>
      <c r="C80" s="252"/>
      <c r="D80" s="256"/>
      <c r="E80" s="257"/>
      <c r="F80" s="194"/>
      <c r="G80" s="194"/>
      <c r="H80" s="194"/>
      <c r="I80" s="255"/>
      <c r="J80" s="296"/>
      <c r="K80" s="297"/>
      <c r="L80" s="250"/>
      <c r="M80">
        <f>-SUM(K75:K79)</f>
        <v>0</v>
      </c>
    </row>
    <row r="81" spans="1:12">
      <c r="A81" s="194"/>
      <c r="B81" s="255"/>
      <c r="C81" s="252"/>
      <c r="D81" s="194"/>
      <c r="E81" s="194"/>
      <c r="F81" s="252"/>
      <c r="G81" s="194"/>
      <c r="H81" s="194"/>
      <c r="I81" s="255"/>
      <c r="J81" s="194"/>
    </row>
    <row r="83" spans="1:12">
      <c r="B83" s="298">
        <f>+B72+B68+B63+B39+B33+B28+B24+B6+B80</f>
        <v>4385488.47</v>
      </c>
      <c r="I83" s="298">
        <f>+I72+I68+I63+I39+I33+I28+I24+I6</f>
        <v>176293.99853936073</v>
      </c>
      <c r="J83" s="298">
        <f>+J72+J68+J63+J39+J33+J28+J24+J6+J80</f>
        <v>4209194.4714606395</v>
      </c>
      <c r="K83" s="299">
        <f>+SUM(K4:K79)</f>
        <v>-176294.02000000005</v>
      </c>
      <c r="L83" s="299">
        <f>+SUM(L5:L79)</f>
        <v>0</v>
      </c>
    </row>
    <row r="84" spans="1:12">
      <c r="J84" s="298"/>
    </row>
    <row r="87" spans="1:12">
      <c r="K87" s="297"/>
    </row>
    <row r="90" spans="1:12">
      <c r="K90" s="298"/>
    </row>
    <row r="93" spans="1:12">
      <c r="K93" s="298"/>
    </row>
  </sheetData>
  <mergeCells count="1">
    <mergeCell ref="A74:C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opLeftCell="A10" workbookViewId="0">
      <selection activeCell="H150" sqref="H150:H151"/>
    </sheetView>
  </sheetViews>
  <sheetFormatPr defaultColWidth="9" defaultRowHeight="15"/>
  <cols>
    <col min="1" max="1" width="6.42578125" style="302" customWidth="1"/>
    <col min="2" max="2" width="13.140625" style="302" customWidth="1"/>
    <col min="3" max="3" width="23.28515625" style="302" customWidth="1"/>
    <col min="4" max="4" width="32.28515625" style="302" customWidth="1"/>
    <col min="5" max="5" width="18.42578125" style="5" customWidth="1"/>
    <col min="6" max="6" width="15.28515625" style="5" customWidth="1"/>
    <col min="7" max="7" width="14.28515625" style="5" customWidth="1"/>
    <col min="8" max="8" width="14.7109375" style="5" customWidth="1"/>
    <col min="9" max="9" width="13.7109375" style="5" bestFit="1" customWidth="1"/>
    <col min="10" max="10" width="32.140625" style="302" customWidth="1"/>
    <col min="11" max="11" width="21.28515625" style="302" customWidth="1"/>
    <col min="12" max="12" width="12.5703125" style="302" customWidth="1"/>
    <col min="13" max="16384" width="9" style="302"/>
  </cols>
  <sheetData>
    <row r="1" spans="1:14" ht="15.75">
      <c r="A1" s="300" t="s">
        <v>343</v>
      </c>
      <c r="B1" s="301"/>
      <c r="E1" s="302"/>
      <c r="F1" s="302"/>
    </row>
    <row r="2" spans="1:14" ht="15.75">
      <c r="A2" s="300" t="s">
        <v>344</v>
      </c>
      <c r="B2" s="301"/>
      <c r="E2" s="302"/>
      <c r="F2" s="302"/>
    </row>
    <row r="3" spans="1:14" ht="15.75">
      <c r="A3" s="300"/>
      <c r="B3" s="301"/>
      <c r="E3" s="671">
        <v>44286</v>
      </c>
      <c r="F3" s="671">
        <v>44469</v>
      </c>
    </row>
    <row r="4" spans="1:14" ht="18.75">
      <c r="A4" s="303" t="s">
        <v>345</v>
      </c>
      <c r="B4" s="301"/>
      <c r="E4" s="681" t="s">
        <v>346</v>
      </c>
      <c r="F4" s="682"/>
      <c r="G4" s="304" t="s">
        <v>347</v>
      </c>
      <c r="H4" s="304" t="s">
        <v>348</v>
      </c>
      <c r="I4" s="305" t="s">
        <v>349</v>
      </c>
    </row>
    <row r="5" spans="1:14" ht="19.149999999999999" customHeight="1">
      <c r="A5" s="306" t="s">
        <v>350</v>
      </c>
      <c r="B5" s="306" t="s">
        <v>351</v>
      </c>
      <c r="C5" s="306" t="s">
        <v>352</v>
      </c>
      <c r="D5" s="306" t="s">
        <v>353</v>
      </c>
      <c r="E5" s="307" t="s">
        <v>354</v>
      </c>
      <c r="F5" s="307" t="s">
        <v>355</v>
      </c>
      <c r="G5" s="307" t="s">
        <v>347</v>
      </c>
      <c r="H5" s="307" t="s">
        <v>348</v>
      </c>
      <c r="I5" s="307" t="s">
        <v>356</v>
      </c>
      <c r="J5" s="306" t="s">
        <v>357</v>
      </c>
    </row>
    <row r="6" spans="1:14">
      <c r="A6" s="308">
        <v>1</v>
      </c>
      <c r="B6" s="309">
        <v>1000001497</v>
      </c>
      <c r="C6" s="310" t="s">
        <v>358</v>
      </c>
      <c r="D6" s="310" t="s">
        <v>359</v>
      </c>
      <c r="E6" s="311">
        <v>0</v>
      </c>
      <c r="F6" s="311">
        <f t="shared" ref="F6:F65" si="0">+H6-E6</f>
        <v>32760000</v>
      </c>
      <c r="G6" s="311">
        <f>+H6*18%</f>
        <v>5896800</v>
      </c>
      <c r="H6" s="311">
        <v>32760000</v>
      </c>
      <c r="I6" s="312">
        <f t="shared" ref="I6:I66" si="1">+G6/H6%</f>
        <v>18</v>
      </c>
      <c r="J6" s="308" t="s">
        <v>360</v>
      </c>
      <c r="N6" s="302" t="s">
        <v>361</v>
      </c>
    </row>
    <row r="7" spans="1:14">
      <c r="A7" s="308">
        <f t="shared" ref="A7:A65" si="2">+A6+1</f>
        <v>2</v>
      </c>
      <c r="B7" s="308">
        <v>1000001492</v>
      </c>
      <c r="C7" s="310" t="s">
        <v>362</v>
      </c>
      <c r="D7" s="310" t="s">
        <v>363</v>
      </c>
      <c r="E7" s="311">
        <v>2701669</v>
      </c>
      <c r="F7" s="311">
        <f t="shared" si="0"/>
        <v>14077095</v>
      </c>
      <c r="G7" s="311">
        <v>2984177.52</v>
      </c>
      <c r="H7" s="311">
        <f>16578764+200000</f>
        <v>16778764</v>
      </c>
      <c r="I7" s="312">
        <f t="shared" si="1"/>
        <v>17.785443075544777</v>
      </c>
      <c r="J7" s="308" t="s">
        <v>360</v>
      </c>
      <c r="N7" s="302" t="s">
        <v>361</v>
      </c>
    </row>
    <row r="8" spans="1:14">
      <c r="A8" s="308">
        <f t="shared" si="2"/>
        <v>3</v>
      </c>
      <c r="B8" s="309">
        <v>1000000147</v>
      </c>
      <c r="C8" s="310" t="s">
        <v>364</v>
      </c>
      <c r="D8" s="310" t="s">
        <v>365</v>
      </c>
      <c r="E8" s="311">
        <v>0</v>
      </c>
      <c r="F8" s="311">
        <f t="shared" si="0"/>
        <v>16236000</v>
      </c>
      <c r="G8" s="311">
        <f t="shared" ref="G8:G13" si="3">+H8*18%</f>
        <v>2922480</v>
      </c>
      <c r="H8" s="311">
        <f>16236000</f>
        <v>16236000</v>
      </c>
      <c r="I8" s="312">
        <f t="shared" si="1"/>
        <v>18</v>
      </c>
      <c r="J8" s="308" t="s">
        <v>360</v>
      </c>
      <c r="N8" s="302" t="s">
        <v>361</v>
      </c>
    </row>
    <row r="9" spans="1:14">
      <c r="A9" s="308">
        <f t="shared" si="2"/>
        <v>4</v>
      </c>
      <c r="B9" s="309">
        <v>1000001468</v>
      </c>
      <c r="C9" s="308" t="s">
        <v>366</v>
      </c>
      <c r="D9" s="313" t="s">
        <v>367</v>
      </c>
      <c r="E9" s="311">
        <v>0</v>
      </c>
      <c r="F9" s="311">
        <f t="shared" si="0"/>
        <v>14692000</v>
      </c>
      <c r="G9" s="314">
        <f t="shared" si="3"/>
        <v>2644560</v>
      </c>
      <c r="H9" s="314">
        <v>14692000</v>
      </c>
      <c r="I9" s="312">
        <f t="shared" si="1"/>
        <v>18</v>
      </c>
      <c r="J9" s="308" t="s">
        <v>360</v>
      </c>
      <c r="N9" s="302" t="s">
        <v>361</v>
      </c>
    </row>
    <row r="10" spans="1:14">
      <c r="A10" s="308">
        <f t="shared" si="2"/>
        <v>5</v>
      </c>
      <c r="B10" s="309">
        <v>1000001669</v>
      </c>
      <c r="C10" s="310" t="s">
        <v>368</v>
      </c>
      <c r="D10" s="310" t="s">
        <v>74</v>
      </c>
      <c r="E10" s="311">
        <v>0</v>
      </c>
      <c r="F10" s="311">
        <f t="shared" si="0"/>
        <v>4475000</v>
      </c>
      <c r="G10" s="311">
        <f t="shared" si="3"/>
        <v>805500</v>
      </c>
      <c r="H10" s="311">
        <v>4475000</v>
      </c>
      <c r="I10" s="312">
        <f t="shared" si="1"/>
        <v>18</v>
      </c>
      <c r="J10" s="308" t="s">
        <v>360</v>
      </c>
      <c r="N10" s="302" t="s">
        <v>361</v>
      </c>
    </row>
    <row r="11" spans="1:14">
      <c r="A11" s="308">
        <f t="shared" si="2"/>
        <v>6</v>
      </c>
      <c r="B11" s="309">
        <v>1000001467</v>
      </c>
      <c r="C11" s="308" t="s">
        <v>369</v>
      </c>
      <c r="D11" s="308" t="s">
        <v>370</v>
      </c>
      <c r="E11" s="311">
        <v>0</v>
      </c>
      <c r="F11" s="311">
        <f t="shared" si="0"/>
        <v>3167697</v>
      </c>
      <c r="G11" s="311">
        <f t="shared" si="3"/>
        <v>570185.46</v>
      </c>
      <c r="H11" s="311">
        <f>3112697+55000</f>
        <v>3167697</v>
      </c>
      <c r="I11" s="312">
        <f t="shared" si="1"/>
        <v>17.999999999999996</v>
      </c>
      <c r="J11" s="308" t="s">
        <v>360</v>
      </c>
      <c r="N11" s="302" t="s">
        <v>361</v>
      </c>
    </row>
    <row r="12" spans="1:14">
      <c r="A12" s="308">
        <f t="shared" si="2"/>
        <v>7</v>
      </c>
      <c r="B12" s="308">
        <v>1000001748</v>
      </c>
      <c r="C12" s="308" t="s">
        <v>371</v>
      </c>
      <c r="D12" s="308" t="s">
        <v>372</v>
      </c>
      <c r="E12" s="311">
        <v>0</v>
      </c>
      <c r="F12" s="311">
        <f t="shared" si="0"/>
        <v>2340000</v>
      </c>
      <c r="G12" s="311">
        <f t="shared" si="3"/>
        <v>421200</v>
      </c>
      <c r="H12" s="311">
        <v>2340000</v>
      </c>
      <c r="I12" s="312">
        <f t="shared" si="1"/>
        <v>18</v>
      </c>
      <c r="J12" s="308" t="s">
        <v>360</v>
      </c>
      <c r="N12" s="302" t="s">
        <v>361</v>
      </c>
    </row>
    <row r="13" spans="1:14">
      <c r="A13" s="308">
        <f t="shared" si="2"/>
        <v>8</v>
      </c>
      <c r="B13" s="309">
        <v>1000002216</v>
      </c>
      <c r="C13" s="315" t="s">
        <v>373</v>
      </c>
      <c r="D13" s="308" t="s">
        <v>374</v>
      </c>
      <c r="E13" s="311">
        <v>0</v>
      </c>
      <c r="F13" s="311">
        <f t="shared" si="0"/>
        <v>1949944</v>
      </c>
      <c r="G13" s="311">
        <f t="shared" si="3"/>
        <v>350989.92</v>
      </c>
      <c r="H13" s="316">
        <v>1949944</v>
      </c>
      <c r="I13" s="312">
        <f t="shared" si="1"/>
        <v>18</v>
      </c>
      <c r="J13" s="308" t="s">
        <v>360</v>
      </c>
      <c r="N13" s="302" t="s">
        <v>361</v>
      </c>
    </row>
    <row r="14" spans="1:14">
      <c r="A14" s="308">
        <f t="shared" si="2"/>
        <v>9</v>
      </c>
      <c r="B14" s="309">
        <v>1000001738</v>
      </c>
      <c r="C14" s="308" t="s">
        <v>375</v>
      </c>
      <c r="D14" s="308" t="s">
        <v>376</v>
      </c>
      <c r="E14" s="311">
        <v>0</v>
      </c>
      <c r="F14" s="311">
        <f t="shared" si="0"/>
        <v>1850000</v>
      </c>
      <c r="G14" s="311">
        <f>153199+153199</f>
        <v>306398</v>
      </c>
      <c r="H14" s="311">
        <v>1850000</v>
      </c>
      <c r="I14" s="312">
        <f t="shared" si="1"/>
        <v>16.562054054054055</v>
      </c>
      <c r="J14" s="308" t="s">
        <v>360</v>
      </c>
      <c r="N14" s="302" t="s">
        <v>361</v>
      </c>
    </row>
    <row r="15" spans="1:14">
      <c r="A15" s="308">
        <f t="shared" si="2"/>
        <v>10</v>
      </c>
      <c r="B15" s="309">
        <v>1000002299</v>
      </c>
      <c r="C15" s="308" t="s">
        <v>377</v>
      </c>
      <c r="D15" s="308" t="s">
        <v>378</v>
      </c>
      <c r="E15" s="311">
        <v>0</v>
      </c>
      <c r="F15" s="311">
        <f t="shared" si="0"/>
        <v>1598000</v>
      </c>
      <c r="G15" s="311">
        <f>+H15*18%</f>
        <v>287640</v>
      </c>
      <c r="H15" s="311">
        <v>1598000</v>
      </c>
      <c r="I15" s="312">
        <f t="shared" si="1"/>
        <v>18</v>
      </c>
      <c r="J15" s="308" t="s">
        <v>360</v>
      </c>
      <c r="N15" s="302" t="s">
        <v>361</v>
      </c>
    </row>
    <row r="16" spans="1:14">
      <c r="A16" s="308">
        <f t="shared" si="2"/>
        <v>11</v>
      </c>
      <c r="B16" s="309">
        <v>1000000474</v>
      </c>
      <c r="C16" s="308" t="s">
        <v>379</v>
      </c>
      <c r="D16" s="308" t="s">
        <v>380</v>
      </c>
      <c r="E16" s="311">
        <v>0</v>
      </c>
      <c r="F16" s="311">
        <f t="shared" si="0"/>
        <v>1328000</v>
      </c>
      <c r="G16" s="311">
        <f>+H16*18%</f>
        <v>239040</v>
      </c>
      <c r="H16" s="311">
        <v>1328000</v>
      </c>
      <c r="I16" s="312">
        <f t="shared" si="1"/>
        <v>18</v>
      </c>
      <c r="J16" s="308" t="s">
        <v>360</v>
      </c>
      <c r="N16" s="302" t="s">
        <v>361</v>
      </c>
    </row>
    <row r="17" spans="1:14">
      <c r="A17" s="308">
        <f t="shared" si="2"/>
        <v>12</v>
      </c>
      <c r="B17" s="309">
        <v>1000002267</v>
      </c>
      <c r="C17" s="315" t="s">
        <v>381</v>
      </c>
      <c r="D17" s="308" t="s">
        <v>382</v>
      </c>
      <c r="E17" s="311">
        <v>0</v>
      </c>
      <c r="F17" s="311">
        <f t="shared" si="0"/>
        <v>1290513</v>
      </c>
      <c r="G17" s="311">
        <f>+H17*18%-0.34</f>
        <v>232292</v>
      </c>
      <c r="H17" s="317">
        <v>1290513</v>
      </c>
      <c r="I17" s="312">
        <f t="shared" si="1"/>
        <v>17.999973653888027</v>
      </c>
      <c r="J17" s="308" t="s">
        <v>360</v>
      </c>
      <c r="N17" s="302" t="s">
        <v>361</v>
      </c>
    </row>
    <row r="18" spans="1:14">
      <c r="A18" s="308">
        <f t="shared" si="2"/>
        <v>13</v>
      </c>
      <c r="B18" s="309">
        <v>1000000299</v>
      </c>
      <c r="C18" s="308" t="s">
        <v>383</v>
      </c>
      <c r="D18" s="308" t="s">
        <v>384</v>
      </c>
      <c r="E18" s="311">
        <v>0</v>
      </c>
      <c r="F18" s="311">
        <f t="shared" si="0"/>
        <v>1700000</v>
      </c>
      <c r="G18" s="311">
        <f>+H18*18%</f>
        <v>306000</v>
      </c>
      <c r="H18" s="311">
        <v>1700000</v>
      </c>
      <c r="I18" s="312">
        <f t="shared" si="1"/>
        <v>18</v>
      </c>
      <c r="J18" s="308" t="s">
        <v>360</v>
      </c>
      <c r="N18" s="302" t="s">
        <v>361</v>
      </c>
    </row>
    <row r="19" spans="1:14">
      <c r="A19" s="308">
        <f t="shared" si="2"/>
        <v>14</v>
      </c>
      <c r="B19" s="309">
        <v>1000000021</v>
      </c>
      <c r="C19" s="308" t="s">
        <v>385</v>
      </c>
      <c r="D19" s="308" t="s">
        <v>386</v>
      </c>
      <c r="E19" s="311">
        <v>1314860</v>
      </c>
      <c r="F19" s="311">
        <f t="shared" si="0"/>
        <v>642216.27118644002</v>
      </c>
      <c r="G19" s="311">
        <f>+H19*18%</f>
        <v>352273.72881355917</v>
      </c>
      <c r="H19" s="317">
        <v>1957076.27118644</v>
      </c>
      <c r="I19" s="312">
        <f t="shared" si="1"/>
        <v>17.999999999999996</v>
      </c>
      <c r="J19" s="308" t="s">
        <v>360</v>
      </c>
      <c r="N19" s="302" t="s">
        <v>361</v>
      </c>
    </row>
    <row r="20" spans="1:14">
      <c r="A20" s="308">
        <f t="shared" si="2"/>
        <v>15</v>
      </c>
      <c r="B20" s="309">
        <v>1000000277</v>
      </c>
      <c r="C20" s="315" t="s">
        <v>387</v>
      </c>
      <c r="D20" s="308" t="s">
        <v>388</v>
      </c>
      <c r="E20" s="311">
        <v>40820</v>
      </c>
      <c r="F20" s="311">
        <f t="shared" si="0"/>
        <v>353092</v>
      </c>
      <c r="G20" s="311">
        <f>+H20*18%</f>
        <v>70904.160000000003</v>
      </c>
      <c r="H20" s="317">
        <v>393912</v>
      </c>
      <c r="I20" s="312">
        <f t="shared" si="1"/>
        <v>18</v>
      </c>
      <c r="J20" s="308" t="s">
        <v>360</v>
      </c>
    </row>
    <row r="21" spans="1:14">
      <c r="A21" s="308">
        <f t="shared" si="2"/>
        <v>16</v>
      </c>
      <c r="B21" s="309">
        <v>1000001700</v>
      </c>
      <c r="C21" s="315" t="s">
        <v>389</v>
      </c>
      <c r="D21" s="308" t="s">
        <v>390</v>
      </c>
      <c r="E21" s="311">
        <v>105042.93</v>
      </c>
      <c r="F21" s="311">
        <f t="shared" si="0"/>
        <v>830089.07000000007</v>
      </c>
      <c r="G21" s="311">
        <f>+H21*18%+0.24</f>
        <v>168323.99999999997</v>
      </c>
      <c r="H21" s="317">
        <v>935132</v>
      </c>
      <c r="I21" s="312">
        <f t="shared" si="1"/>
        <v>18.000025664825927</v>
      </c>
      <c r="J21" s="308" t="s">
        <v>360</v>
      </c>
      <c r="N21" s="302" t="s">
        <v>361</v>
      </c>
    </row>
    <row r="22" spans="1:14">
      <c r="A22" s="308">
        <f t="shared" si="2"/>
        <v>17</v>
      </c>
      <c r="B22" s="309">
        <v>1000000194</v>
      </c>
      <c r="C22" s="315" t="s">
        <v>391</v>
      </c>
      <c r="D22" s="308" t="s">
        <v>392</v>
      </c>
      <c r="E22" s="311">
        <v>0</v>
      </c>
      <c r="F22" s="311">
        <f t="shared" si="0"/>
        <v>238053.6</v>
      </c>
      <c r="G22" s="311">
        <f t="shared" ref="G22:G36" si="4">+H22*18%</f>
        <v>42849.648000000001</v>
      </c>
      <c r="H22" s="317">
        <v>238053.6</v>
      </c>
      <c r="I22" s="312">
        <f t="shared" si="1"/>
        <v>18</v>
      </c>
      <c r="J22" s="308" t="s">
        <v>360</v>
      </c>
    </row>
    <row r="23" spans="1:14">
      <c r="A23" s="308">
        <f t="shared" si="2"/>
        <v>18</v>
      </c>
      <c r="B23" s="309">
        <v>1000002407</v>
      </c>
      <c r="C23" s="315" t="s">
        <v>393</v>
      </c>
      <c r="D23" s="308" t="s">
        <v>394</v>
      </c>
      <c r="E23" s="311">
        <v>0</v>
      </c>
      <c r="F23" s="311">
        <f t="shared" si="0"/>
        <v>167040</v>
      </c>
      <c r="G23" s="311">
        <f t="shared" si="4"/>
        <v>30067.199999999997</v>
      </c>
      <c r="H23" s="317">
        <v>167040</v>
      </c>
      <c r="I23" s="312">
        <f t="shared" si="1"/>
        <v>17.999999999999996</v>
      </c>
      <c r="J23" s="308" t="s">
        <v>360</v>
      </c>
    </row>
    <row r="24" spans="1:14">
      <c r="A24" s="308">
        <f t="shared" si="2"/>
        <v>19</v>
      </c>
      <c r="B24" s="309">
        <v>1000002064</v>
      </c>
      <c r="C24" s="315" t="s">
        <v>395</v>
      </c>
      <c r="D24" s="308" t="s">
        <v>396</v>
      </c>
      <c r="E24" s="311">
        <v>197182</v>
      </c>
      <c r="F24" s="311">
        <f t="shared" si="0"/>
        <v>171608</v>
      </c>
      <c r="G24" s="311">
        <f t="shared" si="4"/>
        <v>66382.2</v>
      </c>
      <c r="H24" s="317">
        <v>368790</v>
      </c>
      <c r="I24" s="312">
        <f t="shared" si="1"/>
        <v>18</v>
      </c>
      <c r="J24" s="308" t="s">
        <v>360</v>
      </c>
      <c r="L24" s="302" t="s">
        <v>21</v>
      </c>
    </row>
    <row r="25" spans="1:14">
      <c r="A25" s="308">
        <f t="shared" si="2"/>
        <v>20</v>
      </c>
      <c r="B25" s="309">
        <v>1000000570</v>
      </c>
      <c r="C25" s="315" t="s">
        <v>397</v>
      </c>
      <c r="D25" s="308" t="s">
        <v>398</v>
      </c>
      <c r="E25" s="311">
        <v>19180</v>
      </c>
      <c r="F25" s="311">
        <f t="shared" si="0"/>
        <v>104620</v>
      </c>
      <c r="G25" s="311">
        <f t="shared" si="4"/>
        <v>22284</v>
      </c>
      <c r="H25" s="317">
        <v>123800</v>
      </c>
      <c r="I25" s="312">
        <f t="shared" si="1"/>
        <v>18</v>
      </c>
      <c r="J25" s="308" t="s">
        <v>360</v>
      </c>
    </row>
    <row r="26" spans="1:14">
      <c r="A26" s="308">
        <f t="shared" si="2"/>
        <v>21</v>
      </c>
      <c r="B26" s="309">
        <v>1000000101</v>
      </c>
      <c r="C26" s="315" t="s">
        <v>399</v>
      </c>
      <c r="D26" s="308" t="s">
        <v>400</v>
      </c>
      <c r="E26" s="311">
        <v>0</v>
      </c>
      <c r="F26" s="311">
        <f t="shared" si="0"/>
        <v>123795</v>
      </c>
      <c r="G26" s="311">
        <f t="shared" si="4"/>
        <v>22283.1</v>
      </c>
      <c r="H26" s="317">
        <v>123795</v>
      </c>
      <c r="I26" s="312">
        <f t="shared" si="1"/>
        <v>17.999999999999996</v>
      </c>
      <c r="J26" s="308" t="s">
        <v>360</v>
      </c>
      <c r="L26" s="302" t="s">
        <v>21</v>
      </c>
    </row>
    <row r="27" spans="1:14">
      <c r="A27" s="308">
        <f t="shared" si="2"/>
        <v>22</v>
      </c>
      <c r="B27" s="309">
        <v>1000000504</v>
      </c>
      <c r="C27" s="315" t="s">
        <v>401</v>
      </c>
      <c r="D27" s="308" t="s">
        <v>402</v>
      </c>
      <c r="E27" s="311">
        <v>0</v>
      </c>
      <c r="F27" s="311">
        <f t="shared" si="0"/>
        <v>90200</v>
      </c>
      <c r="G27" s="311">
        <f t="shared" si="4"/>
        <v>16236</v>
      </c>
      <c r="H27" s="317">
        <v>90200</v>
      </c>
      <c r="I27" s="312">
        <f t="shared" si="1"/>
        <v>18</v>
      </c>
      <c r="J27" s="308" t="s">
        <v>360</v>
      </c>
    </row>
    <row r="28" spans="1:14">
      <c r="A28" s="308">
        <f t="shared" si="2"/>
        <v>23</v>
      </c>
      <c r="B28" s="309">
        <v>1000000100</v>
      </c>
      <c r="C28" s="315" t="s">
        <v>403</v>
      </c>
      <c r="D28" s="308" t="s">
        <v>404</v>
      </c>
      <c r="E28" s="311">
        <v>0</v>
      </c>
      <c r="F28" s="311">
        <f t="shared" si="0"/>
        <v>78120</v>
      </c>
      <c r="G28" s="311">
        <f t="shared" si="4"/>
        <v>14061.6</v>
      </c>
      <c r="H28" s="317">
        <v>78120</v>
      </c>
      <c r="I28" s="312">
        <f t="shared" si="1"/>
        <v>18</v>
      </c>
      <c r="J28" s="308" t="s">
        <v>360</v>
      </c>
    </row>
    <row r="29" spans="1:14">
      <c r="A29" s="308">
        <f t="shared" si="2"/>
        <v>24</v>
      </c>
      <c r="B29" s="309">
        <v>1000002213</v>
      </c>
      <c r="C29" s="315" t="s">
        <v>405</v>
      </c>
      <c r="D29" s="308" t="s">
        <v>406</v>
      </c>
      <c r="E29" s="311">
        <v>0</v>
      </c>
      <c r="F29" s="311">
        <f t="shared" si="0"/>
        <v>45275</v>
      </c>
      <c r="G29" s="311">
        <f t="shared" si="4"/>
        <v>8149.5</v>
      </c>
      <c r="H29" s="317">
        <v>45275</v>
      </c>
      <c r="I29" s="312">
        <f t="shared" si="1"/>
        <v>18</v>
      </c>
      <c r="J29" s="308" t="s">
        <v>360</v>
      </c>
    </row>
    <row r="30" spans="1:14">
      <c r="A30" s="308">
        <f t="shared" si="2"/>
        <v>25</v>
      </c>
      <c r="B30" s="309">
        <v>1000000718</v>
      </c>
      <c r="C30" s="315" t="s">
        <v>407</v>
      </c>
      <c r="D30" s="308" t="s">
        <v>408</v>
      </c>
      <c r="E30" s="311">
        <v>0</v>
      </c>
      <c r="F30" s="311">
        <f t="shared" si="0"/>
        <v>73325</v>
      </c>
      <c r="G30" s="311">
        <f t="shared" si="4"/>
        <v>13198.5</v>
      </c>
      <c r="H30" s="317">
        <f>73325</f>
        <v>73325</v>
      </c>
      <c r="I30" s="312">
        <f t="shared" si="1"/>
        <v>18</v>
      </c>
      <c r="J30" s="308" t="s">
        <v>360</v>
      </c>
    </row>
    <row r="31" spans="1:14">
      <c r="A31" s="308">
        <f t="shared" si="2"/>
        <v>26</v>
      </c>
      <c r="B31" s="309">
        <v>1000000289</v>
      </c>
      <c r="C31" s="315" t="s">
        <v>409</v>
      </c>
      <c r="D31" s="308" t="s">
        <v>410</v>
      </c>
      <c r="E31" s="311">
        <v>0</v>
      </c>
      <c r="F31" s="311">
        <f t="shared" si="0"/>
        <v>60263.4</v>
      </c>
      <c r="G31" s="311">
        <f t="shared" si="4"/>
        <v>10847.412</v>
      </c>
      <c r="H31" s="317">
        <f>37745+22518.4</f>
        <v>60263.4</v>
      </c>
      <c r="I31" s="312">
        <f t="shared" si="1"/>
        <v>18</v>
      </c>
      <c r="J31" s="308" t="s">
        <v>360</v>
      </c>
    </row>
    <row r="32" spans="1:14">
      <c r="A32" s="308">
        <f t="shared" si="2"/>
        <v>27</v>
      </c>
      <c r="B32" s="309">
        <v>1000000585</v>
      </c>
      <c r="C32" s="315" t="s">
        <v>411</v>
      </c>
      <c r="D32" s="308" t="s">
        <v>412</v>
      </c>
      <c r="E32" s="311">
        <v>45000</v>
      </c>
      <c r="F32" s="311">
        <f t="shared" si="0"/>
        <v>0</v>
      </c>
      <c r="G32" s="311">
        <f t="shared" si="4"/>
        <v>8100</v>
      </c>
      <c r="H32" s="317">
        <v>45000</v>
      </c>
      <c r="I32" s="312">
        <f t="shared" si="1"/>
        <v>18</v>
      </c>
      <c r="J32" s="308" t="s">
        <v>360</v>
      </c>
    </row>
    <row r="33" spans="1:14">
      <c r="A33" s="308">
        <f t="shared" si="2"/>
        <v>28</v>
      </c>
      <c r="B33" s="309">
        <v>1000001478</v>
      </c>
      <c r="C33" s="315" t="s">
        <v>413</v>
      </c>
      <c r="D33" s="308" t="s">
        <v>414</v>
      </c>
      <c r="E33" s="311">
        <v>6600</v>
      </c>
      <c r="F33" s="311">
        <f t="shared" si="0"/>
        <v>34597</v>
      </c>
      <c r="G33" s="318">
        <f t="shared" si="4"/>
        <v>7415.46</v>
      </c>
      <c r="H33" s="317">
        <v>41197</v>
      </c>
      <c r="I33" s="312">
        <f t="shared" si="1"/>
        <v>18</v>
      </c>
      <c r="J33" s="308" t="s">
        <v>360</v>
      </c>
    </row>
    <row r="34" spans="1:14">
      <c r="A34" s="308">
        <f t="shared" si="2"/>
        <v>29</v>
      </c>
      <c r="B34" s="309">
        <v>1000000509</v>
      </c>
      <c r="C34" s="315" t="s">
        <v>415</v>
      </c>
      <c r="D34" s="308" t="s">
        <v>416</v>
      </c>
      <c r="E34" s="311">
        <v>0</v>
      </c>
      <c r="F34" s="311">
        <f t="shared" si="0"/>
        <v>8515</v>
      </c>
      <c r="G34" s="311">
        <f t="shared" si="4"/>
        <v>1532.7</v>
      </c>
      <c r="H34" s="317">
        <v>8515</v>
      </c>
      <c r="I34" s="312">
        <f t="shared" si="1"/>
        <v>18</v>
      </c>
      <c r="J34" s="308" t="s">
        <v>360</v>
      </c>
    </row>
    <row r="35" spans="1:14">
      <c r="A35" s="308">
        <f t="shared" si="2"/>
        <v>30</v>
      </c>
      <c r="B35" s="309">
        <v>1000000234</v>
      </c>
      <c r="C35" s="315" t="s">
        <v>417</v>
      </c>
      <c r="D35" s="308" t="s">
        <v>418</v>
      </c>
      <c r="E35" s="311">
        <v>16759.8</v>
      </c>
      <c r="F35" s="311">
        <f t="shared" si="0"/>
        <v>22337.200000000001</v>
      </c>
      <c r="G35" s="311">
        <f t="shared" si="4"/>
        <v>7037.46</v>
      </c>
      <c r="H35" s="317">
        <v>39097</v>
      </c>
      <c r="I35" s="312">
        <f t="shared" si="1"/>
        <v>18</v>
      </c>
      <c r="J35" s="308" t="s">
        <v>360</v>
      </c>
    </row>
    <row r="36" spans="1:14">
      <c r="A36" s="319">
        <f t="shared" si="2"/>
        <v>31</v>
      </c>
      <c r="B36" s="315">
        <v>1000000095</v>
      </c>
      <c r="C36" s="315" t="s">
        <v>419</v>
      </c>
      <c r="D36" s="319" t="s">
        <v>420</v>
      </c>
      <c r="E36" s="311">
        <v>8500</v>
      </c>
      <c r="F36" s="311">
        <f t="shared" si="0"/>
        <v>27608</v>
      </c>
      <c r="G36" s="320">
        <f t="shared" si="4"/>
        <v>6499.44</v>
      </c>
      <c r="H36" s="317">
        <v>36108</v>
      </c>
      <c r="I36" s="312">
        <f t="shared" si="1"/>
        <v>18</v>
      </c>
      <c r="J36" s="308" t="s">
        <v>360</v>
      </c>
    </row>
    <row r="37" spans="1:14">
      <c r="A37" s="308">
        <f t="shared" si="2"/>
        <v>32</v>
      </c>
      <c r="B37" s="309">
        <v>1000000620</v>
      </c>
      <c r="C37" s="315" t="s">
        <v>421</v>
      </c>
      <c r="D37" s="308" t="s">
        <v>422</v>
      </c>
      <c r="E37" s="311">
        <v>4520</v>
      </c>
      <c r="F37" s="311">
        <f t="shared" si="0"/>
        <v>63662</v>
      </c>
      <c r="G37" s="311">
        <f>+H37*18%+0.24</f>
        <v>12273</v>
      </c>
      <c r="H37" s="317">
        <v>68182</v>
      </c>
      <c r="I37" s="312">
        <f t="shared" si="1"/>
        <v>18.000351999061333</v>
      </c>
      <c r="J37" s="308" t="s">
        <v>360</v>
      </c>
    </row>
    <row r="38" spans="1:14">
      <c r="A38" s="308">
        <f t="shared" si="2"/>
        <v>33</v>
      </c>
      <c r="B38" s="309">
        <v>1000000325</v>
      </c>
      <c r="C38" s="315" t="s">
        <v>423</v>
      </c>
      <c r="D38" s="308" t="s">
        <v>424</v>
      </c>
      <c r="E38" s="311">
        <v>0</v>
      </c>
      <c r="F38" s="311">
        <f t="shared" si="0"/>
        <v>2879</v>
      </c>
      <c r="G38" s="311">
        <f>+H38*18%</f>
        <v>518.22</v>
      </c>
      <c r="H38" s="317">
        <v>2879</v>
      </c>
      <c r="I38" s="312">
        <f t="shared" si="1"/>
        <v>18</v>
      </c>
      <c r="J38" s="308" t="s">
        <v>360</v>
      </c>
    </row>
    <row r="39" spans="1:14">
      <c r="A39" s="308">
        <f t="shared" si="2"/>
        <v>34</v>
      </c>
      <c r="B39" s="321">
        <v>1000000141</v>
      </c>
      <c r="C39" s="321" t="s">
        <v>425</v>
      </c>
      <c r="D39" s="308" t="s">
        <v>426</v>
      </c>
      <c r="E39" s="311">
        <v>0</v>
      </c>
      <c r="F39" s="311">
        <f t="shared" si="0"/>
        <v>1658300</v>
      </c>
      <c r="G39" s="311">
        <f>+H39*18%</f>
        <v>298494</v>
      </c>
      <c r="H39" s="317">
        <f>1610000+48300</f>
        <v>1658300</v>
      </c>
      <c r="I39" s="312">
        <f t="shared" si="1"/>
        <v>18</v>
      </c>
      <c r="J39" s="308" t="s">
        <v>360</v>
      </c>
      <c r="N39" s="302" t="s">
        <v>361</v>
      </c>
    </row>
    <row r="40" spans="1:14">
      <c r="A40" s="308">
        <f t="shared" si="2"/>
        <v>35</v>
      </c>
      <c r="B40" s="322">
        <v>1000000063</v>
      </c>
      <c r="C40" s="322" t="s">
        <v>427</v>
      </c>
      <c r="D40" s="308" t="s">
        <v>428</v>
      </c>
      <c r="E40" s="311">
        <v>0</v>
      </c>
      <c r="F40" s="311">
        <f t="shared" si="0"/>
        <v>500000</v>
      </c>
      <c r="G40" s="311">
        <f>+H40*18%</f>
        <v>90000</v>
      </c>
      <c r="H40" s="317">
        <v>500000</v>
      </c>
      <c r="I40" s="312">
        <f t="shared" si="1"/>
        <v>18</v>
      </c>
      <c r="J40" s="308" t="s">
        <v>360</v>
      </c>
      <c r="N40" s="302" t="s">
        <v>361</v>
      </c>
    </row>
    <row r="41" spans="1:14">
      <c r="A41" s="308">
        <f t="shared" si="2"/>
        <v>36</v>
      </c>
      <c r="B41" s="322">
        <v>1000000114</v>
      </c>
      <c r="C41" s="322" t="s">
        <v>429</v>
      </c>
      <c r="D41" s="308" t="s">
        <v>430</v>
      </c>
      <c r="E41" s="311">
        <v>51406.26</v>
      </c>
      <c r="F41" s="311">
        <f t="shared" si="0"/>
        <v>127898.73999999999</v>
      </c>
      <c r="G41" s="311">
        <f>+H41*18%</f>
        <v>32274.899999999998</v>
      </c>
      <c r="H41" s="317">
        <v>179305</v>
      </c>
      <c r="I41" s="312">
        <f t="shared" si="1"/>
        <v>18</v>
      </c>
      <c r="J41" s="308" t="s">
        <v>360</v>
      </c>
      <c r="L41" s="302" t="s">
        <v>21</v>
      </c>
      <c r="N41" s="302" t="s">
        <v>361</v>
      </c>
    </row>
    <row r="42" spans="1:14">
      <c r="A42" s="308">
        <f t="shared" si="2"/>
        <v>37</v>
      </c>
      <c r="B42" s="322">
        <v>1000000384</v>
      </c>
      <c r="C42" s="322" t="s">
        <v>431</v>
      </c>
      <c r="D42" s="308" t="s">
        <v>432</v>
      </c>
      <c r="E42" s="311">
        <v>0</v>
      </c>
      <c r="F42" s="311">
        <f t="shared" si="0"/>
        <v>28161</v>
      </c>
      <c r="G42" s="311">
        <f>2614.95*2</f>
        <v>5229.8999999999996</v>
      </c>
      <c r="H42" s="317">
        <v>28161</v>
      </c>
      <c r="I42" s="312">
        <f t="shared" si="1"/>
        <v>18.571428571428569</v>
      </c>
      <c r="J42" s="308" t="s">
        <v>360</v>
      </c>
    </row>
    <row r="43" spans="1:14">
      <c r="A43" s="308">
        <f t="shared" si="2"/>
        <v>38</v>
      </c>
      <c r="B43" s="322">
        <v>1000000392</v>
      </c>
      <c r="C43" s="322" t="s">
        <v>433</v>
      </c>
      <c r="D43" s="308" t="s">
        <v>434</v>
      </c>
      <c r="E43" s="311">
        <v>0</v>
      </c>
      <c r="F43" s="311">
        <f t="shared" si="0"/>
        <v>380000</v>
      </c>
      <c r="G43" s="311">
        <f>+H43*18%</f>
        <v>68400</v>
      </c>
      <c r="H43" s="317">
        <v>380000</v>
      </c>
      <c r="I43" s="312">
        <f t="shared" si="1"/>
        <v>18</v>
      </c>
      <c r="J43" s="308" t="s">
        <v>360</v>
      </c>
      <c r="N43" s="302" t="s">
        <v>361</v>
      </c>
    </row>
    <row r="44" spans="1:14">
      <c r="A44" s="308">
        <f t="shared" si="2"/>
        <v>39</v>
      </c>
      <c r="B44" s="322">
        <v>1000000533</v>
      </c>
      <c r="C44" s="322" t="s">
        <v>435</v>
      </c>
      <c r="D44" s="308" t="s">
        <v>436</v>
      </c>
      <c r="E44" s="311">
        <v>184300</v>
      </c>
      <c r="F44" s="311">
        <f t="shared" si="0"/>
        <v>32250</v>
      </c>
      <c r="G44" s="311">
        <f>+H44*18%</f>
        <v>38979</v>
      </c>
      <c r="H44" s="317">
        <f>26600+189950</f>
        <v>216550</v>
      </c>
      <c r="I44" s="312">
        <f t="shared" si="1"/>
        <v>18</v>
      </c>
      <c r="J44" s="308" t="s">
        <v>360</v>
      </c>
    </row>
    <row r="45" spans="1:14">
      <c r="A45" s="308">
        <f t="shared" si="2"/>
        <v>40</v>
      </c>
      <c r="B45" s="323">
        <v>1000000562</v>
      </c>
      <c r="C45" s="323" t="s">
        <v>437</v>
      </c>
      <c r="D45" s="324" t="s">
        <v>438</v>
      </c>
      <c r="E45" s="311">
        <v>726857.32</v>
      </c>
      <c r="F45" s="311">
        <f t="shared" si="0"/>
        <v>1232152.6800000002</v>
      </c>
      <c r="G45" s="325">
        <f>+H45*18%</f>
        <v>352621.8</v>
      </c>
      <c r="H45" s="326">
        <v>1959010</v>
      </c>
      <c r="I45" s="312">
        <f t="shared" si="1"/>
        <v>18</v>
      </c>
      <c r="J45" s="308" t="s">
        <v>360</v>
      </c>
    </row>
    <row r="46" spans="1:14">
      <c r="A46" s="308">
        <f t="shared" si="2"/>
        <v>41</v>
      </c>
      <c r="B46" s="322">
        <v>1000000568</v>
      </c>
      <c r="C46" s="322" t="s">
        <v>439</v>
      </c>
      <c r="D46" s="310" t="s">
        <v>440</v>
      </c>
      <c r="E46" s="311">
        <v>0</v>
      </c>
      <c r="F46" s="311">
        <f t="shared" si="0"/>
        <v>108330.5</v>
      </c>
      <c r="G46" s="311">
        <f>+H46*18%</f>
        <v>19499.489999999998</v>
      </c>
      <c r="H46" s="317">
        <v>108330.5</v>
      </c>
      <c r="I46" s="312">
        <f t="shared" si="1"/>
        <v>17.999999999999996</v>
      </c>
      <c r="J46" s="308" t="s">
        <v>360</v>
      </c>
    </row>
    <row r="47" spans="1:14">
      <c r="A47" s="308">
        <f t="shared" si="2"/>
        <v>42</v>
      </c>
      <c r="B47" s="322">
        <v>1000000646</v>
      </c>
      <c r="C47" s="322" t="s">
        <v>441</v>
      </c>
      <c r="D47" s="308" t="s">
        <v>442</v>
      </c>
      <c r="E47" s="311">
        <v>0</v>
      </c>
      <c r="F47" s="311">
        <f t="shared" si="0"/>
        <v>216450</v>
      </c>
      <c r="G47" s="311">
        <f>+H47*18%</f>
        <v>38961</v>
      </c>
      <c r="H47" s="317">
        <v>216450</v>
      </c>
      <c r="I47" s="312">
        <f t="shared" si="1"/>
        <v>18</v>
      </c>
      <c r="J47" s="308" t="s">
        <v>360</v>
      </c>
      <c r="K47" s="327" t="s">
        <v>443</v>
      </c>
      <c r="L47" s="328" t="s">
        <v>18</v>
      </c>
    </row>
    <row r="48" spans="1:14">
      <c r="A48" s="308">
        <f t="shared" si="2"/>
        <v>43</v>
      </c>
      <c r="B48" s="322">
        <v>1000000660</v>
      </c>
      <c r="C48" s="322" t="s">
        <v>444</v>
      </c>
      <c r="D48" s="308" t="s">
        <v>445</v>
      </c>
      <c r="E48" s="311">
        <v>0</v>
      </c>
      <c r="F48" s="311">
        <f t="shared" si="0"/>
        <v>5100</v>
      </c>
      <c r="G48" s="311">
        <f>459*2</f>
        <v>918</v>
      </c>
      <c r="H48" s="311">
        <f>85*60</f>
        <v>5100</v>
      </c>
      <c r="I48" s="312">
        <f t="shared" si="1"/>
        <v>18</v>
      </c>
      <c r="J48" s="308" t="s">
        <v>360</v>
      </c>
    </row>
    <row r="49" spans="1:14">
      <c r="A49" s="308">
        <f t="shared" si="2"/>
        <v>44</v>
      </c>
      <c r="B49" s="322">
        <v>1000002646</v>
      </c>
      <c r="C49" s="322" t="s">
        <v>446</v>
      </c>
      <c r="D49" s="308" t="s">
        <v>447</v>
      </c>
      <c r="E49" s="311">
        <v>296700</v>
      </c>
      <c r="F49" s="311">
        <f t="shared" si="0"/>
        <v>3300</v>
      </c>
      <c r="G49" s="311">
        <f>+H49*18%</f>
        <v>54000</v>
      </c>
      <c r="H49" s="317">
        <v>300000</v>
      </c>
      <c r="I49" s="312">
        <f t="shared" si="1"/>
        <v>18</v>
      </c>
      <c r="J49" s="308" t="s">
        <v>360</v>
      </c>
    </row>
    <row r="50" spans="1:14">
      <c r="A50" s="308">
        <f t="shared" si="2"/>
        <v>45</v>
      </c>
      <c r="B50" s="322">
        <v>1000002679</v>
      </c>
      <c r="C50" s="322" t="s">
        <v>448</v>
      </c>
      <c r="D50" s="308" t="s">
        <v>110</v>
      </c>
      <c r="E50" s="311">
        <v>0</v>
      </c>
      <c r="F50" s="311">
        <f t="shared" si="0"/>
        <v>331624</v>
      </c>
      <c r="G50" s="311">
        <f>+H50*18%</f>
        <v>59692.32</v>
      </c>
      <c r="H50" s="311">
        <f>323124+8500</f>
        <v>331624</v>
      </c>
      <c r="I50" s="312">
        <f t="shared" si="1"/>
        <v>18</v>
      </c>
      <c r="J50" s="308" t="s">
        <v>360</v>
      </c>
    </row>
    <row r="51" spans="1:14">
      <c r="A51" s="308">
        <f t="shared" si="2"/>
        <v>46</v>
      </c>
      <c r="B51" s="322">
        <v>1000002685</v>
      </c>
      <c r="C51" s="322" t="s">
        <v>449</v>
      </c>
      <c r="D51" s="308" t="s">
        <v>450</v>
      </c>
      <c r="E51" s="311">
        <v>0</v>
      </c>
      <c r="F51" s="311">
        <f t="shared" si="0"/>
        <v>217300</v>
      </c>
      <c r="G51" s="311">
        <f>+H51*18%</f>
        <v>39114</v>
      </c>
      <c r="H51" s="311">
        <v>217300</v>
      </c>
      <c r="I51" s="312">
        <f t="shared" si="1"/>
        <v>18</v>
      </c>
      <c r="J51" s="308" t="s">
        <v>360</v>
      </c>
    </row>
    <row r="52" spans="1:14">
      <c r="A52" s="308">
        <f t="shared" si="2"/>
        <v>47</v>
      </c>
      <c r="B52" s="322">
        <v>1000002705</v>
      </c>
      <c r="C52" s="322" t="s">
        <v>451</v>
      </c>
      <c r="D52" s="308" t="s">
        <v>452</v>
      </c>
      <c r="E52" s="311">
        <v>0</v>
      </c>
      <c r="F52" s="311">
        <f t="shared" si="0"/>
        <v>465212</v>
      </c>
      <c r="G52" s="311">
        <f>41869*2</f>
        <v>83738</v>
      </c>
      <c r="H52" s="311">
        <v>465212</v>
      </c>
      <c r="I52" s="312">
        <f t="shared" si="1"/>
        <v>17.999965607078064</v>
      </c>
      <c r="J52" s="308" t="s">
        <v>360</v>
      </c>
    </row>
    <row r="53" spans="1:14">
      <c r="A53" s="308">
        <f t="shared" si="2"/>
        <v>48</v>
      </c>
      <c r="B53" s="322">
        <v>1000002752</v>
      </c>
      <c r="C53" s="322" t="s">
        <v>453</v>
      </c>
      <c r="D53" s="308" t="s">
        <v>454</v>
      </c>
      <c r="E53" s="311">
        <v>46000.01</v>
      </c>
      <c r="F53" s="311">
        <f t="shared" si="0"/>
        <v>49463.99</v>
      </c>
      <c r="G53" s="311">
        <f t="shared" ref="G53:G66" si="5">+H53*18%</f>
        <v>17183.52</v>
      </c>
      <c r="H53" s="311">
        <v>95464</v>
      </c>
      <c r="I53" s="312">
        <f t="shared" si="1"/>
        <v>18</v>
      </c>
      <c r="J53" s="308" t="s">
        <v>360</v>
      </c>
    </row>
    <row r="54" spans="1:14">
      <c r="A54" s="308">
        <f t="shared" si="2"/>
        <v>49</v>
      </c>
      <c r="B54" s="329">
        <v>1000000228</v>
      </c>
      <c r="C54" s="329" t="s">
        <v>455</v>
      </c>
      <c r="D54" s="330" t="s">
        <v>456</v>
      </c>
      <c r="E54" s="311">
        <v>6256</v>
      </c>
      <c r="F54" s="311">
        <f t="shared" si="0"/>
        <v>0</v>
      </c>
      <c r="G54" s="311">
        <f t="shared" si="5"/>
        <v>1126.08</v>
      </c>
      <c r="H54" s="311">
        <v>6256</v>
      </c>
      <c r="I54" s="312">
        <f t="shared" si="1"/>
        <v>17.999999999999996</v>
      </c>
      <c r="J54" s="308" t="s">
        <v>360</v>
      </c>
    </row>
    <row r="55" spans="1:14">
      <c r="A55" s="308">
        <f t="shared" si="2"/>
        <v>50</v>
      </c>
      <c r="B55" s="331">
        <v>1000000577</v>
      </c>
      <c r="C55" s="332" t="s">
        <v>457</v>
      </c>
      <c r="D55" s="308" t="s">
        <v>454</v>
      </c>
      <c r="E55" s="311">
        <v>0</v>
      </c>
      <c r="F55" s="311">
        <f t="shared" si="0"/>
        <v>55932</v>
      </c>
      <c r="G55" s="311">
        <f t="shared" si="5"/>
        <v>10067.76</v>
      </c>
      <c r="H55" s="311">
        <v>55932</v>
      </c>
      <c r="I55" s="312">
        <f t="shared" si="1"/>
        <v>18</v>
      </c>
      <c r="J55" s="308" t="s">
        <v>360</v>
      </c>
      <c r="L55" s="302" t="s">
        <v>21</v>
      </c>
      <c r="N55" s="302" t="s">
        <v>361</v>
      </c>
    </row>
    <row r="56" spans="1:14">
      <c r="A56" s="308">
        <f t="shared" si="2"/>
        <v>51</v>
      </c>
      <c r="B56" s="333">
        <v>1000002768</v>
      </c>
      <c r="C56" s="333" t="s">
        <v>458</v>
      </c>
      <c r="D56" s="308" t="s">
        <v>459</v>
      </c>
      <c r="E56" s="311">
        <v>65800</v>
      </c>
      <c r="F56" s="311">
        <f t="shared" si="0"/>
        <v>450159</v>
      </c>
      <c r="G56" s="311">
        <f t="shared" si="5"/>
        <v>92872.62</v>
      </c>
      <c r="H56" s="311">
        <v>515959</v>
      </c>
      <c r="I56" s="312">
        <f t="shared" si="1"/>
        <v>18</v>
      </c>
      <c r="J56" s="308" t="s">
        <v>360</v>
      </c>
      <c r="L56" s="302" t="s">
        <v>21</v>
      </c>
      <c r="N56" s="302" t="s">
        <v>361</v>
      </c>
    </row>
    <row r="57" spans="1:14">
      <c r="A57" s="308">
        <f t="shared" si="2"/>
        <v>52</v>
      </c>
      <c r="B57" s="334">
        <v>1000002771</v>
      </c>
      <c r="C57" s="334" t="s">
        <v>460</v>
      </c>
      <c r="D57" s="308" t="s">
        <v>461</v>
      </c>
      <c r="E57" s="311">
        <v>439070</v>
      </c>
      <c r="F57" s="311">
        <f t="shared" si="0"/>
        <v>0</v>
      </c>
      <c r="G57" s="311">
        <f t="shared" si="5"/>
        <v>79032.599999999991</v>
      </c>
      <c r="H57" s="311">
        <v>439070</v>
      </c>
      <c r="I57" s="312">
        <f t="shared" si="1"/>
        <v>18</v>
      </c>
      <c r="J57" s="308" t="s">
        <v>360</v>
      </c>
    </row>
    <row r="58" spans="1:14">
      <c r="A58" s="308">
        <f t="shared" si="2"/>
        <v>53</v>
      </c>
      <c r="B58" s="335">
        <v>1000002779</v>
      </c>
      <c r="C58" s="335" t="s">
        <v>462</v>
      </c>
      <c r="D58" s="308" t="s">
        <v>463</v>
      </c>
      <c r="E58" s="311">
        <v>0</v>
      </c>
      <c r="F58" s="311">
        <f t="shared" si="0"/>
        <v>241600</v>
      </c>
      <c r="G58" s="311">
        <f t="shared" si="5"/>
        <v>43488</v>
      </c>
      <c r="H58" s="311">
        <v>241600</v>
      </c>
      <c r="I58" s="312">
        <f t="shared" si="1"/>
        <v>18</v>
      </c>
      <c r="J58" s="308" t="s">
        <v>360</v>
      </c>
    </row>
    <row r="59" spans="1:14">
      <c r="A59" s="308">
        <f t="shared" si="2"/>
        <v>54</v>
      </c>
      <c r="B59" s="336">
        <v>1000002796</v>
      </c>
      <c r="C59" s="336" t="s">
        <v>464</v>
      </c>
      <c r="D59" s="308" t="s">
        <v>465</v>
      </c>
      <c r="E59" s="311">
        <v>70000</v>
      </c>
      <c r="F59" s="311">
        <f t="shared" si="0"/>
        <v>0</v>
      </c>
      <c r="G59" s="311">
        <f t="shared" si="5"/>
        <v>12600</v>
      </c>
      <c r="H59" s="311">
        <v>70000</v>
      </c>
      <c r="I59" s="312">
        <f t="shared" si="1"/>
        <v>18</v>
      </c>
      <c r="J59" s="308" t="s">
        <v>360</v>
      </c>
    </row>
    <row r="60" spans="1:14">
      <c r="A60" s="308">
        <f t="shared" si="2"/>
        <v>55</v>
      </c>
      <c r="B60" s="337">
        <v>1000002809</v>
      </c>
      <c r="C60" s="337" t="s">
        <v>466</v>
      </c>
      <c r="D60" s="308" t="s">
        <v>467</v>
      </c>
      <c r="E60" s="311">
        <v>86000</v>
      </c>
      <c r="F60" s="311">
        <f t="shared" si="0"/>
        <v>0</v>
      </c>
      <c r="G60" s="311">
        <f t="shared" si="5"/>
        <v>15480</v>
      </c>
      <c r="H60" s="311">
        <v>86000</v>
      </c>
      <c r="I60" s="312">
        <f t="shared" si="1"/>
        <v>18</v>
      </c>
      <c r="J60" s="308" t="s">
        <v>468</v>
      </c>
      <c r="L60" s="302" t="s">
        <v>21</v>
      </c>
    </row>
    <row r="61" spans="1:14">
      <c r="A61" s="308">
        <f t="shared" si="2"/>
        <v>56</v>
      </c>
      <c r="B61" s="338">
        <v>1000002813</v>
      </c>
      <c r="C61" s="338" t="s">
        <v>469</v>
      </c>
      <c r="D61" s="308" t="s">
        <v>470</v>
      </c>
      <c r="E61" s="311">
        <v>487459.33</v>
      </c>
      <c r="F61" s="311">
        <f t="shared" si="0"/>
        <v>-0.33000000001629815</v>
      </c>
      <c r="G61" s="311">
        <f t="shared" si="5"/>
        <v>87742.62</v>
      </c>
      <c r="H61" s="311">
        <v>487459</v>
      </c>
      <c r="I61" s="312">
        <f t="shared" si="1"/>
        <v>18</v>
      </c>
      <c r="J61" s="308" t="s">
        <v>360</v>
      </c>
      <c r="K61" s="327" t="s">
        <v>443</v>
      </c>
      <c r="L61" s="328" t="s">
        <v>18</v>
      </c>
    </row>
    <row r="62" spans="1:14">
      <c r="A62" s="308">
        <f t="shared" si="2"/>
        <v>57</v>
      </c>
      <c r="B62" s="339">
        <v>1000000158</v>
      </c>
      <c r="C62" s="339" t="s">
        <v>471</v>
      </c>
      <c r="D62" s="340" t="s">
        <v>317</v>
      </c>
      <c r="E62" s="311">
        <v>0</v>
      </c>
      <c r="F62" s="311">
        <f t="shared" si="0"/>
        <v>613850</v>
      </c>
      <c r="G62" s="311">
        <f t="shared" si="5"/>
        <v>110493</v>
      </c>
      <c r="H62" s="341">
        <v>613850</v>
      </c>
      <c r="I62" s="312">
        <f t="shared" si="1"/>
        <v>18</v>
      </c>
      <c r="J62" s="308" t="s">
        <v>360</v>
      </c>
    </row>
    <row r="63" spans="1:14">
      <c r="A63" s="308">
        <f t="shared" si="2"/>
        <v>58</v>
      </c>
      <c r="B63" s="342">
        <v>1000000599</v>
      </c>
      <c r="C63" s="343" t="s">
        <v>472</v>
      </c>
      <c r="D63" s="308" t="s">
        <v>473</v>
      </c>
      <c r="E63" s="311">
        <v>62100.480000000003</v>
      </c>
      <c r="F63" s="311">
        <f t="shared" si="0"/>
        <v>-0.48000000000320142</v>
      </c>
      <c r="G63" s="311">
        <f t="shared" si="5"/>
        <v>11178</v>
      </c>
      <c r="H63" s="311">
        <v>62100</v>
      </c>
      <c r="I63" s="312">
        <f t="shared" si="1"/>
        <v>18</v>
      </c>
      <c r="J63" s="308" t="s">
        <v>360</v>
      </c>
    </row>
    <row r="64" spans="1:14">
      <c r="A64" s="308">
        <f t="shared" si="2"/>
        <v>59</v>
      </c>
      <c r="B64" s="344">
        <v>1000001741</v>
      </c>
      <c r="C64" s="344" t="s">
        <v>474</v>
      </c>
      <c r="D64" s="345" t="s">
        <v>475</v>
      </c>
      <c r="E64" s="311">
        <v>550400.01</v>
      </c>
      <c r="F64" s="311">
        <f t="shared" si="0"/>
        <v>7199.9899999999907</v>
      </c>
      <c r="G64" s="346">
        <f t="shared" si="5"/>
        <v>100368</v>
      </c>
      <c r="H64" s="346">
        <v>557600</v>
      </c>
      <c r="I64" s="312">
        <f t="shared" si="1"/>
        <v>18</v>
      </c>
      <c r="J64" s="308" t="s">
        <v>360</v>
      </c>
    </row>
    <row r="65" spans="1:12">
      <c r="A65" s="308">
        <f t="shared" si="2"/>
        <v>60</v>
      </c>
      <c r="B65" s="347">
        <v>1000000821</v>
      </c>
      <c r="C65" s="347" t="s">
        <v>476</v>
      </c>
      <c r="D65" s="308" t="s">
        <v>477</v>
      </c>
      <c r="E65" s="311">
        <v>0</v>
      </c>
      <c r="F65" s="311">
        <f t="shared" si="0"/>
        <v>3127461</v>
      </c>
      <c r="G65" s="311">
        <f t="shared" si="5"/>
        <v>562942.98</v>
      </c>
      <c r="H65" s="311">
        <v>3127461</v>
      </c>
      <c r="I65" s="312">
        <f t="shared" si="1"/>
        <v>18</v>
      </c>
      <c r="J65" s="308" t="s">
        <v>360</v>
      </c>
      <c r="K65" s="327" t="s">
        <v>443</v>
      </c>
      <c r="L65" s="328" t="s">
        <v>18</v>
      </c>
    </row>
    <row r="66" spans="1:12">
      <c r="A66" s="308"/>
      <c r="B66" s="309">
        <v>1000001013</v>
      </c>
      <c r="C66" s="348" t="s">
        <v>478</v>
      </c>
      <c r="D66" s="310" t="s">
        <v>479</v>
      </c>
      <c r="E66" s="311"/>
      <c r="F66" s="317">
        <v>660875</v>
      </c>
      <c r="G66" s="311">
        <f t="shared" si="5"/>
        <v>118957.5</v>
      </c>
      <c r="H66" s="317">
        <v>660875</v>
      </c>
      <c r="I66" s="312">
        <f t="shared" si="1"/>
        <v>18</v>
      </c>
      <c r="J66" s="308" t="s">
        <v>360</v>
      </c>
    </row>
    <row r="67" spans="1:12">
      <c r="A67" s="308"/>
      <c r="B67" s="347"/>
      <c r="C67" s="349"/>
      <c r="D67" s="310"/>
      <c r="E67" s="350">
        <f>SUM(E6:E66)</f>
        <v>7532483.1399999997</v>
      </c>
      <c r="F67" s="350">
        <f t="shared" ref="F67" si="6">SUM(F6:F66)</f>
        <v>111114163.63118643</v>
      </c>
      <c r="G67" s="350">
        <f>SUM(G6:G66)</f>
        <v>21293955.318813559</v>
      </c>
      <c r="H67" s="350">
        <f>SUM(H6:H66)</f>
        <v>118646646.77118644</v>
      </c>
      <c r="I67" s="312"/>
    </row>
    <row r="68" spans="1:12">
      <c r="A68" s="308">
        <v>61</v>
      </c>
      <c r="B68" s="309">
        <v>1000001013</v>
      </c>
      <c r="C68" s="348" t="s">
        <v>478</v>
      </c>
      <c r="D68" s="310" t="s">
        <v>480</v>
      </c>
      <c r="E68" s="311"/>
      <c r="F68" s="317">
        <f>1052983+1027050-F66</f>
        <v>1419158</v>
      </c>
      <c r="G68" s="311">
        <f t="shared" ref="G68:G74" si="7">+H68*18%</f>
        <v>255448.44</v>
      </c>
      <c r="H68" s="317">
        <f>1052983+1027050-H66</f>
        <v>1419158</v>
      </c>
      <c r="I68" s="312">
        <f t="shared" ref="I68:I74" si="8">+G68/H68%</f>
        <v>18</v>
      </c>
      <c r="J68" s="308" t="s">
        <v>481</v>
      </c>
    </row>
    <row r="69" spans="1:12">
      <c r="A69" s="308">
        <f t="shared" ref="A69:A74" si="9">+A68+1</f>
        <v>62</v>
      </c>
      <c r="B69" s="309">
        <v>1000002004</v>
      </c>
      <c r="C69" s="348" t="s">
        <v>482</v>
      </c>
      <c r="D69" s="310" t="s">
        <v>480</v>
      </c>
      <c r="E69" s="311">
        <v>907753.41</v>
      </c>
      <c r="F69" s="311">
        <f t="shared" ref="F69:F74" si="10">+H69-E69</f>
        <v>6153261.5899999999</v>
      </c>
      <c r="G69" s="311">
        <f t="shared" si="7"/>
        <v>1270982.7</v>
      </c>
      <c r="H69" s="317">
        <f>1988177-232695+5305533</f>
        <v>7061015</v>
      </c>
      <c r="I69" s="312">
        <f t="shared" si="8"/>
        <v>18</v>
      </c>
      <c r="J69" s="308" t="s">
        <v>481</v>
      </c>
      <c r="L69" s="328" t="s">
        <v>19</v>
      </c>
    </row>
    <row r="70" spans="1:12">
      <c r="A70" s="308">
        <f t="shared" si="9"/>
        <v>63</v>
      </c>
      <c r="B70" s="309">
        <v>1000001849</v>
      </c>
      <c r="C70" s="348" t="s">
        <v>483</v>
      </c>
      <c r="D70" s="310" t="s">
        <v>480</v>
      </c>
      <c r="E70" s="311">
        <v>93789</v>
      </c>
      <c r="F70" s="311">
        <f t="shared" si="10"/>
        <v>118159.30508474578</v>
      </c>
      <c r="G70" s="311">
        <f t="shared" si="7"/>
        <v>38150.694915254237</v>
      </c>
      <c r="H70" s="317">
        <f>250099/1.18</f>
        <v>211948.30508474578</v>
      </c>
      <c r="I70" s="312">
        <f t="shared" si="8"/>
        <v>17.999999999999996</v>
      </c>
      <c r="J70" s="308" t="s">
        <v>481</v>
      </c>
    </row>
    <row r="71" spans="1:12">
      <c r="A71" s="308">
        <f t="shared" si="9"/>
        <v>64</v>
      </c>
      <c r="B71" s="309">
        <v>1000000677</v>
      </c>
      <c r="C71" s="348" t="s">
        <v>484</v>
      </c>
      <c r="D71" s="310" t="s">
        <v>480</v>
      </c>
      <c r="E71" s="311">
        <v>201030.51</v>
      </c>
      <c r="F71" s="311">
        <f t="shared" si="10"/>
        <v>289576.49</v>
      </c>
      <c r="G71" s="311">
        <f t="shared" si="7"/>
        <v>88309.26</v>
      </c>
      <c r="H71" s="317">
        <f>151200+339407</f>
        <v>490607</v>
      </c>
      <c r="I71" s="312">
        <f t="shared" si="8"/>
        <v>18</v>
      </c>
      <c r="J71" s="308" t="s">
        <v>481</v>
      </c>
    </row>
    <row r="72" spans="1:12">
      <c r="A72" s="308">
        <f t="shared" si="9"/>
        <v>65</v>
      </c>
      <c r="B72" s="321">
        <v>1000000102</v>
      </c>
      <c r="C72" s="351" t="s">
        <v>485</v>
      </c>
      <c r="D72" s="310" t="s">
        <v>480</v>
      </c>
      <c r="E72" s="311">
        <v>0</v>
      </c>
      <c r="F72" s="311">
        <f t="shared" si="10"/>
        <v>765385</v>
      </c>
      <c r="G72" s="311">
        <f t="shared" si="7"/>
        <v>137769.29999999999</v>
      </c>
      <c r="H72" s="317">
        <v>765385</v>
      </c>
      <c r="I72" s="312">
        <f t="shared" si="8"/>
        <v>17.999999999999996</v>
      </c>
      <c r="J72" s="308" t="s">
        <v>481</v>
      </c>
    </row>
    <row r="73" spans="1:12">
      <c r="A73" s="308">
        <f t="shared" si="9"/>
        <v>66</v>
      </c>
      <c r="B73" s="321">
        <v>1000001496</v>
      </c>
      <c r="C73" s="351" t="s">
        <v>486</v>
      </c>
      <c r="D73" s="310" t="s">
        <v>480</v>
      </c>
      <c r="E73" s="311">
        <v>0</v>
      </c>
      <c r="F73" s="311">
        <f t="shared" si="10"/>
        <v>5913733</v>
      </c>
      <c r="G73" s="311">
        <f t="shared" si="7"/>
        <v>1064471.94</v>
      </c>
      <c r="H73" s="311">
        <f>1948089+3965644</f>
        <v>5913733</v>
      </c>
      <c r="I73" s="312">
        <f t="shared" si="8"/>
        <v>18</v>
      </c>
      <c r="J73" s="308" t="s">
        <v>481</v>
      </c>
    </row>
    <row r="74" spans="1:12">
      <c r="A74" s="308">
        <f t="shared" si="9"/>
        <v>67</v>
      </c>
      <c r="B74" s="322">
        <v>1000002676</v>
      </c>
      <c r="C74" s="352" t="s">
        <v>487</v>
      </c>
      <c r="D74" s="310" t="s">
        <v>480</v>
      </c>
      <c r="E74" s="311">
        <v>1079023</v>
      </c>
      <c r="F74" s="311">
        <f t="shared" si="10"/>
        <v>0</v>
      </c>
      <c r="G74" s="311">
        <f t="shared" si="7"/>
        <v>194224.13999999998</v>
      </c>
      <c r="H74" s="311">
        <v>1079023</v>
      </c>
      <c r="I74" s="312">
        <f t="shared" si="8"/>
        <v>18</v>
      </c>
      <c r="J74" s="308" t="s">
        <v>481</v>
      </c>
      <c r="L74" s="328" t="s">
        <v>19</v>
      </c>
    </row>
    <row r="75" spans="1:12" ht="15.75" thickBot="1">
      <c r="A75" s="345"/>
      <c r="B75" s="353"/>
      <c r="C75" s="354"/>
      <c r="D75" s="355"/>
      <c r="E75" s="356">
        <f t="shared" ref="E75:F75" si="11">SUM(E68:E74)</f>
        <v>2281595.92</v>
      </c>
      <c r="F75" s="356">
        <f t="shared" si="11"/>
        <v>14659273.385084745</v>
      </c>
      <c r="G75" s="356">
        <f>SUM(G68:G74)</f>
        <v>3049356.4749152544</v>
      </c>
      <c r="H75" s="356">
        <f>SUM(H68:H74)</f>
        <v>16940869.305084746</v>
      </c>
      <c r="I75" s="357"/>
    </row>
    <row r="76" spans="1:12" ht="16.5" thickBot="1">
      <c r="A76" s="358"/>
      <c r="B76" s="359" t="s">
        <v>488</v>
      </c>
      <c r="C76" s="360"/>
      <c r="D76" s="360"/>
      <c r="E76" s="361">
        <f>+E67+E75</f>
        <v>9814079.0599999987</v>
      </c>
      <c r="F76" s="361">
        <f t="shared" ref="F76" si="12">+F67+F75</f>
        <v>125773437.01627117</v>
      </c>
      <c r="G76" s="361">
        <f>+G67+G75</f>
        <v>24343311.793728814</v>
      </c>
      <c r="H76" s="361">
        <f>+H67+H75</f>
        <v>135587516.07627118</v>
      </c>
      <c r="I76" s="362"/>
      <c r="J76" s="363"/>
    </row>
    <row r="77" spans="1:12" ht="15.75">
      <c r="A77" s="364"/>
      <c r="B77" s="365"/>
      <c r="C77" s="364"/>
      <c r="D77" s="364"/>
      <c r="E77" s="366"/>
      <c r="F77" s="366"/>
      <c r="G77" s="366"/>
      <c r="H77" s="366"/>
      <c r="I77" s="367"/>
      <c r="J77" s="364"/>
    </row>
    <row r="78" spans="1:12" ht="19.5" thickBot="1">
      <c r="A78" s="368" t="s">
        <v>489</v>
      </c>
      <c r="E78" s="325"/>
      <c r="F78" s="325"/>
      <c r="G78" s="325"/>
      <c r="H78" s="325"/>
      <c r="I78" s="369"/>
    </row>
    <row r="79" spans="1:12" ht="15.75" thickBot="1">
      <c r="A79" s="370" t="s">
        <v>350</v>
      </c>
      <c r="B79" s="371" t="s">
        <v>351</v>
      </c>
      <c r="C79" s="372" t="s">
        <v>352</v>
      </c>
      <c r="D79" s="372" t="s">
        <v>353</v>
      </c>
      <c r="E79" s="307" t="s">
        <v>354</v>
      </c>
      <c r="F79" s="307" t="s">
        <v>355</v>
      </c>
      <c r="G79" s="373" t="s">
        <v>347</v>
      </c>
      <c r="H79" s="373" t="s">
        <v>490</v>
      </c>
      <c r="I79" s="374"/>
      <c r="J79" s="375"/>
    </row>
    <row r="80" spans="1:12">
      <c r="A80" s="376">
        <v>1</v>
      </c>
      <c r="B80" s="377">
        <v>1000000121</v>
      </c>
      <c r="C80" s="378" t="s">
        <v>491</v>
      </c>
      <c r="D80" s="376" t="s">
        <v>492</v>
      </c>
      <c r="E80" s="379">
        <v>0</v>
      </c>
      <c r="F80" s="379">
        <f>+H80-E80</f>
        <v>2991831</v>
      </c>
      <c r="G80" s="379">
        <f>+H80*5%</f>
        <v>149591.55000000002</v>
      </c>
      <c r="H80" s="380">
        <f>2678502+264807+48522</f>
        <v>2991831</v>
      </c>
      <c r="I80" s="381">
        <f>+G80/H80%</f>
        <v>5</v>
      </c>
      <c r="J80" s="376" t="s">
        <v>481</v>
      </c>
    </row>
    <row r="81" spans="1:10">
      <c r="A81" s="308">
        <f t="shared" ref="A81:A85" si="13">+A80+1</f>
        <v>2</v>
      </c>
      <c r="B81" s="382">
        <v>1000002633</v>
      </c>
      <c r="C81" s="315" t="s">
        <v>493</v>
      </c>
      <c r="D81" s="308" t="s">
        <v>492</v>
      </c>
      <c r="E81" s="311">
        <v>209018.63</v>
      </c>
      <c r="F81" s="311">
        <f>+H81-E81</f>
        <v>1128910.3700000001</v>
      </c>
      <c r="G81" s="311">
        <f>+H81*5%</f>
        <v>66896.45</v>
      </c>
      <c r="H81" s="317">
        <f>1249929+88000</f>
        <v>1337929</v>
      </c>
      <c r="I81" s="312">
        <f>+G81/H81%</f>
        <v>4.9999999999999991</v>
      </c>
      <c r="J81" s="308" t="s">
        <v>481</v>
      </c>
    </row>
    <row r="82" spans="1:10">
      <c r="A82" s="308"/>
      <c r="B82" s="382"/>
      <c r="C82" s="315"/>
      <c r="D82" s="383" t="s">
        <v>492</v>
      </c>
      <c r="E82" s="317">
        <f t="shared" ref="E82" si="14">SUM(E80:E81)</f>
        <v>209018.63</v>
      </c>
      <c r="F82" s="384"/>
      <c r="G82" s="384"/>
      <c r="H82" s="384"/>
      <c r="I82" s="385"/>
      <c r="J82" s="308" t="s">
        <v>481</v>
      </c>
    </row>
    <row r="83" spans="1:10">
      <c r="A83" s="308">
        <f>+A81+1</f>
        <v>3</v>
      </c>
      <c r="B83" s="382">
        <v>1000001442</v>
      </c>
      <c r="C83" s="315" t="s">
        <v>494</v>
      </c>
      <c r="D83" s="308" t="s">
        <v>495</v>
      </c>
      <c r="E83" s="311">
        <v>0</v>
      </c>
      <c r="F83" s="311">
        <f>+H83-E83</f>
        <v>1292127</v>
      </c>
      <c r="G83" s="311">
        <f>+H83*5%</f>
        <v>64606.350000000006</v>
      </c>
      <c r="H83" s="386">
        <v>1292127</v>
      </c>
      <c r="I83" s="312">
        <f>+G83/H83%</f>
        <v>5</v>
      </c>
      <c r="J83" s="308" t="s">
        <v>481</v>
      </c>
    </row>
    <row r="84" spans="1:10">
      <c r="A84" s="308">
        <f t="shared" si="13"/>
        <v>4</v>
      </c>
      <c r="B84" s="382">
        <v>1000002432</v>
      </c>
      <c r="C84" s="315" t="s">
        <v>496</v>
      </c>
      <c r="D84" s="308" t="s">
        <v>495</v>
      </c>
      <c r="E84" s="311">
        <v>0</v>
      </c>
      <c r="F84" s="311">
        <f>+H84-E84</f>
        <v>105001</v>
      </c>
      <c r="G84" s="311">
        <f>+H84*5%</f>
        <v>5250.05</v>
      </c>
      <c r="H84" s="386">
        <v>105001</v>
      </c>
      <c r="I84" s="312">
        <f>+G84/H84%</f>
        <v>5</v>
      </c>
      <c r="J84" s="308" t="s">
        <v>481</v>
      </c>
    </row>
    <row r="85" spans="1:10">
      <c r="A85" s="308">
        <f t="shared" si="13"/>
        <v>5</v>
      </c>
      <c r="B85" s="382">
        <v>1000002057</v>
      </c>
      <c r="C85" s="315" t="s">
        <v>497</v>
      </c>
      <c r="D85" s="308" t="s">
        <v>498</v>
      </c>
      <c r="E85" s="311">
        <v>152800</v>
      </c>
      <c r="F85" s="311">
        <f>+H85-E85</f>
        <v>742835</v>
      </c>
      <c r="G85" s="311">
        <f>+H85*5%</f>
        <v>44781.75</v>
      </c>
      <c r="H85" s="386">
        <f>596835+124800+174000</f>
        <v>895635</v>
      </c>
      <c r="I85" s="312">
        <f>+G85/H85%</f>
        <v>5</v>
      </c>
      <c r="J85" s="308" t="s">
        <v>481</v>
      </c>
    </row>
    <row r="86" spans="1:10">
      <c r="A86" s="308"/>
      <c r="B86" s="382"/>
      <c r="C86" s="315"/>
      <c r="D86" s="308" t="s">
        <v>498</v>
      </c>
      <c r="E86" s="317">
        <f t="shared" ref="E86" si="15">SUM(E83:E85)</f>
        <v>152800</v>
      </c>
      <c r="F86" s="384"/>
      <c r="G86" s="384"/>
      <c r="H86" s="384"/>
      <c r="I86" s="385"/>
      <c r="J86" s="308" t="s">
        <v>481</v>
      </c>
    </row>
    <row r="87" spans="1:10">
      <c r="A87" s="308">
        <f>+A85+1</f>
        <v>6</v>
      </c>
      <c r="B87" s="382">
        <v>1000000834</v>
      </c>
      <c r="C87" s="315" t="s">
        <v>499</v>
      </c>
      <c r="D87" s="308" t="s">
        <v>500</v>
      </c>
      <c r="E87" s="311">
        <v>0</v>
      </c>
      <c r="F87" s="311">
        <f t="shared" ref="F87:F92" si="16">+H87-E87</f>
        <v>2152226</v>
      </c>
      <c r="G87" s="311">
        <f>+H87*28%</f>
        <v>602623.28</v>
      </c>
      <c r="H87" s="317">
        <f>1638711+273281+240234</f>
        <v>2152226</v>
      </c>
      <c r="I87" s="312">
        <f t="shared" ref="I87:I92" si="17">+G87/H87%</f>
        <v>28.000000000000004</v>
      </c>
      <c r="J87" s="308" t="s">
        <v>481</v>
      </c>
    </row>
    <row r="88" spans="1:10">
      <c r="A88" s="308">
        <f t="shared" ref="A88:A92" si="18">+A87+1</f>
        <v>7</v>
      </c>
      <c r="B88" s="382">
        <v>1000001737</v>
      </c>
      <c r="C88" s="315" t="s">
        <v>501</v>
      </c>
      <c r="D88" s="308" t="s">
        <v>500</v>
      </c>
      <c r="E88" s="311">
        <v>260542.12</v>
      </c>
      <c r="F88" s="311">
        <f t="shared" si="16"/>
        <v>4584300.88</v>
      </c>
      <c r="G88" s="311">
        <f>+H88*28%</f>
        <v>1356556.04</v>
      </c>
      <c r="H88" s="317">
        <f>4081332+763511</f>
        <v>4844843</v>
      </c>
      <c r="I88" s="312">
        <f t="shared" si="17"/>
        <v>28</v>
      </c>
      <c r="J88" s="308" t="s">
        <v>481</v>
      </c>
    </row>
    <row r="89" spans="1:10">
      <c r="A89" s="308">
        <f t="shared" si="18"/>
        <v>8</v>
      </c>
      <c r="B89" s="382">
        <v>1000000466</v>
      </c>
      <c r="C89" s="315" t="s">
        <v>502</v>
      </c>
      <c r="D89" s="308" t="s">
        <v>500</v>
      </c>
      <c r="E89" s="311">
        <v>0</v>
      </c>
      <c r="F89" s="311">
        <f t="shared" si="16"/>
        <v>815126</v>
      </c>
      <c r="G89" s="311">
        <f>+H89*28%</f>
        <v>228235.28000000003</v>
      </c>
      <c r="H89" s="317">
        <f>735437+79689</f>
        <v>815126</v>
      </c>
      <c r="I89" s="312">
        <f t="shared" si="17"/>
        <v>28.000000000000004</v>
      </c>
      <c r="J89" s="308" t="s">
        <v>481</v>
      </c>
    </row>
    <row r="90" spans="1:10">
      <c r="A90" s="308">
        <f t="shared" si="18"/>
        <v>9</v>
      </c>
      <c r="B90" s="382">
        <v>1000000337</v>
      </c>
      <c r="C90" s="387" t="s">
        <v>503</v>
      </c>
      <c r="D90" s="308" t="s">
        <v>500</v>
      </c>
      <c r="E90" s="311">
        <v>0</v>
      </c>
      <c r="F90" s="311">
        <f t="shared" si="16"/>
        <v>260000</v>
      </c>
      <c r="G90" s="311">
        <f>+H90*28%</f>
        <v>72800</v>
      </c>
      <c r="H90" s="386">
        <v>260000</v>
      </c>
      <c r="I90" s="312">
        <f t="shared" si="17"/>
        <v>28</v>
      </c>
      <c r="J90" s="308" t="s">
        <v>481</v>
      </c>
    </row>
    <row r="91" spans="1:10">
      <c r="A91" s="308">
        <f t="shared" si="18"/>
        <v>10</v>
      </c>
      <c r="B91" s="388">
        <v>1000002643</v>
      </c>
      <c r="C91" s="389" t="s">
        <v>504</v>
      </c>
      <c r="D91" s="345" t="s">
        <v>500</v>
      </c>
      <c r="E91" s="311">
        <v>0</v>
      </c>
      <c r="F91" s="311">
        <f t="shared" si="16"/>
        <v>87968</v>
      </c>
      <c r="G91" s="346">
        <f>+H91*18%</f>
        <v>15834.24</v>
      </c>
      <c r="H91" s="390">
        <v>87968</v>
      </c>
      <c r="I91" s="312">
        <f t="shared" si="17"/>
        <v>18</v>
      </c>
      <c r="J91" s="308" t="s">
        <v>481</v>
      </c>
    </row>
    <row r="92" spans="1:10">
      <c r="A92" s="308">
        <f t="shared" si="18"/>
        <v>11</v>
      </c>
      <c r="B92" s="382"/>
      <c r="C92" s="387" t="s">
        <v>505</v>
      </c>
      <c r="D92" s="308" t="s">
        <v>500</v>
      </c>
      <c r="E92" s="311">
        <v>0</v>
      </c>
      <c r="F92" s="311">
        <f t="shared" si="16"/>
        <v>70312</v>
      </c>
      <c r="G92" s="311">
        <f>+H92*28%</f>
        <v>19687.36</v>
      </c>
      <c r="H92" s="386">
        <v>70312</v>
      </c>
      <c r="I92" s="312">
        <f t="shared" si="17"/>
        <v>28</v>
      </c>
      <c r="J92" s="308" t="s">
        <v>481</v>
      </c>
    </row>
    <row r="93" spans="1:10">
      <c r="A93" s="308"/>
      <c r="B93" s="382"/>
      <c r="C93" s="387"/>
      <c r="D93" s="383" t="s">
        <v>500</v>
      </c>
      <c r="E93" s="317">
        <f t="shared" ref="E93" si="19">SUM(E87:E92)</f>
        <v>260542.12</v>
      </c>
      <c r="F93" s="384"/>
      <c r="G93" s="384"/>
      <c r="H93" s="384"/>
      <c r="I93" s="385"/>
      <c r="J93" s="308" t="s">
        <v>481</v>
      </c>
    </row>
    <row r="94" spans="1:10">
      <c r="A94" s="308">
        <f>+A92+1</f>
        <v>12</v>
      </c>
      <c r="B94" s="382">
        <v>1000001506</v>
      </c>
      <c r="C94" s="315" t="s">
        <v>506</v>
      </c>
      <c r="D94" s="308" t="s">
        <v>507</v>
      </c>
      <c r="E94" s="311">
        <v>15750</v>
      </c>
      <c r="F94" s="311">
        <f>+H94-E94</f>
        <v>3031225</v>
      </c>
      <c r="G94" s="311">
        <f>+H94*18%</f>
        <v>548455.5</v>
      </c>
      <c r="H94" s="317">
        <v>3046975</v>
      </c>
      <c r="I94" s="312">
        <f>+G94/H94%</f>
        <v>18</v>
      </c>
      <c r="J94" s="308" t="s">
        <v>481</v>
      </c>
    </row>
    <row r="95" spans="1:10">
      <c r="A95" s="308"/>
      <c r="B95" s="382"/>
      <c r="C95" s="315"/>
      <c r="D95" s="308" t="s">
        <v>507</v>
      </c>
      <c r="E95" s="317">
        <f t="shared" ref="E95" si="20">SUM(E94)</f>
        <v>15750</v>
      </c>
      <c r="F95" s="384"/>
      <c r="G95" s="384"/>
      <c r="H95" s="384"/>
      <c r="I95" s="385"/>
      <c r="J95" s="308" t="s">
        <v>481</v>
      </c>
    </row>
    <row r="96" spans="1:10">
      <c r="A96" s="308">
        <f>+A94+1</f>
        <v>13</v>
      </c>
      <c r="B96" s="382">
        <v>1000000598</v>
      </c>
      <c r="C96" s="315" t="s">
        <v>508</v>
      </c>
      <c r="D96" s="308" t="s">
        <v>509</v>
      </c>
      <c r="E96" s="311">
        <v>215736</v>
      </c>
      <c r="F96" s="311">
        <f>+H96-E96</f>
        <v>925856</v>
      </c>
      <c r="G96" s="311">
        <f>+H96*5%</f>
        <v>57079.600000000006</v>
      </c>
      <c r="H96" s="386">
        <f>794166+131690+215736</f>
        <v>1141592</v>
      </c>
      <c r="I96" s="312">
        <f>+G96/H96%</f>
        <v>5.0000000000000009</v>
      </c>
      <c r="J96" s="308" t="s">
        <v>481</v>
      </c>
    </row>
    <row r="97" spans="1:13">
      <c r="A97" s="308">
        <f t="shared" ref="A97:A99" si="21">+A96+1</f>
        <v>14</v>
      </c>
      <c r="B97" s="382">
        <v>1000001487</v>
      </c>
      <c r="C97" s="315" t="s">
        <v>510</v>
      </c>
      <c r="D97" s="308" t="s">
        <v>509</v>
      </c>
      <c r="E97" s="311">
        <v>124035.98</v>
      </c>
      <c r="F97" s="311">
        <f>+H97-E97</f>
        <v>950666.02</v>
      </c>
      <c r="G97" s="311">
        <f>+H97*5%</f>
        <v>53735.100000000006</v>
      </c>
      <c r="H97" s="386">
        <f>789030+120058+64908+100706</f>
        <v>1074702</v>
      </c>
      <c r="I97" s="312">
        <f>+G97/H97%</f>
        <v>5</v>
      </c>
      <c r="J97" s="308" t="s">
        <v>481</v>
      </c>
    </row>
    <row r="98" spans="1:13">
      <c r="A98" s="308">
        <f t="shared" si="21"/>
        <v>15</v>
      </c>
      <c r="B98" s="382">
        <v>1000001500</v>
      </c>
      <c r="C98" s="315" t="s">
        <v>511</v>
      </c>
      <c r="D98" s="308" t="s">
        <v>509</v>
      </c>
      <c r="E98" s="311">
        <v>0</v>
      </c>
      <c r="F98" s="311">
        <f>+H98-E98</f>
        <v>321905</v>
      </c>
      <c r="G98" s="311">
        <f>+H98*5%</f>
        <v>16095.25</v>
      </c>
      <c r="H98" s="386">
        <f>298617+23288</f>
        <v>321905</v>
      </c>
      <c r="I98" s="312">
        <f>+G98/H98%</f>
        <v>5</v>
      </c>
      <c r="J98" s="308" t="s">
        <v>481</v>
      </c>
    </row>
    <row r="99" spans="1:13">
      <c r="A99" s="308">
        <f t="shared" si="21"/>
        <v>16</v>
      </c>
      <c r="B99" s="382">
        <v>1000002426</v>
      </c>
      <c r="C99" s="315" t="s">
        <v>512</v>
      </c>
      <c r="D99" s="308" t="s">
        <v>509</v>
      </c>
      <c r="E99" s="311">
        <v>0</v>
      </c>
      <c r="F99" s="311">
        <f>+H99-E99</f>
        <v>429490</v>
      </c>
      <c r="G99" s="311">
        <f>+H99*5%</f>
        <v>21474.5</v>
      </c>
      <c r="H99" s="386">
        <v>429490</v>
      </c>
      <c r="I99" s="312">
        <f>+G99/H99%</f>
        <v>5</v>
      </c>
      <c r="J99" s="308" t="s">
        <v>481</v>
      </c>
    </row>
    <row r="100" spans="1:13">
      <c r="A100" s="308"/>
      <c r="B100" s="382"/>
      <c r="C100" s="315"/>
      <c r="D100" s="383" t="s">
        <v>509</v>
      </c>
      <c r="E100" s="317">
        <f t="shared" ref="E100" si="22">SUM(E96:E99)</f>
        <v>339771.98</v>
      </c>
      <c r="F100" s="384"/>
      <c r="G100" s="384"/>
      <c r="H100" s="384"/>
      <c r="I100" s="385"/>
      <c r="J100" s="308" t="s">
        <v>481</v>
      </c>
    </row>
    <row r="101" spans="1:13">
      <c r="A101" s="308">
        <v>1</v>
      </c>
      <c r="B101" s="391"/>
      <c r="C101" s="392" t="s">
        <v>513</v>
      </c>
      <c r="D101" s="392" t="s">
        <v>514</v>
      </c>
      <c r="E101" s="311">
        <v>0</v>
      </c>
      <c r="F101" s="311">
        <f>+H101-E101</f>
        <v>29769249.129999999</v>
      </c>
      <c r="G101" s="393">
        <v>0</v>
      </c>
      <c r="H101" s="393">
        <v>29769249.129999999</v>
      </c>
      <c r="I101" s="394"/>
      <c r="J101" s="308" t="s">
        <v>481</v>
      </c>
    </row>
    <row r="102" spans="1:13">
      <c r="A102" s="308"/>
      <c r="B102" s="391"/>
      <c r="C102" s="392"/>
      <c r="D102" s="395" t="s">
        <v>515</v>
      </c>
      <c r="E102" s="396">
        <f t="shared" ref="E102" si="23">SUM(E101:E101)</f>
        <v>0</v>
      </c>
      <c r="F102" s="397"/>
      <c r="G102" s="397"/>
      <c r="H102" s="397"/>
      <c r="I102" s="398"/>
    </row>
    <row r="103" spans="1:13">
      <c r="A103" s="308">
        <v>1</v>
      </c>
      <c r="B103" s="382">
        <v>3000000319</v>
      </c>
      <c r="C103" s="315" t="s">
        <v>516</v>
      </c>
      <c r="D103" s="376" t="s">
        <v>517</v>
      </c>
      <c r="E103" s="311">
        <v>0</v>
      </c>
      <c r="F103" s="311">
        <f t="shared" ref="F103:F119" si="24">+H103-E103</f>
        <v>338500</v>
      </c>
      <c r="G103" s="311">
        <f>+H103*18%</f>
        <v>60930</v>
      </c>
      <c r="H103" s="317">
        <v>338500</v>
      </c>
      <c r="I103" s="312">
        <f t="shared" ref="I103:I119" si="25">+G103/H103%</f>
        <v>18</v>
      </c>
      <c r="J103" s="308" t="s">
        <v>481</v>
      </c>
      <c r="K103" s="302" t="s">
        <v>518</v>
      </c>
    </row>
    <row r="104" spans="1:13">
      <c r="A104" s="308">
        <v>1</v>
      </c>
      <c r="B104" s="382">
        <v>3000000404</v>
      </c>
      <c r="C104" s="315" t="s">
        <v>494</v>
      </c>
      <c r="D104" s="376" t="s">
        <v>517</v>
      </c>
      <c r="E104" s="311">
        <v>0</v>
      </c>
      <c r="F104" s="311">
        <f t="shared" si="24"/>
        <v>310918</v>
      </c>
      <c r="G104" s="311">
        <f>+H104*5%</f>
        <v>15545.900000000001</v>
      </c>
      <c r="H104" s="386">
        <v>310918</v>
      </c>
      <c r="I104" s="312">
        <f t="shared" si="25"/>
        <v>5.0000000000000009</v>
      </c>
      <c r="J104" s="308" t="s">
        <v>481</v>
      </c>
      <c r="K104" s="302" t="s">
        <v>518</v>
      </c>
      <c r="L104" s="302" t="s">
        <v>519</v>
      </c>
    </row>
    <row r="105" spans="1:13">
      <c r="A105" s="308">
        <v>1</v>
      </c>
      <c r="B105" s="382">
        <v>3000000417</v>
      </c>
      <c r="C105" s="315" t="s">
        <v>520</v>
      </c>
      <c r="D105" s="376" t="s">
        <v>517</v>
      </c>
      <c r="E105" s="311">
        <v>0</v>
      </c>
      <c r="F105" s="311">
        <f t="shared" si="24"/>
        <v>570451</v>
      </c>
      <c r="G105" s="311">
        <f>+H105*18%</f>
        <v>102681.18</v>
      </c>
      <c r="H105" s="317">
        <f>504096+8655+57700</f>
        <v>570451</v>
      </c>
      <c r="I105" s="312">
        <f t="shared" si="25"/>
        <v>17.999999999999996</v>
      </c>
      <c r="J105" s="308" t="s">
        <v>481</v>
      </c>
      <c r="K105" s="302" t="s">
        <v>521</v>
      </c>
      <c r="L105" s="328" t="s">
        <v>22</v>
      </c>
    </row>
    <row r="106" spans="1:13">
      <c r="A106" s="308">
        <v>1</v>
      </c>
      <c r="B106" s="382">
        <v>3000000428</v>
      </c>
      <c r="C106" s="315" t="s">
        <v>522</v>
      </c>
      <c r="D106" s="376" t="s">
        <v>517</v>
      </c>
      <c r="E106" s="311"/>
      <c r="F106" s="311">
        <f t="shared" si="24"/>
        <v>929661</v>
      </c>
      <c r="G106" s="311">
        <f>152573+14766</f>
        <v>167339</v>
      </c>
      <c r="H106" s="317">
        <v>929661</v>
      </c>
      <c r="I106" s="312">
        <f t="shared" si="25"/>
        <v>18.000002151321826</v>
      </c>
      <c r="J106" s="308" t="s">
        <v>481</v>
      </c>
      <c r="K106" s="302" t="s">
        <v>521</v>
      </c>
      <c r="L106" s="328" t="s">
        <v>22</v>
      </c>
      <c r="M106" s="302" t="s">
        <v>519</v>
      </c>
    </row>
    <row r="107" spans="1:13">
      <c r="A107" s="308">
        <f t="shared" ref="A107:A119" si="26">+A106+1</f>
        <v>2</v>
      </c>
      <c r="B107" s="399">
        <v>3000000423</v>
      </c>
      <c r="C107" s="400" t="s">
        <v>523</v>
      </c>
      <c r="D107" s="376" t="s">
        <v>517</v>
      </c>
      <c r="E107" s="311"/>
      <c r="F107" s="311">
        <f t="shared" si="24"/>
        <v>304503</v>
      </c>
      <c r="G107" s="401"/>
      <c r="H107" s="402">
        <f>111655-22500+129123+86225</f>
        <v>304503</v>
      </c>
      <c r="I107" s="312">
        <f t="shared" si="25"/>
        <v>0</v>
      </c>
      <c r="J107" s="308" t="s">
        <v>481</v>
      </c>
      <c r="K107" s="302" t="s">
        <v>524</v>
      </c>
    </row>
    <row r="108" spans="1:13">
      <c r="A108" s="308">
        <f t="shared" si="26"/>
        <v>3</v>
      </c>
      <c r="B108" s="382">
        <v>3000000299</v>
      </c>
      <c r="C108" s="315" t="s">
        <v>525</v>
      </c>
      <c r="D108" s="376" t="s">
        <v>517</v>
      </c>
      <c r="E108" s="311"/>
      <c r="F108" s="311">
        <f t="shared" si="24"/>
        <v>9386452</v>
      </c>
      <c r="G108" s="311">
        <f>H108*18%</f>
        <v>1689561.3599999999</v>
      </c>
      <c r="H108" s="317">
        <v>9386452</v>
      </c>
      <c r="I108" s="312">
        <f t="shared" si="25"/>
        <v>17.999999999999996</v>
      </c>
      <c r="J108" s="308" t="s">
        <v>481</v>
      </c>
      <c r="K108" s="302" t="s">
        <v>524</v>
      </c>
    </row>
    <row r="109" spans="1:13">
      <c r="A109" s="308">
        <f t="shared" si="26"/>
        <v>4</v>
      </c>
      <c r="B109" s="382">
        <v>3000000481</v>
      </c>
      <c r="C109" s="315" t="s">
        <v>526</v>
      </c>
      <c r="D109" s="376" t="s">
        <v>517</v>
      </c>
      <c r="E109" s="311"/>
      <c r="F109" s="311">
        <f t="shared" si="24"/>
        <v>1539893</v>
      </c>
      <c r="G109" s="311">
        <v>283050</v>
      </c>
      <c r="H109" s="317">
        <v>1539893</v>
      </c>
      <c r="I109" s="312">
        <f t="shared" si="25"/>
        <v>18.381147261530508</v>
      </c>
      <c r="J109" s="308" t="s">
        <v>481</v>
      </c>
      <c r="K109" s="302" t="s">
        <v>518</v>
      </c>
      <c r="L109" s="302" t="s">
        <v>527</v>
      </c>
    </row>
    <row r="110" spans="1:13">
      <c r="A110" s="308">
        <f t="shared" si="26"/>
        <v>5</v>
      </c>
      <c r="B110" s="382">
        <v>3000000516</v>
      </c>
      <c r="C110" s="315" t="s">
        <v>528</v>
      </c>
      <c r="D110" s="308" t="s">
        <v>517</v>
      </c>
      <c r="E110" s="311"/>
      <c r="F110" s="311">
        <f t="shared" si="24"/>
        <v>786642.37288135604</v>
      </c>
      <c r="G110" s="311">
        <f>+H110*18%</f>
        <v>141595.62711864407</v>
      </c>
      <c r="H110" s="317">
        <v>786642.37288135604</v>
      </c>
      <c r="I110" s="312">
        <f t="shared" si="25"/>
        <v>18</v>
      </c>
      <c r="J110" s="308" t="s">
        <v>481</v>
      </c>
      <c r="K110" s="302" t="s">
        <v>518</v>
      </c>
      <c r="L110" s="302" t="s">
        <v>529</v>
      </c>
    </row>
    <row r="111" spans="1:13">
      <c r="A111" s="308">
        <f t="shared" si="26"/>
        <v>6</v>
      </c>
      <c r="B111" s="382">
        <v>3000000528</v>
      </c>
      <c r="C111" s="315" t="s">
        <v>530</v>
      </c>
      <c r="D111" s="376" t="s">
        <v>517</v>
      </c>
      <c r="E111" s="311"/>
      <c r="F111" s="311">
        <f t="shared" si="24"/>
        <v>2875504</v>
      </c>
      <c r="G111" s="311">
        <f>+H111*18%</f>
        <v>517590.72</v>
      </c>
      <c r="H111" s="317">
        <v>2875504</v>
      </c>
      <c r="I111" s="312">
        <f t="shared" si="25"/>
        <v>18</v>
      </c>
      <c r="J111" s="308" t="s">
        <v>481</v>
      </c>
      <c r="K111" s="302" t="s">
        <v>524</v>
      </c>
    </row>
    <row r="112" spans="1:13">
      <c r="A112" s="308">
        <f t="shared" si="26"/>
        <v>7</v>
      </c>
      <c r="B112" s="382">
        <v>3000000332</v>
      </c>
      <c r="C112" s="315" t="s">
        <v>531</v>
      </c>
      <c r="D112" s="308" t="s">
        <v>517</v>
      </c>
      <c r="E112" s="311"/>
      <c r="F112" s="311">
        <f t="shared" si="24"/>
        <v>5536928</v>
      </c>
      <c r="G112" s="311">
        <v>996647</v>
      </c>
      <c r="H112" s="317">
        <v>5536928</v>
      </c>
      <c r="I112" s="312">
        <f t="shared" si="25"/>
        <v>17.999999277577746</v>
      </c>
      <c r="J112" s="308" t="s">
        <v>481</v>
      </c>
      <c r="K112" s="302" t="s">
        <v>524</v>
      </c>
      <c r="L112" s="302" t="s">
        <v>532</v>
      </c>
    </row>
    <row r="113" spans="1:12">
      <c r="A113" s="308">
        <f t="shared" si="26"/>
        <v>8</v>
      </c>
      <c r="B113" s="382">
        <v>3000000306</v>
      </c>
      <c r="C113" s="315" t="s">
        <v>533</v>
      </c>
      <c r="D113" s="308" t="s">
        <v>517</v>
      </c>
      <c r="E113" s="311"/>
      <c r="F113" s="311">
        <f t="shared" si="24"/>
        <v>519430</v>
      </c>
      <c r="G113" s="311">
        <f t="shared" ref="G113:G119" si="27">+H113*18%</f>
        <v>93497.4</v>
      </c>
      <c r="H113" s="386">
        <v>519430</v>
      </c>
      <c r="I113" s="312">
        <f t="shared" si="25"/>
        <v>18</v>
      </c>
      <c r="J113" s="308" t="s">
        <v>481</v>
      </c>
      <c r="K113" s="302" t="s">
        <v>524</v>
      </c>
    </row>
    <row r="114" spans="1:12">
      <c r="A114" s="308">
        <f t="shared" si="26"/>
        <v>9</v>
      </c>
      <c r="B114" s="382">
        <v>3000000009</v>
      </c>
      <c r="C114" s="315" t="s">
        <v>534</v>
      </c>
      <c r="D114" s="308" t="s">
        <v>517</v>
      </c>
      <c r="E114" s="311"/>
      <c r="F114" s="311">
        <f t="shared" si="24"/>
        <v>4044095</v>
      </c>
      <c r="G114" s="311">
        <f t="shared" si="27"/>
        <v>727937.1</v>
      </c>
      <c r="H114" s="317">
        <f>1932979+1051066+1060050</f>
        <v>4044095</v>
      </c>
      <c r="I114" s="312">
        <f t="shared" si="25"/>
        <v>18</v>
      </c>
      <c r="J114" s="308" t="s">
        <v>481</v>
      </c>
      <c r="K114" s="302" t="s">
        <v>521</v>
      </c>
      <c r="L114" s="328" t="s">
        <v>22</v>
      </c>
    </row>
    <row r="115" spans="1:12">
      <c r="A115" s="308">
        <f t="shared" si="26"/>
        <v>10</v>
      </c>
      <c r="B115" s="399">
        <v>3000000629</v>
      </c>
      <c r="C115" s="403" t="s">
        <v>446</v>
      </c>
      <c r="D115" s="319" t="s">
        <v>517</v>
      </c>
      <c r="E115" s="311"/>
      <c r="F115" s="311">
        <f t="shared" si="24"/>
        <v>400000</v>
      </c>
      <c r="G115" s="401">
        <f t="shared" si="27"/>
        <v>72000</v>
      </c>
      <c r="H115" s="401">
        <v>400000</v>
      </c>
      <c r="I115" s="312">
        <f t="shared" si="25"/>
        <v>18</v>
      </c>
      <c r="J115" s="308" t="s">
        <v>481</v>
      </c>
      <c r="K115" s="302" t="s">
        <v>518</v>
      </c>
      <c r="L115" s="302" t="s">
        <v>535</v>
      </c>
    </row>
    <row r="116" spans="1:12">
      <c r="A116" s="308">
        <f t="shared" si="26"/>
        <v>11</v>
      </c>
      <c r="B116" s="399">
        <v>3000000669</v>
      </c>
      <c r="C116" s="403" t="s">
        <v>536</v>
      </c>
      <c r="D116" s="319" t="s">
        <v>517</v>
      </c>
      <c r="E116" s="311"/>
      <c r="F116" s="311">
        <f t="shared" si="24"/>
        <v>99600</v>
      </c>
      <c r="G116" s="401">
        <f t="shared" si="27"/>
        <v>17928</v>
      </c>
      <c r="H116" s="401">
        <v>99600</v>
      </c>
      <c r="I116" s="312">
        <f t="shared" si="25"/>
        <v>18</v>
      </c>
      <c r="J116" s="308" t="s">
        <v>481</v>
      </c>
      <c r="K116" s="302" t="s">
        <v>521</v>
      </c>
      <c r="L116" s="328" t="s">
        <v>22</v>
      </c>
    </row>
    <row r="117" spans="1:12">
      <c r="A117" s="308">
        <f t="shared" si="26"/>
        <v>12</v>
      </c>
      <c r="B117" s="404">
        <v>3000000940</v>
      </c>
      <c r="C117" s="405" t="s">
        <v>537</v>
      </c>
      <c r="D117" s="319" t="s">
        <v>517</v>
      </c>
      <c r="E117" s="311"/>
      <c r="F117" s="311">
        <f t="shared" si="24"/>
        <v>311318</v>
      </c>
      <c r="G117" s="311">
        <f t="shared" si="27"/>
        <v>56037.24</v>
      </c>
      <c r="H117" s="311">
        <v>311318</v>
      </c>
      <c r="I117" s="312">
        <f t="shared" si="25"/>
        <v>18</v>
      </c>
      <c r="J117" s="308" t="s">
        <v>481</v>
      </c>
      <c r="K117" s="302" t="s">
        <v>521</v>
      </c>
      <c r="L117" s="328" t="s">
        <v>22</v>
      </c>
    </row>
    <row r="118" spans="1:12">
      <c r="A118" s="308">
        <f t="shared" si="26"/>
        <v>13</v>
      </c>
      <c r="B118" s="406">
        <v>3000000679</v>
      </c>
      <c r="C118" s="347" t="s">
        <v>538</v>
      </c>
      <c r="D118" s="319" t="s">
        <v>517</v>
      </c>
      <c r="E118" s="311"/>
      <c r="F118" s="311">
        <f t="shared" si="24"/>
        <v>648796.25</v>
      </c>
      <c r="G118" s="311">
        <f t="shared" si="27"/>
        <v>116783.325</v>
      </c>
      <c r="H118" s="311">
        <f>416537.5+232258.75</f>
        <v>648796.25</v>
      </c>
      <c r="I118" s="312">
        <f t="shared" si="25"/>
        <v>18</v>
      </c>
      <c r="J118" s="308" t="s">
        <v>481</v>
      </c>
      <c r="K118" s="302" t="s">
        <v>521</v>
      </c>
      <c r="L118" s="328" t="s">
        <v>22</v>
      </c>
    </row>
    <row r="119" spans="1:12">
      <c r="A119" s="308">
        <f t="shared" si="26"/>
        <v>14</v>
      </c>
      <c r="B119" s="406"/>
      <c r="C119" s="347" t="s">
        <v>539</v>
      </c>
      <c r="D119" s="319" t="s">
        <v>517</v>
      </c>
      <c r="E119" s="311">
        <v>0</v>
      </c>
      <c r="F119" s="311">
        <f t="shared" si="24"/>
        <v>9811133</v>
      </c>
      <c r="G119" s="311">
        <f t="shared" si="27"/>
        <v>1766003.94</v>
      </c>
      <c r="H119" s="311">
        <v>9811133</v>
      </c>
      <c r="I119" s="312">
        <f t="shared" si="25"/>
        <v>18</v>
      </c>
      <c r="J119" s="308" t="s">
        <v>481</v>
      </c>
    </row>
    <row r="120" spans="1:12">
      <c r="A120" s="308"/>
      <c r="B120" s="399"/>
      <c r="C120" s="403"/>
      <c r="D120" s="407" t="s">
        <v>517</v>
      </c>
      <c r="E120" s="401">
        <f t="shared" ref="E120" si="28">SUM(E103:E119)</f>
        <v>0</v>
      </c>
      <c r="F120" s="408"/>
      <c r="G120" s="408"/>
      <c r="H120" s="408"/>
      <c r="I120" s="409"/>
    </row>
    <row r="121" spans="1:12">
      <c r="A121" s="308">
        <f>+A119+1</f>
        <v>15</v>
      </c>
      <c r="B121" s="382">
        <v>3000000355</v>
      </c>
      <c r="C121" s="315" t="s">
        <v>540</v>
      </c>
      <c r="D121" s="345" t="s">
        <v>541</v>
      </c>
      <c r="E121" s="311">
        <v>36000</v>
      </c>
      <c r="F121" s="311">
        <f>+H121-E121</f>
        <v>100000</v>
      </c>
      <c r="G121" s="311">
        <f>+H121*18%</f>
        <v>24480</v>
      </c>
      <c r="H121" s="317">
        <v>136000</v>
      </c>
      <c r="I121" s="312">
        <f>+G121/H121%</f>
        <v>18</v>
      </c>
      <c r="J121" s="308" t="s">
        <v>360</v>
      </c>
    </row>
    <row r="122" spans="1:12">
      <c r="A122" s="308">
        <f t="shared" ref="A122:A124" si="29">+A121+1</f>
        <v>16</v>
      </c>
      <c r="B122" s="382"/>
      <c r="C122" s="387" t="s">
        <v>542</v>
      </c>
      <c r="D122" s="308" t="s">
        <v>541</v>
      </c>
      <c r="E122" s="311">
        <v>0</v>
      </c>
      <c r="F122" s="311">
        <f>+H122-E122</f>
        <v>52000</v>
      </c>
      <c r="G122" s="311">
        <f>+H122*18%</f>
        <v>9360</v>
      </c>
      <c r="H122" s="386">
        <v>52000</v>
      </c>
      <c r="I122" s="312">
        <f>+G122/H122%</f>
        <v>18</v>
      </c>
      <c r="J122" s="308" t="s">
        <v>360</v>
      </c>
    </row>
    <row r="123" spans="1:12">
      <c r="A123" s="308">
        <f t="shared" si="29"/>
        <v>17</v>
      </c>
      <c r="B123" s="382"/>
      <c r="C123" s="387" t="s">
        <v>543</v>
      </c>
      <c r="D123" s="308" t="s">
        <v>541</v>
      </c>
      <c r="E123" s="311">
        <v>0</v>
      </c>
      <c r="F123" s="311">
        <f>+H123-E123</f>
        <v>525000</v>
      </c>
      <c r="G123" s="311">
        <f>+H123*18%</f>
        <v>94500</v>
      </c>
      <c r="H123" s="386">
        <v>525000</v>
      </c>
      <c r="I123" s="312">
        <f>+G123/H123%</f>
        <v>18</v>
      </c>
      <c r="J123" s="308" t="s">
        <v>360</v>
      </c>
    </row>
    <row r="124" spans="1:12">
      <c r="A124" s="308">
        <f t="shared" si="29"/>
        <v>18</v>
      </c>
      <c r="B124" s="382">
        <v>3000000310</v>
      </c>
      <c r="C124" s="387" t="s">
        <v>544</v>
      </c>
      <c r="D124" s="308" t="s">
        <v>541</v>
      </c>
      <c r="E124" s="311">
        <v>0</v>
      </c>
      <c r="F124" s="311">
        <f>+H124-E124</f>
        <v>100000</v>
      </c>
      <c r="G124" s="311">
        <v>0</v>
      </c>
      <c r="H124" s="317">
        <v>100000</v>
      </c>
      <c r="I124" s="312">
        <f>+G124/H124%</f>
        <v>0</v>
      </c>
      <c r="J124" s="308" t="s">
        <v>360</v>
      </c>
    </row>
    <row r="125" spans="1:12">
      <c r="A125" s="308"/>
      <c r="B125" s="382"/>
      <c r="C125" s="387"/>
      <c r="D125" s="383" t="s">
        <v>541</v>
      </c>
      <c r="E125" s="317">
        <f t="shared" ref="E125" si="30">SUM(E121:E124)</f>
        <v>36000</v>
      </c>
      <c r="F125" s="384"/>
      <c r="G125" s="384"/>
      <c r="H125" s="384"/>
      <c r="I125" s="385"/>
    </row>
    <row r="126" spans="1:12">
      <c r="A126" s="308">
        <f>+A101+1</f>
        <v>2</v>
      </c>
      <c r="B126" s="410">
        <v>3000000627</v>
      </c>
      <c r="C126" s="411" t="s">
        <v>545</v>
      </c>
      <c r="D126" s="412" t="s">
        <v>546</v>
      </c>
      <c r="E126" s="311">
        <v>50000</v>
      </c>
      <c r="F126" s="311">
        <f t="shared" ref="F126:F131" si="31">+H126-E126</f>
        <v>20000</v>
      </c>
      <c r="G126" s="413">
        <v>0</v>
      </c>
      <c r="H126" s="413">
        <v>70000</v>
      </c>
      <c r="I126" s="312">
        <f t="shared" ref="I126:I131" si="32">+G126/H126%</f>
        <v>0</v>
      </c>
      <c r="J126" s="308" t="s">
        <v>360</v>
      </c>
    </row>
    <row r="127" spans="1:12">
      <c r="A127" s="308">
        <f t="shared" ref="A127:A131" si="33">+A126+1</f>
        <v>3</v>
      </c>
      <c r="B127" s="382">
        <v>3000000321</v>
      </c>
      <c r="C127" s="315" t="s">
        <v>547</v>
      </c>
      <c r="D127" s="412" t="s">
        <v>546</v>
      </c>
      <c r="E127" s="311">
        <v>117864</v>
      </c>
      <c r="F127" s="311">
        <f t="shared" si="31"/>
        <v>1340208</v>
      </c>
      <c r="G127" s="311">
        <f>+H127*18%</f>
        <v>262452.95999999996</v>
      </c>
      <c r="H127" s="317">
        <f>1295500+162572</f>
        <v>1458072</v>
      </c>
      <c r="I127" s="312">
        <f t="shared" si="32"/>
        <v>18</v>
      </c>
      <c r="J127" s="308" t="s">
        <v>360</v>
      </c>
    </row>
    <row r="128" spans="1:12">
      <c r="A128" s="308">
        <f t="shared" si="33"/>
        <v>4</v>
      </c>
      <c r="B128" s="382">
        <v>3000000156</v>
      </c>
      <c r="C128" s="315" t="s">
        <v>548</v>
      </c>
      <c r="D128" s="412" t="s">
        <v>546</v>
      </c>
      <c r="E128" s="311">
        <v>76096.77</v>
      </c>
      <c r="F128" s="311">
        <f t="shared" si="31"/>
        <v>560734.23</v>
      </c>
      <c r="G128" s="311">
        <f>+H128*18%</f>
        <v>114629.58</v>
      </c>
      <c r="H128" s="317">
        <f>328825+145244+77666+9000+49000+27096</f>
        <v>636831</v>
      </c>
      <c r="I128" s="312">
        <f t="shared" si="32"/>
        <v>18</v>
      </c>
      <c r="J128" s="308" t="s">
        <v>360</v>
      </c>
    </row>
    <row r="129" spans="1:10">
      <c r="A129" s="308">
        <f t="shared" si="33"/>
        <v>5</v>
      </c>
      <c r="B129" s="399">
        <v>3000000029</v>
      </c>
      <c r="C129" s="414" t="s">
        <v>549</v>
      </c>
      <c r="D129" s="319" t="s">
        <v>546</v>
      </c>
      <c r="E129" s="311">
        <v>40000</v>
      </c>
      <c r="F129" s="311">
        <f t="shared" si="31"/>
        <v>0</v>
      </c>
      <c r="G129" s="401">
        <f>+H129*18%</f>
        <v>7200</v>
      </c>
      <c r="H129" s="402">
        <v>40000</v>
      </c>
      <c r="I129" s="312">
        <f t="shared" si="32"/>
        <v>18</v>
      </c>
      <c r="J129" s="308" t="s">
        <v>360</v>
      </c>
    </row>
    <row r="130" spans="1:10">
      <c r="A130" s="308">
        <f t="shared" si="33"/>
        <v>6</v>
      </c>
      <c r="B130" s="399">
        <v>3000000268</v>
      </c>
      <c r="C130" s="400" t="s">
        <v>550</v>
      </c>
      <c r="D130" s="412" t="s">
        <v>546</v>
      </c>
      <c r="E130" s="311">
        <v>180000</v>
      </c>
      <c r="F130" s="311">
        <f t="shared" si="31"/>
        <v>0</v>
      </c>
      <c r="G130" s="401">
        <f>+H130*18%</f>
        <v>32400</v>
      </c>
      <c r="H130" s="402">
        <v>180000</v>
      </c>
      <c r="I130" s="312">
        <f t="shared" si="32"/>
        <v>18</v>
      </c>
      <c r="J130" s="308" t="s">
        <v>360</v>
      </c>
    </row>
    <row r="131" spans="1:10">
      <c r="A131" s="308">
        <f t="shared" si="33"/>
        <v>7</v>
      </c>
      <c r="B131" s="399">
        <v>3000000766</v>
      </c>
      <c r="C131" s="415" t="s">
        <v>551</v>
      </c>
      <c r="D131" s="412" t="s">
        <v>546</v>
      </c>
      <c r="E131" s="311">
        <v>322443.21999999997</v>
      </c>
      <c r="F131" s="311">
        <f t="shared" si="31"/>
        <v>-0.21999999997206032</v>
      </c>
      <c r="G131" s="401">
        <f>+H131*18%</f>
        <v>58039.74</v>
      </c>
      <c r="H131" s="402">
        <v>322443</v>
      </c>
      <c r="I131" s="312">
        <f t="shared" si="32"/>
        <v>18</v>
      </c>
      <c r="J131" s="308" t="s">
        <v>360</v>
      </c>
    </row>
    <row r="132" spans="1:10">
      <c r="A132" s="308"/>
      <c r="B132" s="399"/>
      <c r="C132" s="415"/>
      <c r="D132" s="416" t="s">
        <v>546</v>
      </c>
      <c r="E132" s="402">
        <f t="shared" ref="E132" si="34">SUM(E126:E131)</f>
        <v>786403.99</v>
      </c>
      <c r="F132" s="417"/>
      <c r="G132" s="417"/>
      <c r="H132" s="417"/>
      <c r="I132" s="418"/>
    </row>
    <row r="133" spans="1:10">
      <c r="A133" s="308">
        <f>+A124+1</f>
        <v>19</v>
      </c>
      <c r="B133" s="382">
        <v>3000000498</v>
      </c>
      <c r="C133" s="315" t="s">
        <v>552</v>
      </c>
      <c r="D133" s="308" t="s">
        <v>553</v>
      </c>
      <c r="E133" s="311">
        <v>0</v>
      </c>
      <c r="F133" s="311">
        <f t="shared" ref="F133:F144" si="35">+H133-E133</f>
        <v>515000</v>
      </c>
      <c r="G133" s="311">
        <v>0</v>
      </c>
      <c r="H133" s="386">
        <v>515000</v>
      </c>
      <c r="I133" s="312"/>
      <c r="J133" s="308" t="s">
        <v>360</v>
      </c>
    </row>
    <row r="134" spans="1:10">
      <c r="A134" s="308">
        <f t="shared" ref="A134:A144" si="36">+A133+1</f>
        <v>20</v>
      </c>
      <c r="B134" s="382">
        <v>3000000432</v>
      </c>
      <c r="C134" s="315" t="s">
        <v>554</v>
      </c>
      <c r="D134" s="308" t="s">
        <v>553</v>
      </c>
      <c r="E134" s="311">
        <v>0</v>
      </c>
      <c r="F134" s="311">
        <f t="shared" si="35"/>
        <v>830550</v>
      </c>
      <c r="G134" s="311">
        <v>0</v>
      </c>
      <c r="H134" s="317">
        <v>830550</v>
      </c>
      <c r="I134" s="312"/>
      <c r="J134" s="308" t="s">
        <v>360</v>
      </c>
    </row>
    <row r="135" spans="1:10">
      <c r="A135" s="308">
        <f t="shared" si="36"/>
        <v>21</v>
      </c>
      <c r="B135" s="382">
        <v>3000000543</v>
      </c>
      <c r="C135" s="315" t="s">
        <v>555</v>
      </c>
      <c r="D135" s="308" t="s">
        <v>553</v>
      </c>
      <c r="E135" s="311">
        <v>689500</v>
      </c>
      <c r="F135" s="311">
        <f t="shared" si="35"/>
        <v>413500</v>
      </c>
      <c r="G135" s="311">
        <v>0</v>
      </c>
      <c r="H135" s="317">
        <v>1103000</v>
      </c>
      <c r="I135" s="312"/>
      <c r="J135" s="308" t="s">
        <v>360</v>
      </c>
    </row>
    <row r="136" spans="1:10">
      <c r="A136" s="308">
        <f t="shared" si="36"/>
        <v>22</v>
      </c>
      <c r="B136" s="382">
        <v>3000000599</v>
      </c>
      <c r="C136" s="315" t="s">
        <v>556</v>
      </c>
      <c r="D136" s="308" t="s">
        <v>553</v>
      </c>
      <c r="E136" s="311">
        <v>21000</v>
      </c>
      <c r="F136" s="311">
        <f t="shared" si="35"/>
        <v>19050</v>
      </c>
      <c r="G136" s="311">
        <v>0</v>
      </c>
      <c r="H136" s="386">
        <v>40050</v>
      </c>
      <c r="I136" s="312"/>
      <c r="J136" s="308" t="s">
        <v>360</v>
      </c>
    </row>
    <row r="137" spans="1:10">
      <c r="A137" s="308">
        <f t="shared" si="36"/>
        <v>23</v>
      </c>
      <c r="B137" s="399">
        <v>3000000548</v>
      </c>
      <c r="C137" s="403" t="s">
        <v>557</v>
      </c>
      <c r="D137" s="319" t="s">
        <v>553</v>
      </c>
      <c r="E137" s="311">
        <v>18500</v>
      </c>
      <c r="F137" s="311">
        <f t="shared" si="35"/>
        <v>0</v>
      </c>
      <c r="G137" s="401">
        <v>0</v>
      </c>
      <c r="H137" s="401">
        <v>18500</v>
      </c>
      <c r="I137" s="409"/>
      <c r="J137" s="308" t="s">
        <v>360</v>
      </c>
    </row>
    <row r="138" spans="1:10">
      <c r="A138" s="308">
        <f t="shared" si="36"/>
        <v>24</v>
      </c>
      <c r="B138" s="399">
        <v>3000000667</v>
      </c>
      <c r="C138" s="403" t="s">
        <v>558</v>
      </c>
      <c r="D138" s="319" t="s">
        <v>553</v>
      </c>
      <c r="E138" s="311">
        <v>0</v>
      </c>
      <c r="F138" s="311">
        <f t="shared" si="35"/>
        <v>85000</v>
      </c>
      <c r="G138" s="401">
        <v>0</v>
      </c>
      <c r="H138" s="401">
        <v>85000</v>
      </c>
      <c r="I138" s="409"/>
      <c r="J138" s="308" t="s">
        <v>360</v>
      </c>
    </row>
    <row r="139" spans="1:10">
      <c r="A139" s="308">
        <f t="shared" si="36"/>
        <v>25</v>
      </c>
      <c r="B139" s="399">
        <v>3000000044</v>
      </c>
      <c r="C139" s="403" t="s">
        <v>559</v>
      </c>
      <c r="D139" s="319" t="s">
        <v>553</v>
      </c>
      <c r="E139" s="311">
        <v>35569</v>
      </c>
      <c r="F139" s="311">
        <f t="shared" si="35"/>
        <v>5812</v>
      </c>
      <c r="G139" s="401"/>
      <c r="H139" s="401">
        <v>41381</v>
      </c>
      <c r="I139" s="409"/>
      <c r="J139" s="308" t="s">
        <v>360</v>
      </c>
    </row>
    <row r="140" spans="1:10">
      <c r="A140" s="308">
        <f t="shared" si="36"/>
        <v>26</v>
      </c>
      <c r="B140" s="399">
        <v>3000000531</v>
      </c>
      <c r="C140" s="403" t="s">
        <v>560</v>
      </c>
      <c r="D140" s="319" t="s">
        <v>553</v>
      </c>
      <c r="E140" s="311">
        <v>60000</v>
      </c>
      <c r="F140" s="311">
        <f t="shared" si="35"/>
        <v>0</v>
      </c>
      <c r="G140" s="401">
        <v>0</v>
      </c>
      <c r="H140" s="401">
        <v>60000</v>
      </c>
      <c r="I140" s="409"/>
      <c r="J140" s="308" t="s">
        <v>360</v>
      </c>
    </row>
    <row r="141" spans="1:10">
      <c r="A141" s="308">
        <f t="shared" si="36"/>
        <v>27</v>
      </c>
      <c r="B141" s="399">
        <v>3000000017</v>
      </c>
      <c r="C141" s="414" t="s">
        <v>561</v>
      </c>
      <c r="D141" s="319" t="s">
        <v>553</v>
      </c>
      <c r="E141" s="311">
        <v>139000</v>
      </c>
      <c r="F141" s="311">
        <f t="shared" si="35"/>
        <v>98864</v>
      </c>
      <c r="G141" s="401">
        <v>0</v>
      </c>
      <c r="H141" s="402">
        <f>68000+149864+20000</f>
        <v>237864</v>
      </c>
      <c r="I141" s="409"/>
      <c r="J141" s="308" t="s">
        <v>360</v>
      </c>
    </row>
    <row r="142" spans="1:10">
      <c r="A142" s="308">
        <f t="shared" si="36"/>
        <v>28</v>
      </c>
      <c r="B142" s="419">
        <v>3000000052</v>
      </c>
      <c r="C142" s="420" t="s">
        <v>562</v>
      </c>
      <c r="D142" s="421" t="s">
        <v>553</v>
      </c>
      <c r="E142" s="311">
        <v>19000</v>
      </c>
      <c r="F142" s="311">
        <f t="shared" si="35"/>
        <v>0</v>
      </c>
      <c r="G142" s="422">
        <v>0</v>
      </c>
      <c r="H142" s="423">
        <v>19000</v>
      </c>
      <c r="I142" s="424"/>
      <c r="J142" s="308" t="s">
        <v>360</v>
      </c>
    </row>
    <row r="143" spans="1:10">
      <c r="A143" s="308">
        <f t="shared" si="36"/>
        <v>29</v>
      </c>
      <c r="B143" s="399">
        <v>3000000682</v>
      </c>
      <c r="C143" s="403" t="s">
        <v>563</v>
      </c>
      <c r="D143" s="319" t="s">
        <v>553</v>
      </c>
      <c r="E143" s="311">
        <v>102440</v>
      </c>
      <c r="F143" s="311">
        <f t="shared" si="35"/>
        <v>0</v>
      </c>
      <c r="G143" s="401">
        <v>0</v>
      </c>
      <c r="H143" s="401">
        <v>102440</v>
      </c>
      <c r="I143" s="409"/>
      <c r="J143" s="308" t="s">
        <v>360</v>
      </c>
    </row>
    <row r="144" spans="1:10">
      <c r="A144" s="308">
        <f t="shared" si="36"/>
        <v>30</v>
      </c>
      <c r="B144" s="425">
        <v>3000000800</v>
      </c>
      <c r="C144" s="426" t="s">
        <v>564</v>
      </c>
      <c r="D144" s="308" t="s">
        <v>553</v>
      </c>
      <c r="E144" s="311">
        <v>14000</v>
      </c>
      <c r="F144" s="311">
        <f t="shared" si="35"/>
        <v>0</v>
      </c>
      <c r="G144" s="311">
        <v>0</v>
      </c>
      <c r="H144" s="317">
        <v>14000</v>
      </c>
      <c r="I144" s="312"/>
      <c r="J144" s="308" t="s">
        <v>360</v>
      </c>
    </row>
    <row r="145" spans="1:12">
      <c r="A145" s="308"/>
      <c r="B145" s="426"/>
      <c r="C145" s="426"/>
      <c r="D145" s="383" t="s">
        <v>553</v>
      </c>
      <c r="E145" s="317">
        <f t="shared" ref="E145" si="37">SUM(E133:E144)</f>
        <v>1099009</v>
      </c>
      <c r="F145" s="384"/>
      <c r="G145" s="384"/>
      <c r="H145" s="384"/>
      <c r="I145" s="385"/>
    </row>
    <row r="146" spans="1:12">
      <c r="A146" s="308">
        <f>+A144+1</f>
        <v>31</v>
      </c>
      <c r="B146" s="399">
        <v>3000000680</v>
      </c>
      <c r="C146" s="403" t="s">
        <v>565</v>
      </c>
      <c r="D146" s="319" t="s">
        <v>566</v>
      </c>
      <c r="E146" s="311">
        <v>421176</v>
      </c>
      <c r="F146" s="311">
        <f>+H146-E146</f>
        <v>49594</v>
      </c>
      <c r="G146" s="401">
        <v>0</v>
      </c>
      <c r="H146" s="401">
        <f>421176+49594</f>
        <v>470770</v>
      </c>
      <c r="I146" s="312">
        <f>+G146/H146%</f>
        <v>0</v>
      </c>
      <c r="J146" s="308" t="s">
        <v>360</v>
      </c>
    </row>
    <row r="147" spans="1:12">
      <c r="A147" s="345">
        <f>+A146+1</f>
        <v>32</v>
      </c>
      <c r="B147" s="427"/>
      <c r="C147" s="428" t="s">
        <v>567</v>
      </c>
      <c r="D147" s="421" t="s">
        <v>566</v>
      </c>
      <c r="E147" s="311">
        <v>0</v>
      </c>
      <c r="F147" s="311">
        <f>+H147-E147</f>
        <v>26203</v>
      </c>
      <c r="G147" s="346">
        <f>+H147*18%</f>
        <v>4716.54</v>
      </c>
      <c r="H147" s="390">
        <v>26203</v>
      </c>
      <c r="I147" s="312">
        <f>+G147/H147%</f>
        <v>18</v>
      </c>
      <c r="J147" s="308" t="s">
        <v>360</v>
      </c>
    </row>
    <row r="148" spans="1:12">
      <c r="A148" s="345">
        <v>60</v>
      </c>
      <c r="B148" s="427"/>
      <c r="C148" s="428" t="s">
        <v>568</v>
      </c>
      <c r="D148" s="421" t="s">
        <v>566</v>
      </c>
      <c r="E148" s="311">
        <v>759815</v>
      </c>
      <c r="F148" s="311">
        <f>+H148-E148</f>
        <v>248587.0600000011</v>
      </c>
      <c r="G148" s="346"/>
      <c r="H148" s="390">
        <f>'[4]Non Project Material '!H210</f>
        <v>1008402.0600000011</v>
      </c>
      <c r="I148" s="312">
        <f>+G148/H148%</f>
        <v>0</v>
      </c>
      <c r="J148" s="308" t="s">
        <v>360</v>
      </c>
    </row>
    <row r="149" spans="1:12">
      <c r="A149" s="308"/>
      <c r="B149" s="429"/>
      <c r="C149" s="387"/>
      <c r="D149" s="407" t="s">
        <v>566</v>
      </c>
      <c r="E149" s="317">
        <f>SUM(E146:E148)+66535</f>
        <v>1247526</v>
      </c>
      <c r="F149" s="384"/>
      <c r="G149" s="384"/>
      <c r="H149" s="384"/>
      <c r="I149" s="385"/>
      <c r="J149" s="308" t="s">
        <v>360</v>
      </c>
    </row>
    <row r="150" spans="1:12" ht="15.75" thickBot="1">
      <c r="A150" s="430"/>
      <c r="B150" s="431" t="s">
        <v>569</v>
      </c>
      <c r="C150" s="432" t="s">
        <v>570</v>
      </c>
      <c r="D150" s="430"/>
      <c r="E150" s="433">
        <f t="shared" ref="E150" si="38">E82+E86+E93+E95+E100+E102+E120+E125+E132+E145+E149</f>
        <v>4146821.7199999997</v>
      </c>
      <c r="F150" s="433">
        <f>SUM(F80:F149)</f>
        <v>93062955.092881367</v>
      </c>
      <c r="G150" s="433">
        <f t="shared" ref="G150:H150" si="39">SUM(G80:G149)</f>
        <v>10756608.912118644</v>
      </c>
      <c r="H150" s="433">
        <f t="shared" si="39"/>
        <v>97143241.812881351</v>
      </c>
      <c r="I150" s="434"/>
    </row>
    <row r="151" spans="1:12" ht="15.75" thickTop="1">
      <c r="A151" s="308">
        <v>1</v>
      </c>
      <c r="B151" s="435">
        <v>61110000</v>
      </c>
      <c r="C151" s="436" t="s">
        <v>571</v>
      </c>
      <c r="D151" s="383"/>
      <c r="E151" s="311">
        <f>IFERROR(VLOOKUP(B151,[4]Sheet6!$A:$C,3,0),0)+E153</f>
        <v>16766072</v>
      </c>
      <c r="F151" s="311">
        <f>+H151-E151</f>
        <v>0</v>
      </c>
      <c r="G151" s="437"/>
      <c r="H151" s="437">
        <f>16624000+142072</f>
        <v>16766072</v>
      </c>
      <c r="I151" s="438"/>
    </row>
    <row r="152" spans="1:12">
      <c r="A152" s="383"/>
      <c r="B152" s="439" t="s">
        <v>572</v>
      </c>
      <c r="C152" s="309" t="s">
        <v>573</v>
      </c>
      <c r="D152" s="383"/>
      <c r="E152" s="440">
        <f t="shared" ref="E152:F152" si="40">SUM(E151:E151)</f>
        <v>16766072</v>
      </c>
      <c r="F152" s="440">
        <f t="shared" si="40"/>
        <v>0</v>
      </c>
      <c r="G152" s="440">
        <f>SUM(G151:G151)</f>
        <v>0</v>
      </c>
      <c r="H152" s="440">
        <f>SUM(H151:H151)</f>
        <v>16766072</v>
      </c>
      <c r="I152" s="438"/>
    </row>
    <row r="153" spans="1:12">
      <c r="A153" s="441"/>
      <c r="B153" s="442"/>
      <c r="C153" s="309" t="s">
        <v>573</v>
      </c>
      <c r="D153" s="441"/>
      <c r="E153" s="443">
        <v>16624000</v>
      </c>
      <c r="F153" s="443"/>
      <c r="G153" s="443"/>
      <c r="H153" s="440">
        <f>+E153</f>
        <v>16624000</v>
      </c>
      <c r="I153" s="444"/>
    </row>
    <row r="154" spans="1:12" ht="15.75" thickBot="1">
      <c r="A154" s="445"/>
      <c r="B154" s="446"/>
      <c r="C154" s="445" t="s">
        <v>574</v>
      </c>
      <c r="D154" s="445"/>
      <c r="E154" s="447">
        <f>E76+E150+E152</f>
        <v>30726972.779999997</v>
      </c>
      <c r="F154" s="447">
        <f>F76+F150+F152</f>
        <v>218836392.10915256</v>
      </c>
      <c r="G154" s="447">
        <f>G76+G150+G152</f>
        <v>35099920.705847457</v>
      </c>
      <c r="H154" s="447">
        <f>H76+H150+H152</f>
        <v>249496829.88915253</v>
      </c>
      <c r="I154" s="448"/>
      <c r="J154" s="449"/>
    </row>
    <row r="156" spans="1:12">
      <c r="A156" s="327" t="s">
        <v>575</v>
      </c>
    </row>
    <row r="157" spans="1:12">
      <c r="A157" s="327" t="s">
        <v>576</v>
      </c>
    </row>
    <row r="158" spans="1:12">
      <c r="A158" s="308"/>
      <c r="B158" s="337">
        <v>1000002809</v>
      </c>
      <c r="C158" s="337" t="s">
        <v>466</v>
      </c>
      <c r="D158" s="308" t="s">
        <v>467</v>
      </c>
      <c r="E158" s="311">
        <v>86000</v>
      </c>
      <c r="F158" s="311">
        <f>+H158-E158</f>
        <v>0</v>
      </c>
      <c r="G158" s="311">
        <f>+H158*18%</f>
        <v>15480</v>
      </c>
      <c r="H158" s="311">
        <v>86000</v>
      </c>
      <c r="I158" s="312">
        <f>+G158/H158%</f>
        <v>18</v>
      </c>
      <c r="J158" s="308" t="s">
        <v>468</v>
      </c>
      <c r="L158" s="302" t="s">
        <v>21</v>
      </c>
    </row>
    <row r="159" spans="1:12">
      <c r="A159" s="450"/>
      <c r="B159" s="451"/>
      <c r="C159" s="451"/>
      <c r="D159" s="450"/>
      <c r="E159" s="452"/>
      <c r="F159" s="452"/>
      <c r="G159" s="453"/>
      <c r="H159" s="453"/>
      <c r="I159" s="454"/>
      <c r="J159" s="450"/>
    </row>
    <row r="160" spans="1:12" ht="15.75" thickBot="1">
      <c r="E160" s="455">
        <f>E154-E158</f>
        <v>30640972.779999997</v>
      </c>
      <c r="F160" s="456">
        <f>F154-F158</f>
        <v>218836392.10915256</v>
      </c>
      <c r="G160" s="457"/>
      <c r="H160" s="457"/>
    </row>
    <row r="161" spans="1:11" ht="15.75" thickTop="1">
      <c r="H161" s="297"/>
    </row>
    <row r="162" spans="1:11">
      <c r="H162" s="297"/>
      <c r="J162" s="450"/>
    </row>
    <row r="163" spans="1:11" ht="15.75" thickBot="1">
      <c r="E163" s="302"/>
      <c r="J163" s="458"/>
      <c r="K163" s="5"/>
    </row>
    <row r="164" spans="1:11">
      <c r="C164" s="459" t="s">
        <v>577</v>
      </c>
      <c r="D164" s="460"/>
      <c r="E164" s="460"/>
      <c r="F164" s="460"/>
      <c r="G164" s="460"/>
      <c r="H164" s="460"/>
      <c r="I164" s="461"/>
      <c r="J164" s="450"/>
    </row>
    <row r="165" spans="1:11">
      <c r="A165" s="328" t="s">
        <v>578</v>
      </c>
      <c r="C165" s="462"/>
      <c r="D165" s="357"/>
      <c r="E165" s="357"/>
      <c r="F165" s="357"/>
      <c r="G165" s="357"/>
      <c r="H165" s="683" t="s">
        <v>579</v>
      </c>
      <c r="I165" s="684"/>
      <c r="J165" s="450"/>
    </row>
    <row r="166" spans="1:11" ht="30">
      <c r="B166" s="463" t="s">
        <v>18</v>
      </c>
      <c r="C166" s="464" t="s">
        <v>580</v>
      </c>
      <c r="D166" s="465"/>
      <c r="E166" s="465"/>
      <c r="F166" s="466" t="s">
        <v>581</v>
      </c>
      <c r="G166" s="467" t="s">
        <v>582</v>
      </c>
      <c r="H166" s="467" t="s">
        <v>583</v>
      </c>
      <c r="I166" s="468" t="s">
        <v>355</v>
      </c>
      <c r="J166" s="450"/>
    </row>
    <row r="167" spans="1:11">
      <c r="B167" s="463"/>
      <c r="C167" s="469" t="s">
        <v>441</v>
      </c>
      <c r="D167" s="308" t="s">
        <v>442</v>
      </c>
      <c r="E167" s="317">
        <v>216450</v>
      </c>
      <c r="F167" s="308"/>
      <c r="G167" s="311">
        <f>+E167*18%</f>
        <v>38961</v>
      </c>
      <c r="H167" s="308"/>
      <c r="I167" s="470">
        <f>+G167</f>
        <v>38961</v>
      </c>
      <c r="J167" s="450"/>
    </row>
    <row r="168" spans="1:11">
      <c r="B168" s="463"/>
      <c r="C168" s="471" t="s">
        <v>469</v>
      </c>
      <c r="D168" s="308" t="s">
        <v>470</v>
      </c>
      <c r="E168" s="311">
        <v>487459</v>
      </c>
      <c r="F168" s="308"/>
      <c r="G168" s="311">
        <f>+E168*18%</f>
        <v>87742.62</v>
      </c>
      <c r="H168" s="472">
        <f>+G168</f>
        <v>87742.62</v>
      </c>
      <c r="I168" s="473"/>
      <c r="J168" s="450"/>
    </row>
    <row r="169" spans="1:11">
      <c r="B169" s="327"/>
      <c r="C169" s="474" t="s">
        <v>476</v>
      </c>
      <c r="D169" s="308" t="s">
        <v>477</v>
      </c>
      <c r="E169" s="311">
        <v>3127461</v>
      </c>
      <c r="F169" s="308"/>
      <c r="G169" s="311">
        <f>+E169*18%</f>
        <v>562942.98</v>
      </c>
      <c r="H169" s="472">
        <f>+G169</f>
        <v>562942.98</v>
      </c>
      <c r="I169" s="473"/>
      <c r="J169" s="450"/>
    </row>
    <row r="170" spans="1:11">
      <c r="B170" s="327"/>
      <c r="C170" s="475"/>
      <c r="D170" s="438" t="s">
        <v>584</v>
      </c>
      <c r="E170" s="312"/>
      <c r="F170" s="308"/>
      <c r="G170" s="476">
        <f>SUM(G167:G169)</f>
        <v>689646.6</v>
      </c>
      <c r="H170" s="477">
        <f>SUM(H168:H169)</f>
        <v>650685.6</v>
      </c>
      <c r="I170" s="478">
        <f>SUM(I167:I169)</f>
        <v>38961</v>
      </c>
      <c r="J170" s="450"/>
    </row>
    <row r="171" spans="1:11">
      <c r="B171" s="327"/>
      <c r="C171" s="475"/>
      <c r="D171" s="312"/>
      <c r="E171" s="312"/>
      <c r="F171" s="308"/>
      <c r="G171" s="312"/>
      <c r="H171" s="308"/>
      <c r="I171" s="473"/>
      <c r="J171" s="450"/>
    </row>
    <row r="172" spans="1:11">
      <c r="B172" s="463" t="s">
        <v>19</v>
      </c>
      <c r="C172" s="464" t="s">
        <v>585</v>
      </c>
      <c r="D172" s="465"/>
      <c r="E172" s="465"/>
      <c r="F172" s="308"/>
      <c r="G172" s="312"/>
      <c r="H172" s="308"/>
      <c r="I172" s="473"/>
      <c r="J172" s="450"/>
    </row>
    <row r="173" spans="1:11">
      <c r="B173" s="327"/>
      <c r="C173" s="475" t="s">
        <v>586</v>
      </c>
      <c r="D173" s="479">
        <v>281.49</v>
      </c>
      <c r="E173" s="480" t="s">
        <v>587</v>
      </c>
      <c r="F173" s="308"/>
      <c r="G173" s="312"/>
      <c r="H173" s="308"/>
      <c r="I173" s="473"/>
      <c r="J173" s="450"/>
    </row>
    <row r="174" spans="1:11">
      <c r="B174" s="327"/>
      <c r="C174" s="475" t="s">
        <v>588</v>
      </c>
      <c r="D174" s="479">
        <v>101.437</v>
      </c>
      <c r="E174" s="480" t="s">
        <v>587</v>
      </c>
      <c r="F174" s="308"/>
      <c r="G174" s="312"/>
      <c r="H174" s="308"/>
      <c r="I174" s="473"/>
      <c r="J174" s="481"/>
    </row>
    <row r="175" spans="1:11">
      <c r="B175" s="327"/>
      <c r="C175" s="475"/>
      <c r="D175" s="479"/>
      <c r="E175" s="480"/>
      <c r="F175" s="308"/>
      <c r="G175" s="438"/>
      <c r="H175" s="308"/>
      <c r="I175" s="473"/>
      <c r="J175" s="481"/>
    </row>
    <row r="176" spans="1:11">
      <c r="B176" s="327"/>
      <c r="C176" s="482" t="s">
        <v>482</v>
      </c>
      <c r="D176" s="479">
        <v>172.21</v>
      </c>
      <c r="E176" s="480" t="s">
        <v>587</v>
      </c>
      <c r="F176" s="311">
        <v>1270982.7</v>
      </c>
      <c r="G176" s="308">
        <v>520519</v>
      </c>
      <c r="H176" s="311">
        <f>+G176/H69*E69</f>
        <v>66917.135457124794</v>
      </c>
      <c r="I176" s="483">
        <f>+G176/H69*F69</f>
        <v>453601.86454287515</v>
      </c>
      <c r="J176" s="481"/>
    </row>
    <row r="177" spans="2:10">
      <c r="B177" s="327"/>
      <c r="C177" s="475" t="s">
        <v>588</v>
      </c>
      <c r="D177" s="479">
        <v>70.527000000000001</v>
      </c>
      <c r="E177" s="480" t="s">
        <v>587</v>
      </c>
      <c r="F177" s="308"/>
      <c r="J177" s="481">
        <f>F176/D176*D177</f>
        <v>520519.11551535915</v>
      </c>
    </row>
    <row r="178" spans="2:10">
      <c r="B178" s="327"/>
      <c r="C178" s="475"/>
      <c r="D178" s="484"/>
      <c r="E178" s="480"/>
      <c r="F178" s="308"/>
      <c r="G178" s="312"/>
      <c r="H178" s="311"/>
      <c r="I178" s="483"/>
      <c r="J178" s="481"/>
    </row>
    <row r="179" spans="2:10">
      <c r="B179" s="327"/>
      <c r="C179" s="485" t="s">
        <v>487</v>
      </c>
      <c r="D179" s="479">
        <v>30.91</v>
      </c>
      <c r="E179" s="480" t="s">
        <v>587</v>
      </c>
      <c r="F179" s="311">
        <v>194224</v>
      </c>
      <c r="G179" s="311">
        <v>194224</v>
      </c>
      <c r="H179" s="311">
        <f>+G179</f>
        <v>194224</v>
      </c>
      <c r="I179" s="483">
        <v>0</v>
      </c>
      <c r="J179" s="481"/>
    </row>
    <row r="180" spans="2:10">
      <c r="B180" s="327"/>
      <c r="C180" s="475" t="s">
        <v>588</v>
      </c>
      <c r="D180" s="479">
        <v>30.91</v>
      </c>
      <c r="E180" s="480" t="s">
        <v>587</v>
      </c>
      <c r="F180" s="308"/>
      <c r="J180" s="481"/>
    </row>
    <row r="181" spans="2:10">
      <c r="B181" s="327"/>
      <c r="C181" s="475"/>
      <c r="D181" s="312"/>
      <c r="E181" s="312"/>
      <c r="F181" s="308"/>
      <c r="G181" s="312"/>
      <c r="H181" s="308"/>
      <c r="I181" s="473"/>
      <c r="J181" s="481"/>
    </row>
    <row r="182" spans="2:10">
      <c r="B182" s="327"/>
      <c r="C182" s="475" t="s">
        <v>589</v>
      </c>
      <c r="D182" s="312"/>
      <c r="E182" s="312"/>
      <c r="F182" s="308"/>
      <c r="G182" s="486">
        <f>+G176+G179</f>
        <v>714743</v>
      </c>
      <c r="H182" s="477">
        <f>+H176+H179</f>
        <v>261141.13545712479</v>
      </c>
      <c r="I182" s="478">
        <f>+I176+I179</f>
        <v>453601.86454287515</v>
      </c>
      <c r="J182" s="481"/>
    </row>
    <row r="183" spans="2:10">
      <c r="B183" s="327"/>
      <c r="C183" s="475"/>
      <c r="D183" s="312"/>
      <c r="E183" s="312"/>
      <c r="F183" s="308"/>
      <c r="G183" s="312"/>
      <c r="H183" s="308"/>
      <c r="I183" s="473"/>
      <c r="J183" s="481"/>
    </row>
    <row r="184" spans="2:10" ht="15.75">
      <c r="B184" s="463" t="s">
        <v>22</v>
      </c>
      <c r="C184" s="487" t="s">
        <v>590</v>
      </c>
      <c r="D184" s="488"/>
      <c r="E184" s="488"/>
      <c r="F184" s="308"/>
      <c r="G184" s="312"/>
      <c r="H184" s="308"/>
      <c r="I184" s="473"/>
      <c r="J184" s="481"/>
    </row>
    <row r="185" spans="2:10">
      <c r="B185" s="327"/>
      <c r="C185" s="475" t="s">
        <v>591</v>
      </c>
      <c r="D185" s="308"/>
      <c r="E185" s="311">
        <f>+H105+H106+H114+H116+H117+H118</f>
        <v>6603921.25</v>
      </c>
      <c r="F185" s="311">
        <f>+G105+G106+G114+G116+G117+G118</f>
        <v>1188705.845</v>
      </c>
      <c r="G185" s="472">
        <f>+F185/281.49*101.437</f>
        <v>428358.92855612992</v>
      </c>
      <c r="H185" s="472"/>
      <c r="I185" s="470"/>
      <c r="J185" s="481">
        <f>F185/281.49*101.437</f>
        <v>428358.92855612992</v>
      </c>
    </row>
    <row r="186" spans="2:10">
      <c r="C186" s="475" t="s">
        <v>592</v>
      </c>
      <c r="D186" s="308"/>
      <c r="E186" s="312"/>
      <c r="F186" s="308"/>
      <c r="H186" s="472"/>
      <c r="I186" s="470"/>
      <c r="J186" s="481"/>
    </row>
    <row r="187" spans="2:10">
      <c r="B187" s="327"/>
      <c r="C187" s="475"/>
      <c r="D187" s="383" t="s">
        <v>593</v>
      </c>
      <c r="E187" s="312"/>
      <c r="F187" s="308"/>
      <c r="G187" s="472"/>
      <c r="H187" s="489"/>
      <c r="I187" s="490"/>
      <c r="J187" s="450"/>
    </row>
    <row r="188" spans="2:10">
      <c r="B188" s="327"/>
      <c r="C188" s="475" t="s">
        <v>594</v>
      </c>
      <c r="D188" s="312"/>
      <c r="E188" s="312"/>
      <c r="F188" s="308"/>
      <c r="G188" s="312"/>
      <c r="H188" s="308"/>
      <c r="I188" s="473"/>
      <c r="J188" s="450"/>
    </row>
    <row r="189" spans="2:10">
      <c r="B189" s="327"/>
      <c r="C189" s="491" t="s">
        <v>494</v>
      </c>
      <c r="E189" s="318">
        <f>15545.9</f>
        <v>15545.9</v>
      </c>
      <c r="F189" s="308"/>
      <c r="G189" s="312"/>
      <c r="H189" s="308"/>
      <c r="I189" s="470"/>
      <c r="J189" s="450"/>
    </row>
    <row r="190" spans="2:10">
      <c r="B190" s="327"/>
      <c r="C190" s="491" t="s">
        <v>595</v>
      </c>
      <c r="D190" s="492" t="s">
        <v>596</v>
      </c>
      <c r="E190" s="318">
        <v>-122583.37</v>
      </c>
      <c r="F190" s="308"/>
      <c r="G190" s="312"/>
      <c r="H190" s="308"/>
      <c r="I190" s="470"/>
      <c r="J190" s="450"/>
    </row>
    <row r="191" spans="2:10">
      <c r="B191" s="327"/>
      <c r="C191" s="493" t="s">
        <v>522</v>
      </c>
      <c r="D191" s="312"/>
      <c r="E191" s="311">
        <v>167339</v>
      </c>
      <c r="F191" s="308"/>
      <c r="G191" s="311">
        <f>+E189+E191+E190</f>
        <v>60301.53</v>
      </c>
      <c r="H191" s="472"/>
      <c r="I191" s="470"/>
      <c r="J191" s="450"/>
    </row>
    <row r="192" spans="2:10">
      <c r="B192" s="327"/>
      <c r="C192" s="475"/>
      <c r="D192" s="438" t="s">
        <v>597</v>
      </c>
      <c r="E192" s="312"/>
      <c r="F192" s="308"/>
      <c r="G192" s="476">
        <f>+G185-G191</f>
        <v>368057.39855612989</v>
      </c>
      <c r="H192" s="494"/>
      <c r="I192" s="495">
        <f>+G192</f>
        <v>368057.39855612989</v>
      </c>
      <c r="J192" s="450"/>
    </row>
    <row r="193" spans="2:10">
      <c r="B193" s="327"/>
      <c r="C193" s="475"/>
      <c r="D193" s="312"/>
      <c r="E193" s="312"/>
      <c r="F193" s="308"/>
      <c r="G193" s="312"/>
      <c r="H193" s="308"/>
      <c r="I193" s="473"/>
      <c r="J193" s="450"/>
    </row>
    <row r="194" spans="2:10">
      <c r="B194" s="327"/>
      <c r="C194" s="475"/>
      <c r="D194" s="312"/>
      <c r="E194" s="312"/>
      <c r="F194" s="308"/>
      <c r="G194" s="312"/>
      <c r="H194" s="308"/>
      <c r="I194" s="473"/>
      <c r="J194" s="450"/>
    </row>
    <row r="195" spans="2:10" ht="15.75" thickBot="1">
      <c r="B195" s="327"/>
      <c r="C195" s="496" t="s">
        <v>598</v>
      </c>
      <c r="D195" s="497" t="s">
        <v>599</v>
      </c>
      <c r="E195" s="497"/>
      <c r="F195" s="498"/>
      <c r="G195" s="499">
        <f>+G170+G182+G192</f>
        <v>1772446.9985561301</v>
      </c>
      <c r="H195" s="499">
        <f>+H170+H182+H192</f>
        <v>911826.73545712477</v>
      </c>
      <c r="I195" s="500">
        <f>+I170+I182+I192</f>
        <v>860620.26309900498</v>
      </c>
      <c r="J195" s="450"/>
    </row>
    <row r="196" spans="2:10">
      <c r="B196" s="364"/>
      <c r="C196" s="450"/>
      <c r="D196" s="450"/>
      <c r="E196" s="450"/>
      <c r="F196" s="450"/>
      <c r="G196" s="450"/>
      <c r="H196" s="450"/>
      <c r="I196" s="450"/>
      <c r="J196" s="450"/>
    </row>
    <row r="197" spans="2:10" ht="15.75" thickBot="1">
      <c r="B197" s="364"/>
      <c r="C197" s="450"/>
      <c r="D197" s="450"/>
      <c r="E197" s="450"/>
      <c r="F197" s="450"/>
      <c r="G197" s="450"/>
      <c r="H197" s="302"/>
      <c r="I197" s="450"/>
      <c r="J197" s="450"/>
    </row>
    <row r="198" spans="2:10">
      <c r="B198" s="364"/>
      <c r="C198" s="501" t="s">
        <v>600</v>
      </c>
      <c r="D198" s="502"/>
      <c r="E198" s="503">
        <v>44256</v>
      </c>
      <c r="F198" s="504">
        <v>44075</v>
      </c>
      <c r="G198" s="505" t="s">
        <v>584</v>
      </c>
      <c r="H198" s="302"/>
      <c r="J198" s="450"/>
    </row>
    <row r="199" spans="2:10">
      <c r="B199" s="364"/>
      <c r="C199" s="506" t="s">
        <v>601</v>
      </c>
      <c r="D199" s="454"/>
      <c r="E199" s="507">
        <f>E160</f>
        <v>30640972.779999997</v>
      </c>
      <c r="F199" s="508">
        <f>+F154</f>
        <v>218836392.10915256</v>
      </c>
      <c r="G199" s="509">
        <f>+E199+F199</f>
        <v>249477364.88915256</v>
      </c>
      <c r="H199" s="302"/>
      <c r="J199" s="450"/>
    </row>
    <row r="200" spans="2:10">
      <c r="B200" s="450"/>
      <c r="C200" s="510" t="s">
        <v>602</v>
      </c>
      <c r="D200" s="454"/>
      <c r="E200" s="511">
        <f>+H195</f>
        <v>911826.73545712477</v>
      </c>
      <c r="F200" s="481">
        <f>+I195</f>
        <v>860620.26309900498</v>
      </c>
      <c r="G200" s="509">
        <f t="shared" ref="G200" si="41">+E200+F200</f>
        <v>1772446.9985561296</v>
      </c>
      <c r="H200" s="302">
        <v>1772447</v>
      </c>
      <c r="I200" s="5">
        <f>+H200-G200</f>
        <v>1.4438703656196594E-3</v>
      </c>
      <c r="J200" s="512">
        <f>+I200/2</f>
        <v>7.2193518280982971E-4</v>
      </c>
    </row>
    <row r="201" spans="2:10">
      <c r="B201" s="450"/>
      <c r="C201" s="506" t="s">
        <v>153</v>
      </c>
      <c r="D201" s="454"/>
      <c r="E201" s="513">
        <f>+E199+E200</f>
        <v>31552799.515457124</v>
      </c>
      <c r="F201" s="514">
        <f>+F199+F200</f>
        <v>219697012.37225157</v>
      </c>
      <c r="G201" s="515">
        <f>+E201+F201</f>
        <v>251249811.88770869</v>
      </c>
      <c r="H201" s="516">
        <f>E210-G201</f>
        <v>0</v>
      </c>
    </row>
    <row r="202" spans="2:10">
      <c r="B202" s="450"/>
      <c r="C202" s="510"/>
      <c r="D202" s="454"/>
      <c r="E202" s="511"/>
      <c r="F202" s="481"/>
      <c r="G202" s="509"/>
      <c r="H202" s="302"/>
    </row>
    <row r="203" spans="2:10" ht="15.75" thickBot="1">
      <c r="B203" s="450"/>
      <c r="C203" s="517" t="s">
        <v>341</v>
      </c>
      <c r="D203" s="518"/>
      <c r="E203" s="519">
        <v>86000</v>
      </c>
      <c r="F203" s="520">
        <v>0</v>
      </c>
      <c r="G203" s="521">
        <f>+E203+F203</f>
        <v>86000</v>
      </c>
      <c r="H203" s="302"/>
    </row>
    <row r="204" spans="2:10" ht="15.75" thickBot="1">
      <c r="B204" s="450"/>
      <c r="J204" s="327"/>
    </row>
    <row r="205" spans="2:10">
      <c r="B205" s="450"/>
      <c r="C205" s="501" t="s">
        <v>603</v>
      </c>
      <c r="D205" s="502"/>
      <c r="E205" s="522"/>
      <c r="F205" s="523">
        <v>44286</v>
      </c>
      <c r="G205" s="522"/>
      <c r="H205" s="522"/>
      <c r="I205" s="524"/>
      <c r="J205" s="450"/>
    </row>
    <row r="206" spans="2:10">
      <c r="C206" s="510"/>
      <c r="D206" s="450"/>
      <c r="E206" s="458"/>
      <c r="F206" s="458"/>
      <c r="G206" s="458"/>
      <c r="H206" s="458"/>
      <c r="I206" s="525"/>
      <c r="J206" s="450"/>
    </row>
    <row r="207" spans="2:10">
      <c r="C207" s="526" t="s">
        <v>604</v>
      </c>
      <c r="D207" s="527" t="s">
        <v>605</v>
      </c>
      <c r="E207" s="527" t="s">
        <v>606</v>
      </c>
      <c r="F207" s="527" t="s">
        <v>607</v>
      </c>
      <c r="G207" s="527" t="s">
        <v>608</v>
      </c>
      <c r="H207" s="527" t="s">
        <v>609</v>
      </c>
      <c r="I207" s="528" t="s">
        <v>610</v>
      </c>
      <c r="J207" s="450"/>
    </row>
    <row r="208" spans="2:10">
      <c r="C208" s="529" t="s">
        <v>601</v>
      </c>
      <c r="D208" s="530">
        <v>44104</v>
      </c>
      <c r="E208" s="531">
        <f>+F201</f>
        <v>219697012.37225157</v>
      </c>
      <c r="F208" s="532">
        <v>20</v>
      </c>
      <c r="G208" s="532">
        <f>+F205-D208</f>
        <v>182</v>
      </c>
      <c r="H208" s="533">
        <f>E208*5%</f>
        <v>10984850.61861258</v>
      </c>
      <c r="I208" s="534">
        <f>(E208-H208)/(20*365)*G208</f>
        <v>5203508.6902962048</v>
      </c>
      <c r="J208" s="535"/>
    </row>
    <row r="209" spans="3:10">
      <c r="C209" s="510" t="s">
        <v>601</v>
      </c>
      <c r="D209" s="536">
        <v>44286</v>
      </c>
      <c r="E209" s="537">
        <f>+E201</f>
        <v>31552799.515457124</v>
      </c>
      <c r="F209" s="458">
        <v>20</v>
      </c>
      <c r="G209" s="458">
        <v>1</v>
      </c>
      <c r="H209" s="537">
        <f>E209*5%</f>
        <v>1577639.9757728563</v>
      </c>
      <c r="I209" s="538">
        <f>(E209-H209)/(20*365)*G209</f>
        <v>4106.1862383129128</v>
      </c>
      <c r="J209" s="450"/>
    </row>
    <row r="210" spans="3:10">
      <c r="C210" s="539" t="s">
        <v>611</v>
      </c>
      <c r="D210" s="536"/>
      <c r="E210" s="540">
        <f>SUM(E208:E209)</f>
        <v>251249811.88770869</v>
      </c>
      <c r="F210" s="458"/>
      <c r="G210" s="458"/>
      <c r="H210" s="540">
        <f>SUM(H208:H209)</f>
        <v>12562490.594385436</v>
      </c>
      <c r="I210" s="541">
        <f>SUM(I208:I209)</f>
        <v>5207614.8765345179</v>
      </c>
      <c r="J210" s="542">
        <f>+E210-H210</f>
        <v>238687321.29332325</v>
      </c>
    </row>
    <row r="211" spans="3:10">
      <c r="C211" s="510" t="s">
        <v>341</v>
      </c>
      <c r="D211" s="536" t="s">
        <v>612</v>
      </c>
      <c r="E211" s="458">
        <v>43000</v>
      </c>
      <c r="F211" s="458">
        <v>10</v>
      </c>
      <c r="G211" s="458">
        <f>30+31+31+28+31</f>
        <v>151</v>
      </c>
      <c r="H211" s="458">
        <f>+E211*5%</f>
        <v>2150</v>
      </c>
      <c r="I211" s="538">
        <f>+(E211*95%)/(10*365)*G211</f>
        <v>1689.958904109589</v>
      </c>
      <c r="J211" s="542">
        <f>+E211-H211</f>
        <v>40850</v>
      </c>
    </row>
    <row r="212" spans="3:10" ht="15.75" thickBot="1">
      <c r="C212" s="517"/>
      <c r="D212" s="543" t="s">
        <v>613</v>
      </c>
      <c r="E212" s="544">
        <v>43000</v>
      </c>
      <c r="F212" s="544">
        <v>10</v>
      </c>
      <c r="G212" s="544">
        <f>31+31+28+31</f>
        <v>121</v>
      </c>
      <c r="H212" s="544">
        <f>+E212*5%</f>
        <v>2150</v>
      </c>
      <c r="I212" s="545">
        <f>+(E212*95%)/(10*365)*G212</f>
        <v>1354.2054794520548</v>
      </c>
      <c r="J212" s="542">
        <f>+E212-H212</f>
        <v>40850</v>
      </c>
    </row>
    <row r="214" spans="3:10">
      <c r="E214" s="297">
        <f>+E210+E211+E212</f>
        <v>251335811.88770869</v>
      </c>
      <c r="F214" s="297"/>
      <c r="G214" s="297"/>
      <c r="H214" s="297"/>
      <c r="I214" s="297">
        <f>+I210+I211+I212</f>
        <v>5210659.0409180801</v>
      </c>
      <c r="J214" s="546">
        <f>+E214-I214</f>
        <v>246125152.84679061</v>
      </c>
    </row>
    <row r="216" spans="3:10">
      <c r="E216" s="5">
        <f>+E214-'[3]Note 12 Fixed Assets 20-21'!H28</f>
        <v>-0.65999981760978699</v>
      </c>
      <c r="I216" s="5">
        <f>+'[3]Note 12 Fixed Assets 20-21'!L28-'[3]Dep additional for  Expansion'!I214</f>
        <v>1792576.4062471706</v>
      </c>
      <c r="J216" s="546">
        <f>+'[3]Note 12 Fixed Assets 20-21'!M28-'[3]Dep additional for  Expansion'!J214</f>
        <v>-1792575.7462471724</v>
      </c>
    </row>
  </sheetData>
  <mergeCells count="2">
    <mergeCell ref="E4:F4"/>
    <mergeCell ref="H165:I1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10"/>
  <sheetViews>
    <sheetView topLeftCell="E1" zoomScaleNormal="100" workbookViewId="0">
      <pane ySplit="4" topLeftCell="A297" activePane="bottomLeft" state="frozen"/>
      <selection pane="bottomLeft" activeCell="M310" sqref="M310"/>
    </sheetView>
  </sheetViews>
  <sheetFormatPr defaultRowHeight="15"/>
  <cols>
    <col min="2" max="2" width="6.85546875" customWidth="1"/>
    <col min="3" max="3" width="36.28515625" customWidth="1"/>
    <col min="4" max="4" width="14.85546875" bestFit="1" customWidth="1"/>
    <col min="5" max="5" width="14.140625" bestFit="1" customWidth="1"/>
    <col min="6" max="6" width="15" bestFit="1" customWidth="1"/>
    <col min="7" max="7" width="13.140625" bestFit="1" customWidth="1"/>
    <col min="8" max="8" width="10.5703125" hidden="1" customWidth="1"/>
    <col min="9" max="9" width="14.7109375" bestFit="1" customWidth="1"/>
    <col min="10" max="11" width="17.85546875" style="13" bestFit="1" customWidth="1"/>
    <col min="12" max="12" width="9.140625" style="37"/>
    <col min="13" max="13" width="18.42578125" style="13" customWidth="1"/>
    <col min="14" max="14" width="20.28515625" style="13" bestFit="1" customWidth="1"/>
    <col min="15" max="15" width="17.28515625" style="13" bestFit="1" customWidth="1"/>
    <col min="16" max="16" width="15.85546875" style="13" customWidth="1"/>
    <col min="17" max="17" width="17.7109375" bestFit="1" customWidth="1"/>
  </cols>
  <sheetData>
    <row r="3" spans="2:17">
      <c r="B3" s="688" t="s">
        <v>657</v>
      </c>
      <c r="C3" s="688"/>
      <c r="D3" s="688"/>
      <c r="E3" s="689"/>
      <c r="F3" s="689"/>
      <c r="G3" s="689"/>
      <c r="H3" s="689"/>
      <c r="I3" s="689"/>
      <c r="J3" s="689"/>
      <c r="K3" s="689"/>
      <c r="L3" s="690"/>
      <c r="M3" s="688"/>
      <c r="N3" s="688"/>
      <c r="O3" s="688"/>
      <c r="P3" s="688"/>
    </row>
    <row r="4" spans="2:17" ht="60" customHeight="1">
      <c r="B4" s="40" t="s">
        <v>1</v>
      </c>
      <c r="C4" s="555" t="s">
        <v>2</v>
      </c>
      <c r="D4" s="555" t="s">
        <v>12</v>
      </c>
      <c r="E4" s="555" t="s">
        <v>3</v>
      </c>
      <c r="F4" s="555" t="s">
        <v>27</v>
      </c>
      <c r="G4" s="555" t="s">
        <v>28</v>
      </c>
      <c r="H4" s="555" t="s">
        <v>36</v>
      </c>
      <c r="I4" s="555" t="s">
        <v>4</v>
      </c>
      <c r="J4" s="557" t="s">
        <v>5</v>
      </c>
      <c r="K4" s="557" t="s">
        <v>11</v>
      </c>
      <c r="L4" s="556" t="s">
        <v>6</v>
      </c>
      <c r="M4" s="557" t="s">
        <v>7</v>
      </c>
      <c r="N4" s="557" t="s">
        <v>8</v>
      </c>
      <c r="O4" s="557" t="s">
        <v>9</v>
      </c>
      <c r="P4" s="557" t="s">
        <v>10</v>
      </c>
      <c r="Q4" s="64"/>
    </row>
    <row r="5" spans="2:17" s="6" customFormat="1" ht="15.75">
      <c r="B5" s="54">
        <v>1</v>
      </c>
      <c r="C5" s="547" t="s">
        <v>69</v>
      </c>
      <c r="D5" s="19">
        <v>38483</v>
      </c>
      <c r="E5" s="19">
        <v>44470</v>
      </c>
      <c r="F5" s="564">
        <f>(E5-D5)/365</f>
        <v>16.402739726027399</v>
      </c>
      <c r="G5" s="11">
        <v>8</v>
      </c>
      <c r="H5" s="564">
        <f>F5-G5</f>
        <v>8.4027397260273986</v>
      </c>
      <c r="I5" s="20">
        <f t="shared" ref="I5:I68" si="0">(95/G5/100)</f>
        <v>0.11874999999999999</v>
      </c>
      <c r="J5" s="566">
        <v>17014</v>
      </c>
      <c r="K5" s="566">
        <v>4168.9749999999995</v>
      </c>
      <c r="L5" s="35">
        <v>0</v>
      </c>
      <c r="M5" s="18">
        <f t="shared" ref="M5:M68" si="1">J5*(1+L5)</f>
        <v>17014</v>
      </c>
      <c r="N5" s="18">
        <f t="shared" ref="N5:N68" si="2">F5*I5*M5</f>
        <v>33140.30037671233</v>
      </c>
      <c r="O5" s="21">
        <f t="shared" ref="O5" si="3">IF(M5-N5&lt;=0,5%*M5,M5-N5)</f>
        <v>850.7</v>
      </c>
      <c r="P5" s="560">
        <f t="shared" ref="P5" si="4">IF(O5=M5*5%,O5,O5*0.9)</f>
        <v>850.7</v>
      </c>
      <c r="Q5" s="561"/>
    </row>
    <row r="6" spans="2:17" ht="15.75">
      <c r="B6" s="54">
        <v>2</v>
      </c>
      <c r="C6" s="547" t="s">
        <v>70</v>
      </c>
      <c r="D6" s="19">
        <v>39539</v>
      </c>
      <c r="E6" s="19">
        <v>44470</v>
      </c>
      <c r="F6" s="564">
        <f t="shared" ref="F6:F69" si="5">(E6-D6)/365</f>
        <v>13.509589041095891</v>
      </c>
      <c r="G6" s="11">
        <v>15</v>
      </c>
      <c r="H6" s="564">
        <f t="shared" ref="H6:H18" si="6">F6-G6</f>
        <v>-1.4904109589041088</v>
      </c>
      <c r="I6" s="20">
        <f t="shared" si="0"/>
        <v>6.3333333333333325E-2</v>
      </c>
      <c r="J6" s="566">
        <v>254988</v>
      </c>
      <c r="K6" s="566">
        <v>97524.610000000015</v>
      </c>
      <c r="L6" s="35">
        <v>0.14000000000000001</v>
      </c>
      <c r="M6" s="18">
        <f t="shared" si="1"/>
        <v>290686.32</v>
      </c>
      <c r="N6" s="18">
        <f t="shared" si="2"/>
        <v>248713.33912767124</v>
      </c>
      <c r="O6" s="21">
        <f t="shared" ref="O6:O69" si="7">IF(M6-N6&lt;=0,5%*M6,M6-N6)</f>
        <v>41972.980872328772</v>
      </c>
      <c r="P6" s="560">
        <f t="shared" ref="P6:P69" si="8">IF(O6=M6*5%,O6,O6*0.9)</f>
        <v>37775.682785095894</v>
      </c>
      <c r="Q6" s="561"/>
    </row>
    <row r="7" spans="2:17" ht="15.75">
      <c r="B7" s="54">
        <v>3</v>
      </c>
      <c r="C7" s="547" t="s">
        <v>71</v>
      </c>
      <c r="D7" s="19">
        <v>39539</v>
      </c>
      <c r="E7" s="19">
        <v>44470</v>
      </c>
      <c r="F7" s="564">
        <f t="shared" si="5"/>
        <v>13.509589041095891</v>
      </c>
      <c r="G7" s="11">
        <v>8</v>
      </c>
      <c r="H7" s="564">
        <f t="shared" si="6"/>
        <v>5.5095890410958912</v>
      </c>
      <c r="I7" s="20">
        <f t="shared" si="0"/>
        <v>0.11874999999999999</v>
      </c>
      <c r="J7" s="566">
        <v>25000</v>
      </c>
      <c r="K7" s="566">
        <v>9560.9774057573686</v>
      </c>
      <c r="L7" s="35">
        <v>0</v>
      </c>
      <c r="M7" s="18">
        <f t="shared" si="1"/>
        <v>25000</v>
      </c>
      <c r="N7" s="18">
        <f t="shared" si="2"/>
        <v>40106.592465753427</v>
      </c>
      <c r="O7" s="21">
        <f t="shared" si="7"/>
        <v>1250</v>
      </c>
      <c r="P7" s="560">
        <f t="shared" si="8"/>
        <v>1250</v>
      </c>
      <c r="Q7" s="561"/>
    </row>
    <row r="8" spans="2:17" ht="15.75">
      <c r="B8" s="54">
        <v>4</v>
      </c>
      <c r="C8" s="547" t="s">
        <v>72</v>
      </c>
      <c r="D8" s="19">
        <v>39539</v>
      </c>
      <c r="E8" s="19">
        <v>44470</v>
      </c>
      <c r="F8" s="564">
        <f t="shared" si="5"/>
        <v>13.509589041095891</v>
      </c>
      <c r="G8" s="11">
        <v>18</v>
      </c>
      <c r="H8" s="564">
        <f t="shared" si="6"/>
        <v>-4.4904109589041088</v>
      </c>
      <c r="I8" s="20">
        <f t="shared" si="0"/>
        <v>5.2777777777777778E-2</v>
      </c>
      <c r="J8" s="566">
        <v>12611084</v>
      </c>
      <c r="K8" s="566">
        <v>4751764.2758293357</v>
      </c>
      <c r="L8" s="35">
        <v>0</v>
      </c>
      <c r="M8" s="18">
        <f t="shared" si="1"/>
        <v>12611084</v>
      </c>
      <c r="N8" s="18">
        <f t="shared" si="2"/>
        <v>8991779.671811264</v>
      </c>
      <c r="O8" s="21">
        <f t="shared" si="7"/>
        <v>3619304.328188736</v>
      </c>
      <c r="P8" s="560">
        <f t="shared" si="8"/>
        <v>3257373.8953698627</v>
      </c>
      <c r="Q8" s="561"/>
    </row>
    <row r="9" spans="2:17" ht="15.75">
      <c r="B9" s="54">
        <v>5</v>
      </c>
      <c r="C9" s="547" t="s">
        <v>73</v>
      </c>
      <c r="D9" s="19">
        <v>39539</v>
      </c>
      <c r="E9" s="19">
        <v>44470</v>
      </c>
      <c r="F9" s="564">
        <f t="shared" si="5"/>
        <v>13.509589041095891</v>
      </c>
      <c r="G9" s="11">
        <v>10</v>
      </c>
      <c r="H9" s="564">
        <f t="shared" si="6"/>
        <v>3.5095890410958912</v>
      </c>
      <c r="I9" s="20">
        <f t="shared" si="0"/>
        <v>9.5000000000000001E-2</v>
      </c>
      <c r="J9" s="566">
        <v>724870</v>
      </c>
      <c r="K9" s="566">
        <v>277239.185</v>
      </c>
      <c r="L9" s="35">
        <v>0.2</v>
      </c>
      <c r="M9" s="18">
        <f t="shared" si="1"/>
        <v>869844</v>
      </c>
      <c r="N9" s="18">
        <f t="shared" si="2"/>
        <v>1116367.3221369863</v>
      </c>
      <c r="O9" s="21">
        <f t="shared" si="7"/>
        <v>43492.200000000004</v>
      </c>
      <c r="P9" s="560">
        <f t="shared" si="8"/>
        <v>43492.200000000004</v>
      </c>
      <c r="Q9" s="561"/>
    </row>
    <row r="10" spans="2:17" ht="15.75">
      <c r="B10" s="54">
        <v>6</v>
      </c>
      <c r="C10" s="547" t="s">
        <v>74</v>
      </c>
      <c r="D10" s="19">
        <v>39539</v>
      </c>
      <c r="E10" s="19">
        <v>44470</v>
      </c>
      <c r="F10" s="564">
        <f t="shared" si="5"/>
        <v>13.509589041095891</v>
      </c>
      <c r="G10" s="11">
        <v>15</v>
      </c>
      <c r="H10" s="564">
        <f t="shared" si="6"/>
        <v>-1.4904109589041088</v>
      </c>
      <c r="I10" s="20">
        <f t="shared" si="0"/>
        <v>6.3333333333333325E-2</v>
      </c>
      <c r="J10" s="566">
        <v>1505200</v>
      </c>
      <c r="K10" s="566">
        <v>575690.02</v>
      </c>
      <c r="L10" s="35">
        <v>0.23</v>
      </c>
      <c r="M10" s="18">
        <f t="shared" si="1"/>
        <v>1851396</v>
      </c>
      <c r="N10" s="18">
        <f t="shared" si="2"/>
        <v>1584067.943780822</v>
      </c>
      <c r="O10" s="21">
        <f t="shared" si="7"/>
        <v>267328.05621917802</v>
      </c>
      <c r="P10" s="560">
        <f t="shared" si="8"/>
        <v>240595.25059726022</v>
      </c>
      <c r="Q10" s="561"/>
    </row>
    <row r="11" spans="2:17" ht="15.75">
      <c r="B11" s="54">
        <v>7</v>
      </c>
      <c r="C11" s="547" t="s">
        <v>75</v>
      </c>
      <c r="D11" s="19">
        <v>39539</v>
      </c>
      <c r="E11" s="19">
        <v>44470</v>
      </c>
      <c r="F11" s="564">
        <f t="shared" si="5"/>
        <v>13.509589041095891</v>
      </c>
      <c r="G11" s="11">
        <v>15</v>
      </c>
      <c r="H11" s="564">
        <f t="shared" si="6"/>
        <v>-1.4904109589041088</v>
      </c>
      <c r="I11" s="20">
        <f t="shared" si="0"/>
        <v>6.3333333333333325E-2</v>
      </c>
      <c r="J11" s="566">
        <v>10624508</v>
      </c>
      <c r="K11" s="566">
        <v>4063225.9198423577</v>
      </c>
      <c r="L11" s="35">
        <v>0.23</v>
      </c>
      <c r="M11" s="18">
        <f t="shared" si="1"/>
        <v>13068144.84</v>
      </c>
      <c r="N11" s="18">
        <f t="shared" si="2"/>
        <v>11181200.200134793</v>
      </c>
      <c r="O11" s="21">
        <f t="shared" si="7"/>
        <v>1886944.6398652066</v>
      </c>
      <c r="P11" s="560">
        <f t="shared" si="8"/>
        <v>1698250.1758786859</v>
      </c>
      <c r="Q11" s="561"/>
    </row>
    <row r="12" spans="2:17" ht="15.75">
      <c r="B12" s="54">
        <v>8</v>
      </c>
      <c r="C12" s="547" t="s">
        <v>76</v>
      </c>
      <c r="D12" s="19">
        <v>39539</v>
      </c>
      <c r="E12" s="19">
        <v>44470</v>
      </c>
      <c r="F12" s="564">
        <f t="shared" si="5"/>
        <v>13.509589041095891</v>
      </c>
      <c r="G12" s="11">
        <v>25</v>
      </c>
      <c r="H12" s="564">
        <f t="shared" si="6"/>
        <v>-11.490410958904109</v>
      </c>
      <c r="I12" s="20">
        <f t="shared" si="0"/>
        <v>3.7999999999999999E-2</v>
      </c>
      <c r="J12" s="566">
        <v>10789</v>
      </c>
      <c r="K12" s="566">
        <v>4126.1350274160386</v>
      </c>
      <c r="L12" s="35">
        <v>0.47</v>
      </c>
      <c r="M12" s="18">
        <f t="shared" si="1"/>
        <v>15859.83</v>
      </c>
      <c r="N12" s="18">
        <f t="shared" si="2"/>
        <v>8141.8718513424656</v>
      </c>
      <c r="O12" s="21">
        <f t="shared" si="7"/>
        <v>7717.9581486575344</v>
      </c>
      <c r="P12" s="560">
        <f t="shared" si="8"/>
        <v>6946.1623337917808</v>
      </c>
      <c r="Q12" s="561"/>
    </row>
    <row r="13" spans="2:17" ht="15.75">
      <c r="B13" s="54">
        <v>9</v>
      </c>
      <c r="C13" s="547" t="s">
        <v>77</v>
      </c>
      <c r="D13" s="19">
        <v>39539</v>
      </c>
      <c r="E13" s="19">
        <v>44470</v>
      </c>
      <c r="F13" s="564">
        <f t="shared" si="5"/>
        <v>13.509589041095891</v>
      </c>
      <c r="G13" s="11">
        <v>15</v>
      </c>
      <c r="H13" s="564">
        <f t="shared" si="6"/>
        <v>-1.4904109589041088</v>
      </c>
      <c r="I13" s="20">
        <f t="shared" si="0"/>
        <v>6.3333333333333325E-2</v>
      </c>
      <c r="J13" s="566">
        <v>13027510</v>
      </c>
      <c r="K13" s="566">
        <v>4982227.5330980122</v>
      </c>
      <c r="L13" s="35">
        <v>0</v>
      </c>
      <c r="M13" s="18">
        <f t="shared" si="1"/>
        <v>13027510</v>
      </c>
      <c r="N13" s="18">
        <f t="shared" si="2"/>
        <v>11146432.734155251</v>
      </c>
      <c r="O13" s="21">
        <f t="shared" si="7"/>
        <v>1881077.2658447493</v>
      </c>
      <c r="P13" s="560">
        <f t="shared" si="8"/>
        <v>1692969.5392602745</v>
      </c>
      <c r="Q13" s="561"/>
    </row>
    <row r="14" spans="2:17" ht="15.75">
      <c r="B14" s="54">
        <v>10</v>
      </c>
      <c r="C14" s="547" t="s">
        <v>78</v>
      </c>
      <c r="D14" s="19">
        <v>39539</v>
      </c>
      <c r="E14" s="19">
        <v>44470</v>
      </c>
      <c r="F14" s="564">
        <f t="shared" si="5"/>
        <v>13.509589041095891</v>
      </c>
      <c r="G14" s="11">
        <v>15</v>
      </c>
      <c r="H14" s="564">
        <f t="shared" si="6"/>
        <v>-1.4904109589041088</v>
      </c>
      <c r="I14" s="20">
        <f t="shared" si="0"/>
        <v>6.3333333333333325E-2</v>
      </c>
      <c r="J14" s="566">
        <v>756090</v>
      </c>
      <c r="K14" s="566">
        <v>289158.27767991775</v>
      </c>
      <c r="L14" s="35">
        <v>0.52</v>
      </c>
      <c r="M14" s="18">
        <f t="shared" si="1"/>
        <v>1149256.8</v>
      </c>
      <c r="N14" s="18">
        <f t="shared" si="2"/>
        <v>983312.51447671233</v>
      </c>
      <c r="O14" s="21">
        <f t="shared" si="7"/>
        <v>165944.28552328772</v>
      </c>
      <c r="P14" s="560">
        <f t="shared" si="8"/>
        <v>149349.85697095896</v>
      </c>
      <c r="Q14" s="561"/>
    </row>
    <row r="15" spans="2:17" ht="15.75">
      <c r="B15" s="54">
        <v>11</v>
      </c>
      <c r="C15" s="547" t="s">
        <v>79</v>
      </c>
      <c r="D15" s="19">
        <v>39539</v>
      </c>
      <c r="E15" s="19">
        <v>44470</v>
      </c>
      <c r="F15" s="564">
        <f t="shared" si="5"/>
        <v>13.509589041095891</v>
      </c>
      <c r="G15" s="11">
        <v>15</v>
      </c>
      <c r="H15" s="564">
        <f t="shared" si="6"/>
        <v>-1.4904109589041088</v>
      </c>
      <c r="I15" s="20">
        <f t="shared" si="0"/>
        <v>6.3333333333333325E-2</v>
      </c>
      <c r="J15" s="566">
        <v>175900</v>
      </c>
      <c r="K15" s="566">
        <v>67271.018793694311</v>
      </c>
      <c r="L15" s="35">
        <v>0.52</v>
      </c>
      <c r="M15" s="18">
        <f t="shared" si="1"/>
        <v>267368</v>
      </c>
      <c r="N15" s="18">
        <f t="shared" si="2"/>
        <v>228762.01417351599</v>
      </c>
      <c r="O15" s="21">
        <f t="shared" si="7"/>
        <v>38605.985826484015</v>
      </c>
      <c r="P15" s="560">
        <f t="shared" si="8"/>
        <v>34745.387243835612</v>
      </c>
      <c r="Q15" s="561"/>
    </row>
    <row r="16" spans="2:17" ht="15.75">
      <c r="B16" s="54">
        <v>12</v>
      </c>
      <c r="C16" s="547" t="s">
        <v>80</v>
      </c>
      <c r="D16" s="19">
        <v>39539</v>
      </c>
      <c r="E16" s="19">
        <v>44470</v>
      </c>
      <c r="F16" s="564">
        <f t="shared" si="5"/>
        <v>13.509589041095891</v>
      </c>
      <c r="G16" s="11">
        <v>5</v>
      </c>
      <c r="H16" s="564">
        <f t="shared" si="6"/>
        <v>8.5095890410958912</v>
      </c>
      <c r="I16" s="20">
        <f t="shared" si="0"/>
        <v>0.19</v>
      </c>
      <c r="J16" s="566">
        <v>242000</v>
      </c>
      <c r="K16" s="566">
        <v>92550.226991089788</v>
      </c>
      <c r="L16" s="35">
        <v>0.47</v>
      </c>
      <c r="M16" s="18">
        <f t="shared" si="1"/>
        <v>355740</v>
      </c>
      <c r="N16" s="18">
        <f t="shared" si="2"/>
        <v>913121.22904109594</v>
      </c>
      <c r="O16" s="21">
        <f t="shared" si="7"/>
        <v>17787</v>
      </c>
      <c r="P16" s="560">
        <f t="shared" si="8"/>
        <v>17787</v>
      </c>
      <c r="Q16" s="561"/>
    </row>
    <row r="17" spans="2:17" ht="15.75">
      <c r="B17" s="54">
        <v>13</v>
      </c>
      <c r="C17" s="547" t="s">
        <v>81</v>
      </c>
      <c r="D17" s="19">
        <v>39539</v>
      </c>
      <c r="E17" s="19">
        <v>44470</v>
      </c>
      <c r="F17" s="564">
        <f t="shared" si="5"/>
        <v>13.509589041095891</v>
      </c>
      <c r="G17" s="11">
        <v>5</v>
      </c>
      <c r="H17" s="564">
        <f t="shared" si="6"/>
        <v>8.5095890410958912</v>
      </c>
      <c r="I17" s="20">
        <f t="shared" si="0"/>
        <v>0.19</v>
      </c>
      <c r="J17" s="566">
        <v>251594</v>
      </c>
      <c r="K17" s="566">
        <v>96216.963064844196</v>
      </c>
      <c r="L17" s="35">
        <v>0.47</v>
      </c>
      <c r="M17" s="18">
        <f t="shared" si="1"/>
        <v>369843.18</v>
      </c>
      <c r="N17" s="18">
        <f t="shared" si="2"/>
        <v>949321.58057589037</v>
      </c>
      <c r="O17" s="21">
        <f t="shared" si="7"/>
        <v>18492.159</v>
      </c>
      <c r="P17" s="560">
        <f t="shared" si="8"/>
        <v>18492.159</v>
      </c>
      <c r="Q17" s="561"/>
    </row>
    <row r="18" spans="2:17" ht="15.75">
      <c r="B18" s="54">
        <v>14</v>
      </c>
      <c r="C18" s="547" t="s">
        <v>81</v>
      </c>
      <c r="D18" s="19">
        <v>39539</v>
      </c>
      <c r="E18" s="19">
        <v>44470</v>
      </c>
      <c r="F18" s="564">
        <f t="shared" si="5"/>
        <v>13.509589041095891</v>
      </c>
      <c r="G18" s="11">
        <v>5</v>
      </c>
      <c r="H18" s="564">
        <f t="shared" si="6"/>
        <v>8.5095890410958912</v>
      </c>
      <c r="I18" s="20">
        <f t="shared" si="0"/>
        <v>0.19</v>
      </c>
      <c r="J18" s="566">
        <v>69317</v>
      </c>
      <c r="K18" s="566">
        <v>26508.864395676384</v>
      </c>
      <c r="L18" s="35">
        <v>0.47</v>
      </c>
      <c r="M18" s="18">
        <f t="shared" si="1"/>
        <v>101895.99</v>
      </c>
      <c r="N18" s="18">
        <f t="shared" si="2"/>
        <v>261548.86046876715</v>
      </c>
      <c r="O18" s="21">
        <f t="shared" si="7"/>
        <v>5094.799500000001</v>
      </c>
      <c r="P18" s="560">
        <f t="shared" si="8"/>
        <v>5094.799500000001</v>
      </c>
      <c r="Q18" s="561"/>
    </row>
    <row r="19" spans="2:17" ht="15.75">
      <c r="B19" s="54">
        <v>15</v>
      </c>
      <c r="C19" s="547" t="s">
        <v>82</v>
      </c>
      <c r="D19" s="19">
        <v>39539</v>
      </c>
      <c r="E19" s="19">
        <v>44470</v>
      </c>
      <c r="F19" s="564">
        <f t="shared" si="5"/>
        <v>13.509589041095891</v>
      </c>
      <c r="G19" s="11">
        <v>25</v>
      </c>
      <c r="H19" s="564">
        <f>F19-G19</f>
        <v>-11.490410958904109</v>
      </c>
      <c r="I19" s="20">
        <f t="shared" si="0"/>
        <v>3.7999999999999999E-2</v>
      </c>
      <c r="J19" s="566">
        <v>1330972</v>
      </c>
      <c r="K19" s="566">
        <v>509015.56561000686</v>
      </c>
      <c r="L19" s="35">
        <v>0.47</v>
      </c>
      <c r="M19" s="18">
        <f t="shared" si="1"/>
        <v>1956528.8399999999</v>
      </c>
      <c r="N19" s="18">
        <f t="shared" si="2"/>
        <v>1004412.221867178</v>
      </c>
      <c r="O19" s="21">
        <f t="shared" si="7"/>
        <v>952116.61813282187</v>
      </c>
      <c r="P19" s="560">
        <f t="shared" si="8"/>
        <v>856904.95631953969</v>
      </c>
      <c r="Q19" s="561"/>
    </row>
    <row r="20" spans="2:17" ht="15.75">
      <c r="B20" s="54">
        <v>16</v>
      </c>
      <c r="C20" s="547" t="s">
        <v>83</v>
      </c>
      <c r="D20" s="19">
        <v>39539</v>
      </c>
      <c r="E20" s="19">
        <v>44470</v>
      </c>
      <c r="F20" s="564">
        <f t="shared" si="5"/>
        <v>13.509589041095891</v>
      </c>
      <c r="G20" s="11">
        <v>25</v>
      </c>
      <c r="H20" s="564">
        <f t="shared" ref="H20:H83" si="9">F20-G20</f>
        <v>-11.490410958904109</v>
      </c>
      <c r="I20" s="20">
        <f t="shared" si="0"/>
        <v>3.7999999999999999E-2</v>
      </c>
      <c r="J20" s="566">
        <v>2637196</v>
      </c>
      <c r="K20" s="566">
        <v>1008541.4999036341</v>
      </c>
      <c r="L20" s="35">
        <v>0.24</v>
      </c>
      <c r="M20" s="18">
        <f t="shared" si="1"/>
        <v>3270123.04</v>
      </c>
      <c r="N20" s="18">
        <f t="shared" si="2"/>
        <v>1678764.6986003288</v>
      </c>
      <c r="O20" s="21">
        <f t="shared" si="7"/>
        <v>1591358.3413996713</v>
      </c>
      <c r="P20" s="560">
        <f t="shared" si="8"/>
        <v>1432222.5072597042</v>
      </c>
      <c r="Q20" s="561"/>
    </row>
    <row r="21" spans="2:17" ht="15.75">
      <c r="B21" s="54">
        <v>17</v>
      </c>
      <c r="C21" s="547" t="s">
        <v>84</v>
      </c>
      <c r="D21" s="19">
        <v>39539</v>
      </c>
      <c r="E21" s="19">
        <v>44470</v>
      </c>
      <c r="F21" s="564">
        <f t="shared" si="5"/>
        <v>13.509589041095891</v>
      </c>
      <c r="G21" s="11">
        <v>25</v>
      </c>
      <c r="H21" s="564">
        <f t="shared" si="9"/>
        <v>-11.490410958904109</v>
      </c>
      <c r="I21" s="20">
        <f t="shared" si="0"/>
        <v>3.7999999999999999E-2</v>
      </c>
      <c r="J21" s="566">
        <v>309350</v>
      </c>
      <c r="K21" s="566">
        <v>118304.56022047247</v>
      </c>
      <c r="L21" s="35">
        <v>0.1</v>
      </c>
      <c r="M21" s="18">
        <f t="shared" si="1"/>
        <v>340285</v>
      </c>
      <c r="N21" s="18">
        <f t="shared" si="2"/>
        <v>174690.19926027398</v>
      </c>
      <c r="O21" s="21">
        <f t="shared" si="7"/>
        <v>165594.80073972602</v>
      </c>
      <c r="P21" s="560">
        <f t="shared" si="8"/>
        <v>149035.32066575342</v>
      </c>
      <c r="Q21" s="561"/>
    </row>
    <row r="22" spans="2:17" ht="15.75">
      <c r="B22" s="54">
        <v>18</v>
      </c>
      <c r="C22" s="547" t="s">
        <v>85</v>
      </c>
      <c r="D22" s="19">
        <v>39539</v>
      </c>
      <c r="E22" s="19">
        <v>44470</v>
      </c>
      <c r="F22" s="564">
        <f t="shared" si="5"/>
        <v>13.509589041095891</v>
      </c>
      <c r="G22" s="11">
        <v>10</v>
      </c>
      <c r="H22" s="564">
        <f t="shared" si="9"/>
        <v>3.5095890410958912</v>
      </c>
      <c r="I22" s="20">
        <f t="shared" si="0"/>
        <v>9.5000000000000001E-2</v>
      </c>
      <c r="J22" s="566">
        <v>509548</v>
      </c>
      <c r="K22" s="566">
        <v>194871.01479780671</v>
      </c>
      <c r="L22" s="35">
        <v>0.52</v>
      </c>
      <c r="M22" s="18">
        <f t="shared" si="1"/>
        <v>774512.96</v>
      </c>
      <c r="N22" s="18">
        <f t="shared" si="2"/>
        <v>994018.42067726026</v>
      </c>
      <c r="O22" s="21">
        <f t="shared" si="7"/>
        <v>38725.648000000001</v>
      </c>
      <c r="P22" s="560">
        <f t="shared" si="8"/>
        <v>38725.648000000001</v>
      </c>
      <c r="Q22" s="561"/>
    </row>
    <row r="23" spans="2:17" ht="15.75">
      <c r="B23" s="54">
        <v>19</v>
      </c>
      <c r="C23" s="547" t="s">
        <v>86</v>
      </c>
      <c r="D23" s="19">
        <v>39571</v>
      </c>
      <c r="E23" s="19">
        <v>44470</v>
      </c>
      <c r="F23" s="564">
        <f t="shared" si="5"/>
        <v>13.421917808219177</v>
      </c>
      <c r="G23" s="11">
        <v>10</v>
      </c>
      <c r="H23" s="564">
        <f t="shared" si="9"/>
        <v>3.4219178082191775</v>
      </c>
      <c r="I23" s="20">
        <f t="shared" si="0"/>
        <v>9.5000000000000001E-2</v>
      </c>
      <c r="J23" s="566">
        <v>256875</v>
      </c>
      <c r="K23" s="566">
        <v>99308.871711864398</v>
      </c>
      <c r="L23" s="35">
        <v>0.52</v>
      </c>
      <c r="M23" s="18">
        <f t="shared" si="1"/>
        <v>390450</v>
      </c>
      <c r="N23" s="18">
        <f t="shared" si="2"/>
        <v>497855.84178082191</v>
      </c>
      <c r="O23" s="21">
        <f t="shared" si="7"/>
        <v>19522.5</v>
      </c>
      <c r="P23" s="560">
        <f t="shared" si="8"/>
        <v>19522.5</v>
      </c>
      <c r="Q23" s="561"/>
    </row>
    <row r="24" spans="2:17" ht="15.75">
      <c r="B24" s="54">
        <v>20</v>
      </c>
      <c r="C24" s="547" t="s">
        <v>86</v>
      </c>
      <c r="D24" s="19">
        <v>39582</v>
      </c>
      <c r="E24" s="19">
        <v>44470</v>
      </c>
      <c r="F24" s="564">
        <f t="shared" si="5"/>
        <v>13.391780821917807</v>
      </c>
      <c r="G24" s="11">
        <v>10</v>
      </c>
      <c r="H24" s="564">
        <f t="shared" si="9"/>
        <v>3.3917808219178074</v>
      </c>
      <c r="I24" s="20">
        <f t="shared" si="0"/>
        <v>9.5000000000000001E-2</v>
      </c>
      <c r="J24" s="566">
        <v>128625</v>
      </c>
      <c r="K24" s="566">
        <v>49911.067467071931</v>
      </c>
      <c r="L24" s="35">
        <v>0.52</v>
      </c>
      <c r="M24" s="18">
        <f t="shared" si="1"/>
        <v>195510</v>
      </c>
      <c r="N24" s="18">
        <f t="shared" si="2"/>
        <v>248731.57150684929</v>
      </c>
      <c r="O24" s="21">
        <f t="shared" si="7"/>
        <v>9775.5</v>
      </c>
      <c r="P24" s="560">
        <f t="shared" si="8"/>
        <v>9775.5</v>
      </c>
      <c r="Q24" s="561"/>
    </row>
    <row r="25" spans="2:17" ht="15.75">
      <c r="B25" s="54">
        <v>21</v>
      </c>
      <c r="C25" s="547" t="s">
        <v>75</v>
      </c>
      <c r="D25" s="19">
        <v>39609</v>
      </c>
      <c r="E25" s="19">
        <v>44470</v>
      </c>
      <c r="F25" s="564">
        <f t="shared" si="5"/>
        <v>13.317808219178081</v>
      </c>
      <c r="G25" s="11">
        <v>15</v>
      </c>
      <c r="H25" s="564">
        <f t="shared" si="9"/>
        <v>-1.6821917808219187</v>
      </c>
      <c r="I25" s="20">
        <f t="shared" si="0"/>
        <v>6.3333333333333325E-2</v>
      </c>
      <c r="J25" s="566">
        <v>1572177</v>
      </c>
      <c r="K25" s="566">
        <v>615585.39824966528</v>
      </c>
      <c r="L25" s="35">
        <v>0.23</v>
      </c>
      <c r="M25" s="18">
        <f t="shared" si="1"/>
        <v>1933777.71</v>
      </c>
      <c r="N25" s="18">
        <f t="shared" si="2"/>
        <v>1631066.4430857531</v>
      </c>
      <c r="O25" s="21">
        <f t="shared" si="7"/>
        <v>302711.26691424684</v>
      </c>
      <c r="P25" s="560">
        <f t="shared" si="8"/>
        <v>272440.14022282214</v>
      </c>
      <c r="Q25" s="561"/>
    </row>
    <row r="26" spans="2:17" ht="15.75">
      <c r="B26" s="54">
        <v>22</v>
      </c>
      <c r="C26" s="547" t="s">
        <v>83</v>
      </c>
      <c r="D26" s="19">
        <v>39609</v>
      </c>
      <c r="E26" s="19">
        <v>44470</v>
      </c>
      <c r="F26" s="564">
        <f t="shared" si="5"/>
        <v>13.317808219178081</v>
      </c>
      <c r="G26" s="11">
        <v>25</v>
      </c>
      <c r="H26" s="564">
        <f t="shared" si="9"/>
        <v>-11.682191780821919</v>
      </c>
      <c r="I26" s="20">
        <f t="shared" si="0"/>
        <v>3.7999999999999999E-2</v>
      </c>
      <c r="J26" s="566">
        <f>1494084+7304</f>
        <v>1501388</v>
      </c>
      <c r="K26" s="566">
        <v>587867.98927041504</v>
      </c>
      <c r="L26" s="35">
        <v>0.24</v>
      </c>
      <c r="M26" s="18">
        <f t="shared" si="1"/>
        <v>1861721.1199999999</v>
      </c>
      <c r="N26" s="18">
        <f t="shared" si="2"/>
        <v>942173.70368262997</v>
      </c>
      <c r="O26" s="21">
        <f t="shared" si="7"/>
        <v>919547.41631736991</v>
      </c>
      <c r="P26" s="560">
        <f t="shared" si="8"/>
        <v>827592.67468563293</v>
      </c>
      <c r="Q26" s="561"/>
    </row>
    <row r="27" spans="2:17" ht="15.75">
      <c r="B27" s="54">
        <v>23</v>
      </c>
      <c r="C27" s="547" t="s">
        <v>83</v>
      </c>
      <c r="D27" s="19">
        <v>39621</v>
      </c>
      <c r="E27" s="19">
        <v>44470</v>
      </c>
      <c r="F27" s="564">
        <f t="shared" si="5"/>
        <v>13.284931506849315</v>
      </c>
      <c r="G27" s="11">
        <v>25</v>
      </c>
      <c r="H27" s="564">
        <f t="shared" si="9"/>
        <v>-11.715068493150685</v>
      </c>
      <c r="I27" s="20">
        <f t="shared" si="0"/>
        <v>3.7999999999999999E-2</v>
      </c>
      <c r="J27" s="566">
        <v>132000</v>
      </c>
      <c r="K27" s="566">
        <v>51890.722549999999</v>
      </c>
      <c r="L27" s="35">
        <v>0.24</v>
      </c>
      <c r="M27" s="18">
        <f t="shared" si="1"/>
        <v>163680</v>
      </c>
      <c r="N27" s="18">
        <f t="shared" si="2"/>
        <v>82630.148383561638</v>
      </c>
      <c r="O27" s="21">
        <f t="shared" si="7"/>
        <v>81049.851616438362</v>
      </c>
      <c r="P27" s="560">
        <f t="shared" si="8"/>
        <v>72944.866454794523</v>
      </c>
      <c r="Q27" s="561"/>
    </row>
    <row r="28" spans="2:17" ht="15.75">
      <c r="B28" s="54">
        <v>24</v>
      </c>
      <c r="C28" s="547" t="s">
        <v>72</v>
      </c>
      <c r="D28" s="19">
        <v>39660</v>
      </c>
      <c r="E28" s="19">
        <v>44470</v>
      </c>
      <c r="F28" s="564">
        <f t="shared" si="5"/>
        <v>13.178082191780822</v>
      </c>
      <c r="G28" s="11">
        <v>25</v>
      </c>
      <c r="H28" s="564">
        <f t="shared" si="9"/>
        <v>-11.821917808219178</v>
      </c>
      <c r="I28" s="20">
        <f t="shared" si="0"/>
        <v>3.7999999999999999E-2</v>
      </c>
      <c r="J28" s="566">
        <v>2112</v>
      </c>
      <c r="K28" s="566">
        <v>840.9719973675551</v>
      </c>
      <c r="L28" s="35">
        <v>0</v>
      </c>
      <c r="M28" s="18">
        <f t="shared" si="1"/>
        <v>2112</v>
      </c>
      <c r="N28" s="18">
        <f t="shared" si="2"/>
        <v>1057.6201643835616</v>
      </c>
      <c r="O28" s="21">
        <f t="shared" si="7"/>
        <v>1054.3798356164384</v>
      </c>
      <c r="P28" s="560">
        <f t="shared" si="8"/>
        <v>948.94185205479459</v>
      </c>
      <c r="Q28" s="561"/>
    </row>
    <row r="29" spans="2:17" ht="15.75">
      <c r="B29" s="54">
        <v>25</v>
      </c>
      <c r="C29" s="547" t="s">
        <v>70</v>
      </c>
      <c r="D29" s="19">
        <v>39903</v>
      </c>
      <c r="E29" s="19">
        <v>44470</v>
      </c>
      <c r="F29" s="564">
        <f t="shared" si="5"/>
        <v>12.512328767123288</v>
      </c>
      <c r="G29" s="11">
        <v>15</v>
      </c>
      <c r="H29" s="564">
        <f t="shared" si="9"/>
        <v>-2.4876712328767123</v>
      </c>
      <c r="I29" s="20">
        <f t="shared" si="0"/>
        <v>6.3333333333333325E-2</v>
      </c>
      <c r="J29" s="566">
        <v>105782</v>
      </c>
      <c r="K29" s="566">
        <v>45466.60658744668</v>
      </c>
      <c r="L29" s="35">
        <v>0.09</v>
      </c>
      <c r="M29" s="18">
        <f t="shared" si="1"/>
        <v>115302.38</v>
      </c>
      <c r="N29" s="18">
        <f t="shared" si="2"/>
        <v>91371.081458812783</v>
      </c>
      <c r="O29" s="21">
        <f t="shared" si="7"/>
        <v>23931.298541187221</v>
      </c>
      <c r="P29" s="560">
        <f t="shared" si="8"/>
        <v>21538.168687068501</v>
      </c>
      <c r="Q29" s="561"/>
    </row>
    <row r="30" spans="2:17" ht="15.75">
      <c r="B30" s="54">
        <v>26</v>
      </c>
      <c r="C30" s="547" t="s">
        <v>71</v>
      </c>
      <c r="D30" s="19">
        <v>39903</v>
      </c>
      <c r="E30" s="19">
        <v>44470</v>
      </c>
      <c r="F30" s="564">
        <f t="shared" si="5"/>
        <v>12.512328767123288</v>
      </c>
      <c r="G30" s="11">
        <v>8</v>
      </c>
      <c r="H30" s="564">
        <f t="shared" si="9"/>
        <v>4.5123287671232877</v>
      </c>
      <c r="I30" s="20">
        <f t="shared" si="0"/>
        <v>0.11874999999999999</v>
      </c>
      <c r="J30" s="566">
        <v>10371</v>
      </c>
      <c r="K30" s="566">
        <v>4457.6020962827542</v>
      </c>
      <c r="L30" s="35">
        <v>0</v>
      </c>
      <c r="M30" s="18">
        <f t="shared" si="1"/>
        <v>10371</v>
      </c>
      <c r="N30" s="18">
        <f t="shared" si="2"/>
        <v>15409.63669520548</v>
      </c>
      <c r="O30" s="21">
        <f t="shared" si="7"/>
        <v>518.55000000000007</v>
      </c>
      <c r="P30" s="560">
        <f t="shared" si="8"/>
        <v>518.55000000000007</v>
      </c>
      <c r="Q30" s="561"/>
    </row>
    <row r="31" spans="2:17" ht="15.75">
      <c r="B31" s="54">
        <v>27</v>
      </c>
      <c r="C31" s="547" t="s">
        <v>86</v>
      </c>
      <c r="D31" s="19">
        <v>39903</v>
      </c>
      <c r="E31" s="19">
        <v>44470</v>
      </c>
      <c r="F31" s="564">
        <f t="shared" si="5"/>
        <v>12.512328767123288</v>
      </c>
      <c r="G31" s="11">
        <v>10</v>
      </c>
      <c r="H31" s="564">
        <f t="shared" si="9"/>
        <v>2.5123287671232877</v>
      </c>
      <c r="I31" s="20">
        <f t="shared" si="0"/>
        <v>9.5000000000000001E-2</v>
      </c>
      <c r="J31" s="566">
        <v>159926</v>
      </c>
      <c r="K31" s="566">
        <v>68738.461054235217</v>
      </c>
      <c r="L31" s="35">
        <v>0.49</v>
      </c>
      <c r="M31" s="18">
        <f t="shared" si="1"/>
        <v>238289.74</v>
      </c>
      <c r="N31" s="18">
        <f t="shared" si="2"/>
        <v>283248.15902767121</v>
      </c>
      <c r="O31" s="21">
        <f t="shared" si="7"/>
        <v>11914.487000000001</v>
      </c>
      <c r="P31" s="560">
        <f t="shared" si="8"/>
        <v>11914.487000000001</v>
      </c>
      <c r="Q31" s="561"/>
    </row>
    <row r="32" spans="2:17" ht="15.75">
      <c r="B32" s="54">
        <v>28</v>
      </c>
      <c r="C32" s="547" t="s">
        <v>72</v>
      </c>
      <c r="D32" s="19">
        <v>39903</v>
      </c>
      <c r="E32" s="19">
        <v>44470</v>
      </c>
      <c r="F32" s="564">
        <f t="shared" si="5"/>
        <v>12.512328767123288</v>
      </c>
      <c r="G32" s="11">
        <v>25</v>
      </c>
      <c r="H32" s="564">
        <f t="shared" si="9"/>
        <v>-12.487671232876712</v>
      </c>
      <c r="I32" s="20">
        <f t="shared" si="0"/>
        <v>3.7999999999999999E-2</v>
      </c>
      <c r="J32" s="566">
        <v>6950713</v>
      </c>
      <c r="K32" s="566">
        <v>2987693.2124999999</v>
      </c>
      <c r="L32" s="35">
        <v>0</v>
      </c>
      <c r="M32" s="18">
        <f t="shared" si="1"/>
        <v>6950713</v>
      </c>
      <c r="N32" s="18">
        <f t="shared" si="2"/>
        <v>3304845.0364328767</v>
      </c>
      <c r="O32" s="21">
        <f t="shared" si="7"/>
        <v>3645867.9635671233</v>
      </c>
      <c r="P32" s="560">
        <f t="shared" si="8"/>
        <v>3281281.1672104108</v>
      </c>
      <c r="Q32" s="561"/>
    </row>
    <row r="33" spans="2:17" s="6" customFormat="1" ht="15.75">
      <c r="B33" s="54">
        <v>29</v>
      </c>
      <c r="C33" s="547" t="s">
        <v>73</v>
      </c>
      <c r="D33" s="19">
        <v>39903</v>
      </c>
      <c r="E33" s="19">
        <v>44470</v>
      </c>
      <c r="F33" s="564">
        <f t="shared" si="5"/>
        <v>12.512328767123288</v>
      </c>
      <c r="G33" s="11">
        <v>10</v>
      </c>
      <c r="H33" s="564">
        <f t="shared" si="9"/>
        <v>2.5123287671232877</v>
      </c>
      <c r="I33" s="20">
        <f t="shared" si="0"/>
        <v>9.5000000000000001E-2</v>
      </c>
      <c r="J33" s="566">
        <v>300714</v>
      </c>
      <c r="K33" s="566">
        <v>129258.84500000002</v>
      </c>
      <c r="L33" s="35">
        <v>0.18</v>
      </c>
      <c r="M33" s="18">
        <f t="shared" si="1"/>
        <v>354842.51999999996</v>
      </c>
      <c r="N33" s="18">
        <f t="shared" si="2"/>
        <v>421791.09572547942</v>
      </c>
      <c r="O33" s="21">
        <f t="shared" si="7"/>
        <v>17742.126</v>
      </c>
      <c r="P33" s="560">
        <f t="shared" si="8"/>
        <v>17742.126</v>
      </c>
      <c r="Q33" s="561"/>
    </row>
    <row r="34" spans="2:17" ht="15.75">
      <c r="B34" s="54">
        <v>30</v>
      </c>
      <c r="C34" s="547" t="s">
        <v>74</v>
      </c>
      <c r="D34" s="19">
        <v>39903</v>
      </c>
      <c r="E34" s="19">
        <v>44470</v>
      </c>
      <c r="F34" s="564">
        <f t="shared" si="5"/>
        <v>12.512328767123288</v>
      </c>
      <c r="G34" s="11">
        <v>10</v>
      </c>
      <c r="H34" s="564">
        <f t="shared" si="9"/>
        <v>2.5123287671232877</v>
      </c>
      <c r="I34" s="20">
        <f t="shared" si="0"/>
        <v>9.5000000000000001E-2</v>
      </c>
      <c r="J34" s="566">
        <v>624436</v>
      </c>
      <c r="K34" s="566">
        <v>268391.47132541134</v>
      </c>
      <c r="L34" s="35">
        <v>0.19</v>
      </c>
      <c r="M34" s="18">
        <f t="shared" si="1"/>
        <v>743078.84</v>
      </c>
      <c r="N34" s="18">
        <f t="shared" si="2"/>
        <v>883276.44086739724</v>
      </c>
      <c r="O34" s="21">
        <f t="shared" si="7"/>
        <v>37153.942000000003</v>
      </c>
      <c r="P34" s="560">
        <f t="shared" si="8"/>
        <v>37153.942000000003</v>
      </c>
      <c r="Q34" s="561"/>
    </row>
    <row r="35" spans="2:17" ht="15.75">
      <c r="B35" s="54">
        <v>31</v>
      </c>
      <c r="C35" s="547" t="s">
        <v>75</v>
      </c>
      <c r="D35" s="19">
        <v>39903</v>
      </c>
      <c r="E35" s="19">
        <v>44470</v>
      </c>
      <c r="F35" s="564">
        <f t="shared" si="5"/>
        <v>12.512328767123288</v>
      </c>
      <c r="G35" s="11">
        <v>15</v>
      </c>
      <c r="H35" s="564">
        <f t="shared" si="9"/>
        <v>-2.4876712328767123</v>
      </c>
      <c r="I35" s="20">
        <f t="shared" si="0"/>
        <v>6.3333333333333325E-2</v>
      </c>
      <c r="J35" s="566">
        <v>5059823</v>
      </c>
      <c r="K35" s="566">
        <v>2174783.8527574651</v>
      </c>
      <c r="L35" s="35">
        <v>0.24</v>
      </c>
      <c r="M35" s="18">
        <f t="shared" si="1"/>
        <v>6274180.5199999996</v>
      </c>
      <c r="N35" s="18">
        <f t="shared" si="2"/>
        <v>4971958.5959996339</v>
      </c>
      <c r="O35" s="21">
        <f t="shared" si="7"/>
        <v>1302221.9240003657</v>
      </c>
      <c r="P35" s="560">
        <f t="shared" si="8"/>
        <v>1171999.731600329</v>
      </c>
      <c r="Q35" s="561"/>
    </row>
    <row r="36" spans="2:17" ht="15.75">
      <c r="B36" s="54">
        <v>32</v>
      </c>
      <c r="C36" s="547" t="s">
        <v>76</v>
      </c>
      <c r="D36" s="19">
        <v>39903</v>
      </c>
      <c r="E36" s="19">
        <v>44470</v>
      </c>
      <c r="F36" s="564">
        <f t="shared" si="5"/>
        <v>12.512328767123288</v>
      </c>
      <c r="G36" s="11">
        <v>25</v>
      </c>
      <c r="H36" s="564">
        <f t="shared" si="9"/>
        <v>-12.487671232876712</v>
      </c>
      <c r="I36" s="20">
        <f t="shared" si="0"/>
        <v>3.7999999999999999E-2</v>
      </c>
      <c r="J36" s="566">
        <v>4476</v>
      </c>
      <c r="K36" s="566">
        <v>1923.8457312614262</v>
      </c>
      <c r="L36" s="35">
        <v>0.38</v>
      </c>
      <c r="M36" s="18">
        <f t="shared" si="1"/>
        <v>6176.8799999999992</v>
      </c>
      <c r="N36" s="18">
        <f t="shared" si="2"/>
        <v>2936.9118259726019</v>
      </c>
      <c r="O36" s="21">
        <f t="shared" si="7"/>
        <v>3239.9681740273973</v>
      </c>
      <c r="P36" s="560">
        <f t="shared" si="8"/>
        <v>2915.9713566246578</v>
      </c>
      <c r="Q36" s="561"/>
    </row>
    <row r="37" spans="2:17" ht="15.75">
      <c r="B37" s="54">
        <v>33</v>
      </c>
      <c r="C37" s="547" t="s">
        <v>77</v>
      </c>
      <c r="D37" s="19">
        <v>39903</v>
      </c>
      <c r="E37" s="19">
        <v>44470</v>
      </c>
      <c r="F37" s="564">
        <f t="shared" si="5"/>
        <v>12.512328767123288</v>
      </c>
      <c r="G37" s="11">
        <v>15</v>
      </c>
      <c r="H37" s="564">
        <f t="shared" si="9"/>
        <v>-2.4876712328767123</v>
      </c>
      <c r="I37" s="20">
        <f t="shared" si="0"/>
        <v>6.3333333333333325E-2</v>
      </c>
      <c r="J37" s="566">
        <v>5823479</v>
      </c>
      <c r="K37" s="566">
        <v>2503014.0504936017</v>
      </c>
      <c r="L37" s="35">
        <v>0</v>
      </c>
      <c r="M37" s="18">
        <f t="shared" si="1"/>
        <v>5823479</v>
      </c>
      <c r="N37" s="18">
        <f t="shared" si="2"/>
        <v>4614801.3083744282</v>
      </c>
      <c r="O37" s="21">
        <f t="shared" si="7"/>
        <v>1208677.6916255718</v>
      </c>
      <c r="P37" s="560">
        <f t="shared" si="8"/>
        <v>1087809.9224630147</v>
      </c>
      <c r="Q37" s="561"/>
    </row>
    <row r="38" spans="2:17" ht="15.75">
      <c r="B38" s="54">
        <v>34</v>
      </c>
      <c r="C38" s="547" t="s">
        <v>78</v>
      </c>
      <c r="D38" s="19">
        <v>39903</v>
      </c>
      <c r="E38" s="19">
        <v>44470</v>
      </c>
      <c r="F38" s="564">
        <f t="shared" si="5"/>
        <v>12.512328767123288</v>
      </c>
      <c r="G38" s="11">
        <v>15</v>
      </c>
      <c r="H38" s="564">
        <f t="shared" si="9"/>
        <v>-2.4876712328767123</v>
      </c>
      <c r="I38" s="20">
        <f t="shared" si="0"/>
        <v>6.3333333333333325E-2</v>
      </c>
      <c r="J38" s="566">
        <v>313666</v>
      </c>
      <c r="K38" s="566">
        <v>134818.10392748323</v>
      </c>
      <c r="L38" s="35">
        <v>0.49</v>
      </c>
      <c r="M38" s="18">
        <f t="shared" si="1"/>
        <v>467362.34</v>
      </c>
      <c r="N38" s="18">
        <f t="shared" si="2"/>
        <v>370360.11259196344</v>
      </c>
      <c r="O38" s="21">
        <f t="shared" si="7"/>
        <v>97002.22740803659</v>
      </c>
      <c r="P38" s="560">
        <f t="shared" si="8"/>
        <v>87302.004667232934</v>
      </c>
      <c r="Q38" s="561"/>
    </row>
    <row r="39" spans="2:17" ht="15.75">
      <c r="B39" s="54">
        <v>35</v>
      </c>
      <c r="C39" s="547" t="s">
        <v>79</v>
      </c>
      <c r="D39" s="19">
        <v>39903</v>
      </c>
      <c r="E39" s="19">
        <v>44470</v>
      </c>
      <c r="F39" s="564">
        <f t="shared" si="5"/>
        <v>12.512328767123288</v>
      </c>
      <c r="G39" s="11">
        <v>15</v>
      </c>
      <c r="H39" s="564">
        <f t="shared" si="9"/>
        <v>-2.4876712328767123</v>
      </c>
      <c r="I39" s="20">
        <f t="shared" si="0"/>
        <v>6.3333333333333325E-2</v>
      </c>
      <c r="J39" s="566">
        <v>1125057</v>
      </c>
      <c r="K39" s="566">
        <v>483565.48651736748</v>
      </c>
      <c r="L39" s="35">
        <v>0.49</v>
      </c>
      <c r="M39" s="18">
        <f t="shared" si="1"/>
        <v>1676334.93</v>
      </c>
      <c r="N39" s="18">
        <f t="shared" si="2"/>
        <v>1328407.4053049313</v>
      </c>
      <c r="O39" s="21">
        <f t="shared" si="7"/>
        <v>347927.5246950686</v>
      </c>
      <c r="P39" s="560">
        <f t="shared" si="8"/>
        <v>313134.77222556173</v>
      </c>
      <c r="Q39" s="561"/>
    </row>
    <row r="40" spans="2:17" ht="15.75">
      <c r="B40" s="54">
        <v>36</v>
      </c>
      <c r="C40" s="547" t="s">
        <v>80</v>
      </c>
      <c r="D40" s="19">
        <v>39903</v>
      </c>
      <c r="E40" s="19">
        <v>44470</v>
      </c>
      <c r="F40" s="564">
        <f t="shared" si="5"/>
        <v>12.512328767123288</v>
      </c>
      <c r="G40" s="11">
        <v>5</v>
      </c>
      <c r="H40" s="564">
        <f t="shared" si="9"/>
        <v>7.5123287671232877</v>
      </c>
      <c r="I40" s="20">
        <f t="shared" si="0"/>
        <v>0.19</v>
      </c>
      <c r="J40" s="566">
        <v>100394</v>
      </c>
      <c r="K40" s="566">
        <v>43150.764884216944</v>
      </c>
      <c r="L40" s="35">
        <v>0.38</v>
      </c>
      <c r="M40" s="18">
        <f t="shared" si="1"/>
        <v>138543.72</v>
      </c>
      <c r="N40" s="18">
        <f t="shared" si="2"/>
        <v>329365.86891945207</v>
      </c>
      <c r="O40" s="21">
        <f t="shared" si="7"/>
        <v>6927.1860000000006</v>
      </c>
      <c r="P40" s="560">
        <f t="shared" si="8"/>
        <v>6927.1860000000006</v>
      </c>
      <c r="Q40" s="561"/>
    </row>
    <row r="41" spans="2:17" ht="15.75">
      <c r="B41" s="54">
        <v>37</v>
      </c>
      <c r="C41" s="547" t="s">
        <v>82</v>
      </c>
      <c r="D41" s="19">
        <v>39903</v>
      </c>
      <c r="E41" s="19">
        <v>44470</v>
      </c>
      <c r="F41" s="564">
        <f t="shared" si="5"/>
        <v>12.512328767123288</v>
      </c>
      <c r="G41" s="11">
        <v>25</v>
      </c>
      <c r="H41" s="564">
        <f t="shared" si="9"/>
        <v>-12.487671232876712</v>
      </c>
      <c r="I41" s="20">
        <f t="shared" si="0"/>
        <v>3.7999999999999999E-2</v>
      </c>
      <c r="J41" s="566">
        <v>552157</v>
      </c>
      <c r="K41" s="566">
        <v>237324.92507312616</v>
      </c>
      <c r="L41" s="35">
        <v>0.38</v>
      </c>
      <c r="M41" s="18">
        <f t="shared" si="1"/>
        <v>761976.65999999992</v>
      </c>
      <c r="N41" s="18">
        <f t="shared" si="2"/>
        <v>362295.89434619172</v>
      </c>
      <c r="O41" s="21">
        <f t="shared" si="7"/>
        <v>399680.76565380819</v>
      </c>
      <c r="P41" s="560">
        <f t="shared" si="8"/>
        <v>359712.6890884274</v>
      </c>
      <c r="Q41" s="561"/>
    </row>
    <row r="42" spans="2:17" ht="15.75">
      <c r="B42" s="54">
        <v>38</v>
      </c>
      <c r="C42" s="547" t="s">
        <v>83</v>
      </c>
      <c r="D42" s="19">
        <v>39903</v>
      </c>
      <c r="E42" s="19">
        <v>44470</v>
      </c>
      <c r="F42" s="564">
        <f t="shared" si="5"/>
        <v>12.512328767123288</v>
      </c>
      <c r="G42" s="11">
        <v>25</v>
      </c>
      <c r="H42" s="564">
        <f t="shared" si="9"/>
        <v>-12.487671232876712</v>
      </c>
      <c r="I42" s="20">
        <f t="shared" si="0"/>
        <v>3.7999999999999999E-2</v>
      </c>
      <c r="J42" s="566">
        <v>1771662</v>
      </c>
      <c r="K42" s="566">
        <v>761485.50343388179</v>
      </c>
      <c r="L42" s="35">
        <v>0.27</v>
      </c>
      <c r="M42" s="18">
        <f t="shared" si="1"/>
        <v>2250010.7400000002</v>
      </c>
      <c r="N42" s="18">
        <f t="shared" si="2"/>
        <v>1069809.2161206575</v>
      </c>
      <c r="O42" s="21">
        <f t="shared" si="7"/>
        <v>1180201.5238793427</v>
      </c>
      <c r="P42" s="560">
        <f t="shared" si="8"/>
        <v>1062181.3714914084</v>
      </c>
      <c r="Q42" s="561"/>
    </row>
    <row r="43" spans="2:17" ht="15.75">
      <c r="B43" s="54">
        <v>39</v>
      </c>
      <c r="C43" s="547" t="s">
        <v>84</v>
      </c>
      <c r="D43" s="19">
        <v>39903</v>
      </c>
      <c r="E43" s="19">
        <v>44470</v>
      </c>
      <c r="F43" s="564">
        <f t="shared" si="5"/>
        <v>12.512328767123288</v>
      </c>
      <c r="G43" s="11">
        <v>25</v>
      </c>
      <c r="H43" s="564">
        <f t="shared" si="9"/>
        <v>-12.487671232876712</v>
      </c>
      <c r="I43" s="20">
        <f t="shared" si="0"/>
        <v>3.7999999999999999E-2</v>
      </c>
      <c r="J43" s="566">
        <v>128335</v>
      </c>
      <c r="K43" s="566">
        <v>55160.211066422919</v>
      </c>
      <c r="L43" s="35">
        <v>0.1</v>
      </c>
      <c r="M43" s="18">
        <f t="shared" si="1"/>
        <v>141168.5</v>
      </c>
      <c r="N43" s="18">
        <f t="shared" si="2"/>
        <v>67121.173975342463</v>
      </c>
      <c r="O43" s="21">
        <f t="shared" si="7"/>
        <v>74047.326024657537</v>
      </c>
      <c r="P43" s="560">
        <f t="shared" si="8"/>
        <v>66642.593422191785</v>
      </c>
      <c r="Q43" s="561"/>
    </row>
    <row r="44" spans="2:17" ht="15.75">
      <c r="B44" s="54">
        <v>40</v>
      </c>
      <c r="C44" s="547" t="s">
        <v>85</v>
      </c>
      <c r="D44" s="19">
        <v>39903</v>
      </c>
      <c r="E44" s="19">
        <v>44470</v>
      </c>
      <c r="F44" s="564">
        <f t="shared" si="5"/>
        <v>12.512328767123288</v>
      </c>
      <c r="G44" s="11">
        <v>10</v>
      </c>
      <c r="H44" s="564">
        <f t="shared" si="9"/>
        <v>2.5123287671232877</v>
      </c>
      <c r="I44" s="20">
        <f t="shared" si="0"/>
        <v>9.5000000000000001E-2</v>
      </c>
      <c r="J44" s="566">
        <v>211387</v>
      </c>
      <c r="K44" s="566">
        <v>90857.135301645336</v>
      </c>
      <c r="L44" s="35">
        <v>0.49</v>
      </c>
      <c r="M44" s="18">
        <f t="shared" si="1"/>
        <v>314966.63</v>
      </c>
      <c r="N44" s="18">
        <f t="shared" si="2"/>
        <v>374391.77239712334</v>
      </c>
      <c r="O44" s="21">
        <f t="shared" si="7"/>
        <v>15748.3315</v>
      </c>
      <c r="P44" s="560">
        <f t="shared" si="8"/>
        <v>15748.3315</v>
      </c>
      <c r="Q44" s="561"/>
    </row>
    <row r="45" spans="2:17" ht="15.75">
      <c r="B45" s="54">
        <v>41</v>
      </c>
      <c r="C45" s="547" t="s">
        <v>85</v>
      </c>
      <c r="D45" s="19">
        <v>40269</v>
      </c>
      <c r="E45" s="19">
        <v>44470</v>
      </c>
      <c r="F45" s="564">
        <f t="shared" si="5"/>
        <v>11.509589041095891</v>
      </c>
      <c r="G45" s="11">
        <v>10</v>
      </c>
      <c r="H45" s="564">
        <f t="shared" si="9"/>
        <v>1.5095890410958912</v>
      </c>
      <c r="I45" s="20">
        <f t="shared" si="0"/>
        <v>9.5000000000000001E-2</v>
      </c>
      <c r="J45" s="566">
        <v>1228000</v>
      </c>
      <c r="K45" s="566">
        <v>586307.19771107461</v>
      </c>
      <c r="L45" s="35">
        <v>0.24</v>
      </c>
      <c r="M45" s="18">
        <f t="shared" si="1"/>
        <v>1522720</v>
      </c>
      <c r="N45" s="18">
        <f t="shared" si="2"/>
        <v>1664958.7353424658</v>
      </c>
      <c r="O45" s="21">
        <f t="shared" si="7"/>
        <v>76136</v>
      </c>
      <c r="P45" s="560">
        <f t="shared" si="8"/>
        <v>76136</v>
      </c>
      <c r="Q45" s="561"/>
    </row>
    <row r="46" spans="2:17" ht="15.75">
      <c r="B46" s="54">
        <v>42</v>
      </c>
      <c r="C46" s="547" t="s">
        <v>85</v>
      </c>
      <c r="D46" s="19">
        <v>40278</v>
      </c>
      <c r="E46" s="19">
        <v>44470</v>
      </c>
      <c r="F46" s="564">
        <f t="shared" si="5"/>
        <v>11.484931506849316</v>
      </c>
      <c r="G46" s="11">
        <v>10</v>
      </c>
      <c r="H46" s="564">
        <f t="shared" si="9"/>
        <v>1.4849315068493159</v>
      </c>
      <c r="I46" s="20">
        <f t="shared" si="0"/>
        <v>9.5000000000000001E-2</v>
      </c>
      <c r="J46" s="566">
        <v>261500</v>
      </c>
      <c r="K46" s="566">
        <v>125159.18321028166</v>
      </c>
      <c r="L46" s="35">
        <v>0.24</v>
      </c>
      <c r="M46" s="18">
        <f t="shared" si="1"/>
        <v>324260</v>
      </c>
      <c r="N46" s="18">
        <f t="shared" si="2"/>
        <v>353789.86958904116</v>
      </c>
      <c r="O46" s="21">
        <f t="shared" si="7"/>
        <v>16213</v>
      </c>
      <c r="P46" s="560">
        <f t="shared" si="8"/>
        <v>16213</v>
      </c>
      <c r="Q46" s="561"/>
    </row>
    <row r="47" spans="2:17" ht="15.75">
      <c r="B47" s="54">
        <v>43</v>
      </c>
      <c r="C47" s="547" t="s">
        <v>87</v>
      </c>
      <c r="D47" s="19">
        <v>40471</v>
      </c>
      <c r="E47" s="19">
        <v>44470</v>
      </c>
      <c r="F47" s="564">
        <f t="shared" si="5"/>
        <v>10.956164383561644</v>
      </c>
      <c r="G47" s="11">
        <v>25</v>
      </c>
      <c r="H47" s="564">
        <f t="shared" si="9"/>
        <v>-14.043835616438356</v>
      </c>
      <c r="I47" s="20">
        <f t="shared" si="0"/>
        <v>3.7999999999999999E-2</v>
      </c>
      <c r="J47" s="566">
        <v>223590207</v>
      </c>
      <c r="K47" s="566">
        <v>112631042.0644805</v>
      </c>
      <c r="L47" s="35">
        <v>0</v>
      </c>
      <c r="M47" s="18">
        <f t="shared" si="1"/>
        <v>223590207</v>
      </c>
      <c r="N47" s="18">
        <f t="shared" si="2"/>
        <v>93088260.372969866</v>
      </c>
      <c r="O47" s="21">
        <f t="shared" si="7"/>
        <v>130501946.62703013</v>
      </c>
      <c r="P47" s="560">
        <f t="shared" si="8"/>
        <v>117451751.96432713</v>
      </c>
      <c r="Q47" s="561"/>
    </row>
    <row r="48" spans="2:17" ht="15.75">
      <c r="B48" s="54">
        <v>44</v>
      </c>
      <c r="C48" s="547" t="s">
        <v>85</v>
      </c>
      <c r="D48" s="19">
        <v>40584</v>
      </c>
      <c r="E48" s="19">
        <v>44470</v>
      </c>
      <c r="F48" s="564">
        <f t="shared" si="5"/>
        <v>10.646575342465754</v>
      </c>
      <c r="G48" s="11">
        <v>10</v>
      </c>
      <c r="H48" s="564">
        <f t="shared" si="9"/>
        <v>0.64657534246575388</v>
      </c>
      <c r="I48" s="20">
        <f t="shared" si="0"/>
        <v>9.5000000000000001E-2</v>
      </c>
      <c r="J48" s="566">
        <v>261500</v>
      </c>
      <c r="K48" s="566">
        <v>135573.45402977543</v>
      </c>
      <c r="L48" s="35">
        <v>0.11</v>
      </c>
      <c r="M48" s="18">
        <f t="shared" si="1"/>
        <v>290265</v>
      </c>
      <c r="N48" s="18">
        <f t="shared" si="2"/>
        <v>293581.17821917811</v>
      </c>
      <c r="O48" s="21">
        <f t="shared" si="7"/>
        <v>14513.25</v>
      </c>
      <c r="P48" s="560">
        <f t="shared" si="8"/>
        <v>14513.25</v>
      </c>
      <c r="Q48" s="561"/>
    </row>
    <row r="49" spans="2:17" ht="15.75">
      <c r="B49" s="54">
        <v>45</v>
      </c>
      <c r="C49" s="547" t="s">
        <v>15</v>
      </c>
      <c r="D49" s="19">
        <v>41345</v>
      </c>
      <c r="E49" s="19">
        <v>44470</v>
      </c>
      <c r="F49" s="564">
        <f t="shared" si="5"/>
        <v>8.5616438356164384</v>
      </c>
      <c r="G49" s="11">
        <v>15</v>
      </c>
      <c r="H49" s="564">
        <f t="shared" si="9"/>
        <v>-6.4383561643835616</v>
      </c>
      <c r="I49" s="20">
        <f t="shared" si="0"/>
        <v>6.3333333333333325E-2</v>
      </c>
      <c r="J49" s="566">
        <v>856500</v>
      </c>
      <c r="K49" s="566">
        <v>528876.78060330229</v>
      </c>
      <c r="L49" s="35">
        <v>0</v>
      </c>
      <c r="M49" s="18">
        <f t="shared" si="1"/>
        <v>856500</v>
      </c>
      <c r="N49" s="18">
        <f t="shared" si="2"/>
        <v>464426.36986301368</v>
      </c>
      <c r="O49" s="21">
        <f t="shared" si="7"/>
        <v>392073.63013698632</v>
      </c>
      <c r="P49" s="560">
        <f t="shared" si="8"/>
        <v>352866.26712328772</v>
      </c>
      <c r="Q49" s="561"/>
    </row>
    <row r="50" spans="2:17" ht="15.75">
      <c r="B50" s="54">
        <v>46</v>
      </c>
      <c r="C50" s="547" t="s">
        <v>15</v>
      </c>
      <c r="D50" s="19">
        <v>41356</v>
      </c>
      <c r="E50" s="19">
        <v>44470</v>
      </c>
      <c r="F50" s="564">
        <f t="shared" si="5"/>
        <v>8.5315068493150683</v>
      </c>
      <c r="G50" s="11">
        <v>15</v>
      </c>
      <c r="H50" s="564">
        <f t="shared" si="9"/>
        <v>-6.4684931506849317</v>
      </c>
      <c r="I50" s="20">
        <f t="shared" si="0"/>
        <v>6.3333333333333325E-2</v>
      </c>
      <c r="J50" s="566">
        <v>222495</v>
      </c>
      <c r="K50" s="566">
        <v>137706.07770855332</v>
      </c>
      <c r="L50" s="35">
        <v>0</v>
      </c>
      <c r="M50" s="18">
        <f t="shared" si="1"/>
        <v>222495</v>
      </c>
      <c r="N50" s="18">
        <f t="shared" si="2"/>
        <v>120220.44904109587</v>
      </c>
      <c r="O50" s="21">
        <f t="shared" si="7"/>
        <v>102274.55095890413</v>
      </c>
      <c r="P50" s="560">
        <f t="shared" si="8"/>
        <v>92047.095863013717</v>
      </c>
      <c r="Q50" s="561"/>
    </row>
    <row r="51" spans="2:17" ht="15.75">
      <c r="B51" s="54">
        <v>47</v>
      </c>
      <c r="C51" s="547" t="s">
        <v>88</v>
      </c>
      <c r="D51" s="19">
        <v>41489</v>
      </c>
      <c r="E51" s="19">
        <v>44470</v>
      </c>
      <c r="F51" s="564">
        <f t="shared" si="5"/>
        <v>8.1671232876712327</v>
      </c>
      <c r="G51" s="11">
        <v>15</v>
      </c>
      <c r="H51" s="564">
        <f t="shared" si="9"/>
        <v>-6.8328767123287673</v>
      </c>
      <c r="I51" s="20">
        <f t="shared" si="0"/>
        <v>6.3333333333333325E-2</v>
      </c>
      <c r="J51" s="566">
        <v>129646</v>
      </c>
      <c r="K51" s="566">
        <v>82484.254057107639</v>
      </c>
      <c r="L51" s="35">
        <v>0.12</v>
      </c>
      <c r="M51" s="18">
        <f t="shared" si="1"/>
        <v>145203.52000000002</v>
      </c>
      <c r="N51" s="18">
        <f t="shared" si="2"/>
        <v>75106.686477442912</v>
      </c>
      <c r="O51" s="21">
        <f t="shared" si="7"/>
        <v>70096.833522557106</v>
      </c>
      <c r="P51" s="560">
        <f t="shared" si="8"/>
        <v>63087.1501703014</v>
      </c>
      <c r="Q51" s="561"/>
    </row>
    <row r="52" spans="2:17" ht="15.75">
      <c r="B52" s="54">
        <v>48</v>
      </c>
      <c r="C52" s="547" t="s">
        <v>85</v>
      </c>
      <c r="D52" s="19">
        <v>41494</v>
      </c>
      <c r="E52" s="19">
        <v>44470</v>
      </c>
      <c r="F52" s="564">
        <f t="shared" si="5"/>
        <v>8.1534246575342468</v>
      </c>
      <c r="G52" s="11">
        <v>10</v>
      </c>
      <c r="H52" s="564">
        <f t="shared" si="9"/>
        <v>-1.8465753424657532</v>
      </c>
      <c r="I52" s="20">
        <f t="shared" si="0"/>
        <v>9.5000000000000001E-2</v>
      </c>
      <c r="J52" s="566">
        <v>10939</v>
      </c>
      <c r="K52" s="566">
        <v>6967.5427765237018</v>
      </c>
      <c r="L52" s="35">
        <v>0.08</v>
      </c>
      <c r="M52" s="18">
        <f t="shared" si="1"/>
        <v>11814.12</v>
      </c>
      <c r="N52" s="18">
        <f t="shared" si="2"/>
        <v>9150.9260449315079</v>
      </c>
      <c r="O52" s="21">
        <f t="shared" si="7"/>
        <v>2663.1939550684929</v>
      </c>
      <c r="P52" s="560">
        <f t="shared" si="8"/>
        <v>2396.8745595616438</v>
      </c>
      <c r="Q52" s="561"/>
    </row>
    <row r="53" spans="2:17" ht="15.75">
      <c r="B53" s="54">
        <v>49</v>
      </c>
      <c r="C53" s="547" t="s">
        <v>89</v>
      </c>
      <c r="D53" s="19">
        <v>41499</v>
      </c>
      <c r="E53" s="19">
        <v>44470</v>
      </c>
      <c r="F53" s="564">
        <f t="shared" si="5"/>
        <v>8.1397260273972609</v>
      </c>
      <c r="G53" s="11">
        <v>15</v>
      </c>
      <c r="H53" s="564">
        <f t="shared" si="9"/>
        <v>-6.8602739726027391</v>
      </c>
      <c r="I53" s="20">
        <f t="shared" si="0"/>
        <v>6.3333333333333325E-2</v>
      </c>
      <c r="J53" s="566">
        <v>1808797</v>
      </c>
      <c r="K53" s="566">
        <v>1153159.1286305862</v>
      </c>
      <c r="L53" s="35">
        <v>0.21</v>
      </c>
      <c r="M53" s="18">
        <f t="shared" si="1"/>
        <v>2188644.37</v>
      </c>
      <c r="N53" s="18">
        <f t="shared" si="2"/>
        <v>1128281.1510696802</v>
      </c>
      <c r="O53" s="21">
        <f t="shared" si="7"/>
        <v>1060363.2189303199</v>
      </c>
      <c r="P53" s="560">
        <f t="shared" si="8"/>
        <v>954326.89703728794</v>
      </c>
      <c r="Q53" s="561"/>
    </row>
    <row r="54" spans="2:17" ht="15.75">
      <c r="B54" s="54">
        <v>50</v>
      </c>
      <c r="C54" s="547" t="s">
        <v>15</v>
      </c>
      <c r="D54" s="19">
        <v>41559</v>
      </c>
      <c r="E54" s="19">
        <v>44470</v>
      </c>
      <c r="F54" s="564">
        <f t="shared" si="5"/>
        <v>7.9753424657534246</v>
      </c>
      <c r="G54" s="11">
        <v>10</v>
      </c>
      <c r="H54" s="564">
        <f t="shared" si="9"/>
        <v>-2.0246575342465754</v>
      </c>
      <c r="I54" s="20">
        <f t="shared" si="0"/>
        <v>9.5000000000000001E-2</v>
      </c>
      <c r="J54" s="566">
        <v>142800</v>
      </c>
      <c r="K54" s="566">
        <v>92154.098122721756</v>
      </c>
      <c r="L54" s="35">
        <v>0</v>
      </c>
      <c r="M54" s="18">
        <f t="shared" si="1"/>
        <v>142800</v>
      </c>
      <c r="N54" s="18">
        <f t="shared" si="2"/>
        <v>108193.49589041095</v>
      </c>
      <c r="O54" s="21">
        <f t="shared" si="7"/>
        <v>34606.504109589048</v>
      </c>
      <c r="P54" s="560">
        <f t="shared" si="8"/>
        <v>31145.853698630144</v>
      </c>
      <c r="Q54" s="561"/>
    </row>
    <row r="55" spans="2:17" ht="15.75">
      <c r="B55" s="54">
        <v>51</v>
      </c>
      <c r="C55" s="547" t="s">
        <v>15</v>
      </c>
      <c r="D55" s="19">
        <v>41563</v>
      </c>
      <c r="E55" s="19">
        <v>44470</v>
      </c>
      <c r="F55" s="564">
        <f t="shared" si="5"/>
        <v>7.9643835616438352</v>
      </c>
      <c r="G55" s="11">
        <v>15</v>
      </c>
      <c r="H55" s="564">
        <f t="shared" si="9"/>
        <v>-7.0356164383561648</v>
      </c>
      <c r="I55" s="20">
        <f t="shared" si="0"/>
        <v>6.3333333333333325E-2</v>
      </c>
      <c r="J55" s="566">
        <v>1182919</v>
      </c>
      <c r="K55" s="566">
        <v>763997.01318696886</v>
      </c>
      <c r="L55" s="35">
        <v>0</v>
      </c>
      <c r="M55" s="18">
        <f t="shared" si="1"/>
        <v>1182919</v>
      </c>
      <c r="N55" s="18">
        <f t="shared" si="2"/>
        <v>596677.30709589028</v>
      </c>
      <c r="O55" s="21">
        <f t="shared" si="7"/>
        <v>586241.69290410972</v>
      </c>
      <c r="P55" s="560">
        <f t="shared" si="8"/>
        <v>527617.52361369878</v>
      </c>
      <c r="Q55" s="561"/>
    </row>
    <row r="56" spans="2:17" ht="15.75">
      <c r="B56" s="54">
        <v>52</v>
      </c>
      <c r="C56" s="547" t="s">
        <v>15</v>
      </c>
      <c r="D56" s="19">
        <v>41575</v>
      </c>
      <c r="E56" s="19">
        <v>44470</v>
      </c>
      <c r="F56" s="564">
        <f t="shared" si="5"/>
        <v>7.9315068493150687</v>
      </c>
      <c r="G56" s="11">
        <v>10</v>
      </c>
      <c r="H56" s="564">
        <f t="shared" si="9"/>
        <v>-2.0684931506849313</v>
      </c>
      <c r="I56" s="20">
        <f t="shared" si="0"/>
        <v>9.5000000000000001E-2</v>
      </c>
      <c r="J56" s="566">
        <v>107100</v>
      </c>
      <c r="K56" s="566">
        <v>69338.591457408154</v>
      </c>
      <c r="L56" s="35">
        <v>0</v>
      </c>
      <c r="M56" s="18">
        <f t="shared" si="1"/>
        <v>107100</v>
      </c>
      <c r="N56" s="18">
        <f t="shared" si="2"/>
        <v>80699.11643835617</v>
      </c>
      <c r="O56" s="21">
        <f t="shared" si="7"/>
        <v>26400.88356164383</v>
      </c>
      <c r="P56" s="560">
        <f t="shared" si="8"/>
        <v>23760.795205479448</v>
      </c>
      <c r="Q56" s="561"/>
    </row>
    <row r="57" spans="2:17" ht="15.75">
      <c r="B57" s="54">
        <v>53</v>
      </c>
      <c r="C57" s="547" t="s">
        <v>15</v>
      </c>
      <c r="D57" s="19">
        <v>41620</v>
      </c>
      <c r="E57" s="19">
        <v>44470</v>
      </c>
      <c r="F57" s="564">
        <f t="shared" si="5"/>
        <v>7.8082191780821919</v>
      </c>
      <c r="G57" s="11">
        <v>10</v>
      </c>
      <c r="H57" s="564">
        <f t="shared" si="9"/>
        <v>-2.1917808219178081</v>
      </c>
      <c r="I57" s="20">
        <f t="shared" si="0"/>
        <v>9.5000000000000001E-2</v>
      </c>
      <c r="J57" s="566">
        <v>16646</v>
      </c>
      <c r="K57" s="566">
        <v>10874.42550510102</v>
      </c>
      <c r="L57" s="35">
        <v>0</v>
      </c>
      <c r="M57" s="18">
        <f t="shared" si="1"/>
        <v>16646</v>
      </c>
      <c r="N57" s="18">
        <f t="shared" si="2"/>
        <v>12347.683561643837</v>
      </c>
      <c r="O57" s="21">
        <f t="shared" si="7"/>
        <v>4298.3164383561634</v>
      </c>
      <c r="P57" s="560">
        <f t="shared" si="8"/>
        <v>3868.484794520547</v>
      </c>
      <c r="Q57" s="561"/>
    </row>
    <row r="58" spans="2:17" ht="15.75">
      <c r="B58" s="54">
        <v>54</v>
      </c>
      <c r="C58" s="547" t="s">
        <v>70</v>
      </c>
      <c r="D58" s="19">
        <v>41627</v>
      </c>
      <c r="E58" s="19">
        <v>44470</v>
      </c>
      <c r="F58" s="564">
        <f t="shared" si="5"/>
        <v>7.7890410958904113</v>
      </c>
      <c r="G58" s="11">
        <v>15</v>
      </c>
      <c r="H58" s="564">
        <f t="shared" si="9"/>
        <v>-7.2109589041095887</v>
      </c>
      <c r="I58" s="20">
        <f t="shared" si="0"/>
        <v>6.3333333333333325E-2</v>
      </c>
      <c r="J58" s="566">
        <v>639045</v>
      </c>
      <c r="K58" s="566">
        <v>418054.69174590491</v>
      </c>
      <c r="L58" s="35">
        <v>0.11</v>
      </c>
      <c r="M58" s="18">
        <f t="shared" si="1"/>
        <v>709339.95000000007</v>
      </c>
      <c r="N58" s="18">
        <f t="shared" si="2"/>
        <v>349921.60802876716</v>
      </c>
      <c r="O58" s="21">
        <f t="shared" si="7"/>
        <v>359418.34197123291</v>
      </c>
      <c r="P58" s="560">
        <f t="shared" si="8"/>
        <v>323476.5077741096</v>
      </c>
      <c r="Q58" s="561"/>
    </row>
    <row r="59" spans="2:17" ht="15.75">
      <c r="B59" s="54">
        <v>55</v>
      </c>
      <c r="C59" s="547" t="s">
        <v>15</v>
      </c>
      <c r="D59" s="19">
        <v>41629</v>
      </c>
      <c r="E59" s="19">
        <v>44470</v>
      </c>
      <c r="F59" s="564">
        <f t="shared" si="5"/>
        <v>7.7835616438356166</v>
      </c>
      <c r="G59" s="11">
        <v>10</v>
      </c>
      <c r="H59" s="564">
        <f t="shared" si="9"/>
        <v>-2.2164383561643834</v>
      </c>
      <c r="I59" s="20">
        <f t="shared" si="0"/>
        <v>9.5000000000000001E-2</v>
      </c>
      <c r="J59" s="566">
        <v>35700</v>
      </c>
      <c r="K59" s="566">
        <v>23363.750431309905</v>
      </c>
      <c r="L59" s="35">
        <v>0</v>
      </c>
      <c r="M59" s="18">
        <f t="shared" si="1"/>
        <v>35700</v>
      </c>
      <c r="N59" s="18">
        <f t="shared" si="2"/>
        <v>26397.949315068494</v>
      </c>
      <c r="O59" s="21">
        <f t="shared" si="7"/>
        <v>9302.0506849315061</v>
      </c>
      <c r="P59" s="560">
        <f t="shared" si="8"/>
        <v>8371.8456164383551</v>
      </c>
      <c r="Q59" s="561"/>
    </row>
    <row r="60" spans="2:17" ht="15.75">
      <c r="B60" s="54">
        <v>56</v>
      </c>
      <c r="C60" s="547" t="s">
        <v>90</v>
      </c>
      <c r="D60" s="19">
        <v>41639</v>
      </c>
      <c r="E60" s="19">
        <v>44470</v>
      </c>
      <c r="F60" s="564">
        <f t="shared" si="5"/>
        <v>7.7561643835616438</v>
      </c>
      <c r="G60" s="11">
        <v>15</v>
      </c>
      <c r="H60" s="564">
        <f t="shared" si="9"/>
        <v>-7.2438356164383562</v>
      </c>
      <c r="I60" s="20">
        <f t="shared" si="0"/>
        <v>6.3333333333333325E-2</v>
      </c>
      <c r="J60" s="566">
        <v>6672114</v>
      </c>
      <c r="K60" s="566">
        <v>4375227.7044200879</v>
      </c>
      <c r="L60" s="35">
        <v>0</v>
      </c>
      <c r="M60" s="18">
        <f t="shared" si="1"/>
        <v>6672114</v>
      </c>
      <c r="N60" s="18">
        <f t="shared" si="2"/>
        <v>3277500.821424657</v>
      </c>
      <c r="O60" s="21">
        <f t="shared" si="7"/>
        <v>3394613.178575343</v>
      </c>
      <c r="P60" s="560">
        <f t="shared" si="8"/>
        <v>3055151.8607178088</v>
      </c>
      <c r="Q60" s="561"/>
    </row>
    <row r="61" spans="2:17" ht="15.75">
      <c r="B61" s="54">
        <v>57</v>
      </c>
      <c r="C61" s="547" t="s">
        <v>91</v>
      </c>
      <c r="D61" s="19">
        <v>41725</v>
      </c>
      <c r="E61" s="19">
        <v>44470</v>
      </c>
      <c r="F61" s="564">
        <f t="shared" si="5"/>
        <v>7.5205479452054798</v>
      </c>
      <c r="G61" s="11">
        <v>10</v>
      </c>
      <c r="H61" s="564">
        <f t="shared" si="9"/>
        <v>-2.4794520547945202</v>
      </c>
      <c r="I61" s="20">
        <f t="shared" si="0"/>
        <v>9.5000000000000001E-2</v>
      </c>
      <c r="J61" s="566">
        <v>300000</v>
      </c>
      <c r="K61" s="566">
        <v>200080.0480015674</v>
      </c>
      <c r="L61" s="35">
        <v>0.11</v>
      </c>
      <c r="M61" s="18">
        <f t="shared" si="1"/>
        <v>333000.00000000006</v>
      </c>
      <c r="N61" s="18">
        <f t="shared" si="2"/>
        <v>237912.53424657538</v>
      </c>
      <c r="O61" s="21">
        <f t="shared" si="7"/>
        <v>95087.46575342468</v>
      </c>
      <c r="P61" s="560">
        <f t="shared" si="8"/>
        <v>85578.719178082218</v>
      </c>
      <c r="Q61" s="561"/>
    </row>
    <row r="62" spans="2:17" ht="15.75">
      <c r="B62" s="54">
        <v>58</v>
      </c>
      <c r="C62" s="547" t="s">
        <v>15</v>
      </c>
      <c r="D62" s="19">
        <v>41725</v>
      </c>
      <c r="E62" s="19">
        <v>44470</v>
      </c>
      <c r="F62" s="564">
        <f t="shared" si="5"/>
        <v>7.5205479452054798</v>
      </c>
      <c r="G62" s="11">
        <v>15</v>
      </c>
      <c r="H62" s="564">
        <f t="shared" si="9"/>
        <v>-7.4794520547945202</v>
      </c>
      <c r="I62" s="20">
        <f t="shared" si="0"/>
        <v>6.3333333333333325E-2</v>
      </c>
      <c r="J62" s="566">
        <v>1488955</v>
      </c>
      <c r="K62" s="566">
        <v>993047.05147923203</v>
      </c>
      <c r="L62" s="35">
        <v>0</v>
      </c>
      <c r="M62" s="18">
        <f t="shared" si="1"/>
        <v>1488955</v>
      </c>
      <c r="N62" s="18">
        <f t="shared" si="2"/>
        <v>709191.30616438342</v>
      </c>
      <c r="O62" s="21">
        <f t="shared" si="7"/>
        <v>779763.69383561658</v>
      </c>
      <c r="P62" s="560">
        <f t="shared" si="8"/>
        <v>701787.32445205492</v>
      </c>
      <c r="Q62" s="561"/>
    </row>
    <row r="63" spans="2:17" ht="15.75">
      <c r="B63" s="54">
        <v>59</v>
      </c>
      <c r="C63" s="548" t="s">
        <v>92</v>
      </c>
      <c r="D63" s="19">
        <v>42145</v>
      </c>
      <c r="E63" s="19">
        <v>44470</v>
      </c>
      <c r="F63" s="564">
        <f t="shared" si="5"/>
        <v>6.3698630136986303</v>
      </c>
      <c r="G63" s="11">
        <v>18</v>
      </c>
      <c r="H63" s="564">
        <f t="shared" si="9"/>
        <v>-11.63013698630137</v>
      </c>
      <c r="I63" s="20">
        <f t="shared" si="0"/>
        <v>5.2777777777777778E-2</v>
      </c>
      <c r="J63" s="567">
        <v>974100</v>
      </c>
      <c r="K63" s="566">
        <v>702811.44399529335</v>
      </c>
      <c r="L63" s="35">
        <v>0</v>
      </c>
      <c r="M63" s="18">
        <f t="shared" si="1"/>
        <v>974100</v>
      </c>
      <c r="N63" s="18">
        <f t="shared" si="2"/>
        <v>327479.96575342468</v>
      </c>
      <c r="O63" s="21">
        <f t="shared" si="7"/>
        <v>646620.03424657532</v>
      </c>
      <c r="P63" s="560">
        <f t="shared" si="8"/>
        <v>581958.03082191781</v>
      </c>
      <c r="Q63" s="561"/>
    </row>
    <row r="64" spans="2:17" ht="15.75">
      <c r="B64" s="54">
        <v>60</v>
      </c>
      <c r="C64" s="548" t="s">
        <v>93</v>
      </c>
      <c r="D64" s="19">
        <v>42240</v>
      </c>
      <c r="E64" s="19">
        <v>44470</v>
      </c>
      <c r="F64" s="564">
        <f t="shared" si="5"/>
        <v>6.1095890410958908</v>
      </c>
      <c r="G64" s="11">
        <v>15</v>
      </c>
      <c r="H64" s="564">
        <f t="shared" si="9"/>
        <v>-8.8904109589041092</v>
      </c>
      <c r="I64" s="20">
        <f t="shared" si="0"/>
        <v>6.3333333333333325E-2</v>
      </c>
      <c r="J64" s="567">
        <v>5214750</v>
      </c>
      <c r="K64" s="566">
        <v>3826903.7825164623</v>
      </c>
      <c r="L64" s="35">
        <v>0</v>
      </c>
      <c r="M64" s="18">
        <f t="shared" si="1"/>
        <v>5214750</v>
      </c>
      <c r="N64" s="18">
        <f t="shared" si="2"/>
        <v>2017798.6986301369</v>
      </c>
      <c r="O64" s="21">
        <f t="shared" si="7"/>
        <v>3196951.3013698631</v>
      </c>
      <c r="P64" s="560">
        <f t="shared" si="8"/>
        <v>2877256.1712328768</v>
      </c>
      <c r="Q64" s="561"/>
    </row>
    <row r="65" spans="2:17" ht="15.75">
      <c r="B65" s="54">
        <v>61</v>
      </c>
      <c r="C65" s="548" t="s">
        <v>75</v>
      </c>
      <c r="D65" s="19">
        <v>42339</v>
      </c>
      <c r="E65" s="19">
        <v>44470</v>
      </c>
      <c r="F65" s="564">
        <f t="shared" si="5"/>
        <v>5.838356164383562</v>
      </c>
      <c r="G65" s="11">
        <v>15</v>
      </c>
      <c r="H65" s="564">
        <f t="shared" si="9"/>
        <v>-9.161643835616438</v>
      </c>
      <c r="I65" s="20">
        <f t="shared" si="0"/>
        <v>6.3333333333333325E-2</v>
      </c>
      <c r="J65" s="568">
        <v>1436500</v>
      </c>
      <c r="K65" s="566">
        <v>1072699.3571388598</v>
      </c>
      <c r="L65" s="35">
        <v>0.15</v>
      </c>
      <c r="M65" s="18">
        <f t="shared" si="1"/>
        <v>1651974.9999999998</v>
      </c>
      <c r="N65" s="18">
        <f t="shared" si="2"/>
        <v>610838.50022831035</v>
      </c>
      <c r="O65" s="21">
        <f t="shared" si="7"/>
        <v>1041136.4997716894</v>
      </c>
      <c r="P65" s="560">
        <f t="shared" si="8"/>
        <v>937022.84979452053</v>
      </c>
      <c r="Q65" s="561"/>
    </row>
    <row r="66" spans="2:17" ht="15.75">
      <c r="B66" s="54">
        <v>62</v>
      </c>
      <c r="C66" s="548" t="s">
        <v>95</v>
      </c>
      <c r="D66" s="19">
        <v>42363</v>
      </c>
      <c r="E66" s="19">
        <v>44470</v>
      </c>
      <c r="F66" s="564">
        <f t="shared" si="5"/>
        <v>5.7726027397260271</v>
      </c>
      <c r="G66" s="11">
        <v>15</v>
      </c>
      <c r="H66" s="564">
        <f t="shared" si="9"/>
        <v>-9.2273972602739729</v>
      </c>
      <c r="I66" s="20">
        <f t="shared" si="0"/>
        <v>6.3333333333333325E-2</v>
      </c>
      <c r="J66" s="567">
        <v>469200</v>
      </c>
      <c r="K66" s="566">
        <v>351838.26881748519</v>
      </c>
      <c r="L66" s="35">
        <v>0</v>
      </c>
      <c r="M66" s="18">
        <f t="shared" si="1"/>
        <v>469200</v>
      </c>
      <c r="N66" s="18">
        <f t="shared" si="2"/>
        <v>171538.66301369859</v>
      </c>
      <c r="O66" s="21">
        <f t="shared" si="7"/>
        <v>297661.33698630141</v>
      </c>
      <c r="P66" s="560">
        <f t="shared" si="8"/>
        <v>267895.20328767126</v>
      </c>
      <c r="Q66" s="561"/>
    </row>
    <row r="67" spans="2:17" s="6" customFormat="1" ht="15.75">
      <c r="B67" s="54">
        <v>63</v>
      </c>
      <c r="C67" s="548" t="s">
        <v>96</v>
      </c>
      <c r="D67" s="19">
        <v>42399</v>
      </c>
      <c r="E67" s="19">
        <v>44470</v>
      </c>
      <c r="F67" s="564">
        <f t="shared" si="5"/>
        <v>5.6739726027397257</v>
      </c>
      <c r="G67" s="11">
        <v>15</v>
      </c>
      <c r="H67" s="564">
        <f t="shared" si="9"/>
        <v>-9.3260273972602743</v>
      </c>
      <c r="I67" s="20">
        <f t="shared" si="0"/>
        <v>6.3333333333333325E-2</v>
      </c>
      <c r="J67" s="567">
        <v>178500</v>
      </c>
      <c r="K67" s="566">
        <v>134687.7827968155</v>
      </c>
      <c r="L67" s="35">
        <v>0.04</v>
      </c>
      <c r="M67" s="18">
        <f t="shared" si="1"/>
        <v>185640</v>
      </c>
      <c r="N67" s="18">
        <f t="shared" si="2"/>
        <v>66710.030684931495</v>
      </c>
      <c r="O67" s="21">
        <f t="shared" si="7"/>
        <v>118929.96931506851</v>
      </c>
      <c r="P67" s="560">
        <f t="shared" si="8"/>
        <v>107036.97238356166</v>
      </c>
      <c r="Q67" s="561"/>
    </row>
    <row r="68" spans="2:17" ht="15.75">
      <c r="B68" s="54">
        <v>64</v>
      </c>
      <c r="C68" s="548" t="s">
        <v>97</v>
      </c>
      <c r="D68" s="19">
        <v>42413</v>
      </c>
      <c r="E68" s="19">
        <v>44470</v>
      </c>
      <c r="F68" s="564">
        <f t="shared" si="5"/>
        <v>5.6356164383561644</v>
      </c>
      <c r="G68" s="11">
        <v>10</v>
      </c>
      <c r="H68" s="564">
        <f t="shared" si="9"/>
        <v>-4.3643835616438356</v>
      </c>
      <c r="I68" s="20">
        <f t="shared" si="0"/>
        <v>9.5000000000000001E-2</v>
      </c>
      <c r="J68" s="567">
        <v>249753</v>
      </c>
      <c r="K68" s="566">
        <v>188907.01435773482</v>
      </c>
      <c r="L68" s="35">
        <v>0</v>
      </c>
      <c r="M68" s="18">
        <f t="shared" si="1"/>
        <v>249753</v>
      </c>
      <c r="N68" s="18">
        <f t="shared" si="2"/>
        <v>133713.65067123287</v>
      </c>
      <c r="O68" s="21">
        <f t="shared" si="7"/>
        <v>116039.34932876713</v>
      </c>
      <c r="P68" s="560">
        <f t="shared" si="8"/>
        <v>104435.41439589042</v>
      </c>
      <c r="Q68" s="561"/>
    </row>
    <row r="69" spans="2:17" ht="15.75">
      <c r="B69" s="54">
        <v>65</v>
      </c>
      <c r="C69" s="549" t="s">
        <v>98</v>
      </c>
      <c r="D69" s="19">
        <v>42467</v>
      </c>
      <c r="E69" s="19">
        <v>44470</v>
      </c>
      <c r="F69" s="564">
        <f t="shared" si="5"/>
        <v>5.4876712328767123</v>
      </c>
      <c r="G69" s="11">
        <v>15</v>
      </c>
      <c r="H69" s="564">
        <f t="shared" si="9"/>
        <v>-9.5123287671232877</v>
      </c>
      <c r="I69" s="20">
        <f t="shared" ref="I69:I132" si="10">(95/G69/100)</f>
        <v>6.3333333333333325E-2</v>
      </c>
      <c r="J69" s="567">
        <v>688500</v>
      </c>
      <c r="K69" s="566">
        <v>525602.85549093387</v>
      </c>
      <c r="L69" s="35">
        <v>0.05</v>
      </c>
      <c r="M69" s="18">
        <f t="shared" ref="M69:M132" si="11">J69*(1+L69)</f>
        <v>722925</v>
      </c>
      <c r="N69" s="18">
        <f t="shared" ref="N69:N132" si="12">F69*I69*M69</f>
        <v>251254.39931506847</v>
      </c>
      <c r="O69" s="21">
        <f t="shared" si="7"/>
        <v>471670.6006849315</v>
      </c>
      <c r="P69" s="560">
        <f t="shared" si="8"/>
        <v>424503.54061643837</v>
      </c>
      <c r="Q69" s="561"/>
    </row>
    <row r="70" spans="2:17" ht="15.75">
      <c r="B70" s="54">
        <v>66</v>
      </c>
      <c r="C70" s="549" t="s">
        <v>99</v>
      </c>
      <c r="D70" s="19">
        <v>42471</v>
      </c>
      <c r="E70" s="19">
        <v>44470</v>
      </c>
      <c r="F70" s="564">
        <f t="shared" ref="F70:F133" si="13">(E70-D70)/365</f>
        <v>5.4767123287671229</v>
      </c>
      <c r="G70" s="11">
        <v>10</v>
      </c>
      <c r="H70" s="564">
        <f t="shared" si="9"/>
        <v>-4.5232876712328771</v>
      </c>
      <c r="I70" s="20">
        <f t="shared" si="10"/>
        <v>9.5000000000000001E-2</v>
      </c>
      <c r="J70" s="567">
        <v>407455</v>
      </c>
      <c r="K70" s="566">
        <v>311264.40876923077</v>
      </c>
      <c r="L70" s="35">
        <v>0.04</v>
      </c>
      <c r="M70" s="18">
        <f t="shared" si="11"/>
        <v>423753.2</v>
      </c>
      <c r="N70" s="18">
        <f t="shared" si="12"/>
        <v>220473.56560547944</v>
      </c>
      <c r="O70" s="21">
        <f t="shared" ref="O70:O133" si="14">IF(M70-N70&lt;=0,5%*M70,M70-N70)</f>
        <v>203279.63439452057</v>
      </c>
      <c r="P70" s="560">
        <f t="shared" ref="P70:P133" si="15">IF(O70=M70*5%,O70,O70*0.9)</f>
        <v>182951.67095506852</v>
      </c>
      <c r="Q70" s="561"/>
    </row>
    <row r="71" spans="2:17" ht="15.75">
      <c r="B71" s="54">
        <v>67</v>
      </c>
      <c r="C71" s="549" t="s">
        <v>100</v>
      </c>
      <c r="D71" s="19">
        <v>42497</v>
      </c>
      <c r="E71" s="19">
        <v>44470</v>
      </c>
      <c r="F71" s="564">
        <f t="shared" si="13"/>
        <v>5.4054794520547942</v>
      </c>
      <c r="G71" s="11">
        <v>8</v>
      </c>
      <c r="H71" s="564">
        <f t="shared" si="9"/>
        <v>-2.5945205479452058</v>
      </c>
      <c r="I71" s="20">
        <f t="shared" si="10"/>
        <v>0.11874999999999999</v>
      </c>
      <c r="J71" s="567">
        <v>32179</v>
      </c>
      <c r="K71" s="566">
        <v>24691.177006466984</v>
      </c>
      <c r="L71" s="35">
        <v>0.18</v>
      </c>
      <c r="M71" s="18">
        <f t="shared" si="11"/>
        <v>37971.22</v>
      </c>
      <c r="N71" s="18">
        <f t="shared" si="12"/>
        <v>24373.752125684929</v>
      </c>
      <c r="O71" s="21">
        <f t="shared" si="14"/>
        <v>13597.467874315073</v>
      </c>
      <c r="P71" s="560">
        <f t="shared" si="15"/>
        <v>12237.721086883566</v>
      </c>
      <c r="Q71" s="561"/>
    </row>
    <row r="72" spans="2:17" ht="15.75">
      <c r="B72" s="54">
        <v>68</v>
      </c>
      <c r="C72" s="549" t="s">
        <v>101</v>
      </c>
      <c r="D72" s="19">
        <v>42504</v>
      </c>
      <c r="E72" s="19">
        <v>44470</v>
      </c>
      <c r="F72" s="564">
        <f t="shared" si="13"/>
        <v>5.3863013698630136</v>
      </c>
      <c r="G72" s="11">
        <v>15</v>
      </c>
      <c r="H72" s="564">
        <f t="shared" si="9"/>
        <v>-9.6136986301369873</v>
      </c>
      <c r="I72" s="20">
        <f t="shared" si="10"/>
        <v>6.3333333333333325E-2</v>
      </c>
      <c r="J72" s="567">
        <v>418200</v>
      </c>
      <c r="K72" s="566">
        <v>321268.7436953935</v>
      </c>
      <c r="L72" s="35">
        <v>0.12</v>
      </c>
      <c r="M72" s="18">
        <f t="shared" si="11"/>
        <v>468384.00000000006</v>
      </c>
      <c r="N72" s="18">
        <f t="shared" si="12"/>
        <v>159780.96745205479</v>
      </c>
      <c r="O72" s="21">
        <f t="shared" si="14"/>
        <v>308603.03254794527</v>
      </c>
      <c r="P72" s="560">
        <f t="shared" si="15"/>
        <v>277742.72929315077</v>
      </c>
      <c r="Q72" s="561"/>
    </row>
    <row r="73" spans="2:17" ht="15.75">
      <c r="B73" s="54">
        <v>69</v>
      </c>
      <c r="C73" s="549" t="s">
        <v>98</v>
      </c>
      <c r="D73" s="19">
        <v>42514</v>
      </c>
      <c r="E73" s="19">
        <v>44470</v>
      </c>
      <c r="F73" s="564">
        <f t="shared" si="13"/>
        <v>5.3589041095890408</v>
      </c>
      <c r="G73" s="11">
        <v>15</v>
      </c>
      <c r="H73" s="564">
        <f t="shared" si="9"/>
        <v>-9.6410958904109592</v>
      </c>
      <c r="I73" s="20">
        <f t="shared" si="10"/>
        <v>6.3333333333333325E-2</v>
      </c>
      <c r="J73" s="567">
        <v>54591</v>
      </c>
      <c r="K73" s="566">
        <v>42008.837018496517</v>
      </c>
      <c r="L73" s="35">
        <v>0.05</v>
      </c>
      <c r="M73" s="18">
        <f t="shared" si="11"/>
        <v>57320.55</v>
      </c>
      <c r="N73" s="18">
        <f t="shared" si="12"/>
        <v>19454.437627397259</v>
      </c>
      <c r="O73" s="21">
        <f t="shared" si="14"/>
        <v>37866.112372602744</v>
      </c>
      <c r="P73" s="560">
        <f t="shared" si="15"/>
        <v>34079.501135342471</v>
      </c>
      <c r="Q73" s="561"/>
    </row>
    <row r="74" spans="2:17" ht="15.75">
      <c r="B74" s="54">
        <v>70</v>
      </c>
      <c r="C74" s="549" t="s">
        <v>102</v>
      </c>
      <c r="D74" s="19">
        <v>42522</v>
      </c>
      <c r="E74" s="19">
        <v>44470</v>
      </c>
      <c r="F74" s="564">
        <f t="shared" si="13"/>
        <v>5.3369863013698629</v>
      </c>
      <c r="G74" s="11">
        <v>8</v>
      </c>
      <c r="H74" s="564">
        <f t="shared" si="9"/>
        <v>-2.6630136986301371</v>
      </c>
      <c r="I74" s="20">
        <f t="shared" si="10"/>
        <v>0.11874999999999999</v>
      </c>
      <c r="J74" s="567">
        <v>730880</v>
      </c>
      <c r="K74" s="566">
        <v>563187.21681071003</v>
      </c>
      <c r="L74" s="35">
        <v>0</v>
      </c>
      <c r="M74" s="18">
        <f t="shared" si="11"/>
        <v>730880</v>
      </c>
      <c r="N74" s="18">
        <f t="shared" si="12"/>
        <v>463207.7150684931</v>
      </c>
      <c r="O74" s="21">
        <f t="shared" si="14"/>
        <v>267672.2849315069</v>
      </c>
      <c r="P74" s="560">
        <f t="shared" si="15"/>
        <v>240905.05643835623</v>
      </c>
      <c r="Q74" s="561"/>
    </row>
    <row r="75" spans="2:17" ht="15.75">
      <c r="B75" s="54">
        <v>71</v>
      </c>
      <c r="C75" s="549" t="s">
        <v>103</v>
      </c>
      <c r="D75" s="19">
        <v>42548</v>
      </c>
      <c r="E75" s="19">
        <v>44470</v>
      </c>
      <c r="F75" s="564">
        <f t="shared" si="13"/>
        <v>5.2657534246575342</v>
      </c>
      <c r="G75" s="11">
        <v>10</v>
      </c>
      <c r="H75" s="564">
        <f t="shared" si="9"/>
        <v>-4.7342465753424658</v>
      </c>
      <c r="I75" s="20">
        <f t="shared" si="10"/>
        <v>9.5000000000000001E-2</v>
      </c>
      <c r="J75" s="567">
        <v>286522</v>
      </c>
      <c r="K75" s="566">
        <v>221751.98911084866</v>
      </c>
      <c r="L75" s="35">
        <v>0</v>
      </c>
      <c r="M75" s="18">
        <f t="shared" si="11"/>
        <v>286522</v>
      </c>
      <c r="N75" s="18">
        <f t="shared" si="12"/>
        <v>143331.64926027396</v>
      </c>
      <c r="O75" s="21">
        <f t="shared" si="14"/>
        <v>143190.35073972604</v>
      </c>
      <c r="P75" s="560">
        <f t="shared" si="15"/>
        <v>128871.31566575344</v>
      </c>
      <c r="Q75" s="561"/>
    </row>
    <row r="76" spans="2:17" ht="15.75">
      <c r="B76" s="54">
        <v>72</v>
      </c>
      <c r="C76" s="549" t="s">
        <v>104</v>
      </c>
      <c r="D76" s="19">
        <v>42551</v>
      </c>
      <c r="E76" s="19">
        <v>44470</v>
      </c>
      <c r="F76" s="564">
        <f t="shared" si="13"/>
        <v>5.2575342465753421</v>
      </c>
      <c r="G76" s="11">
        <v>8</v>
      </c>
      <c r="H76" s="564">
        <f t="shared" si="9"/>
        <v>-2.7424657534246579</v>
      </c>
      <c r="I76" s="20">
        <f t="shared" si="10"/>
        <v>0.11874999999999999</v>
      </c>
      <c r="J76" s="567">
        <v>17117</v>
      </c>
      <c r="K76" s="566">
        <v>13254.275851602022</v>
      </c>
      <c r="L76" s="35">
        <v>0.18</v>
      </c>
      <c r="M76" s="18">
        <f t="shared" si="11"/>
        <v>20198.059999999998</v>
      </c>
      <c r="N76" s="18">
        <f t="shared" si="12"/>
        <v>12610.299069520546</v>
      </c>
      <c r="O76" s="21">
        <f t="shared" si="14"/>
        <v>7587.7609304794514</v>
      </c>
      <c r="P76" s="560">
        <f t="shared" si="15"/>
        <v>6828.9848374315061</v>
      </c>
      <c r="Q76" s="561"/>
    </row>
    <row r="77" spans="2:17" ht="15.75">
      <c r="B77" s="54">
        <v>73</v>
      </c>
      <c r="C77" s="549" t="s">
        <v>102</v>
      </c>
      <c r="D77" s="19">
        <v>42552</v>
      </c>
      <c r="E77" s="19">
        <v>44470</v>
      </c>
      <c r="F77" s="564">
        <f t="shared" si="13"/>
        <v>5.2547945205479456</v>
      </c>
      <c r="G77" s="11">
        <v>8</v>
      </c>
      <c r="H77" s="564">
        <f t="shared" si="9"/>
        <v>-2.7452054794520544</v>
      </c>
      <c r="I77" s="20">
        <f t="shared" si="10"/>
        <v>0.11874999999999999</v>
      </c>
      <c r="J77" s="567">
        <v>899446</v>
      </c>
      <c r="K77" s="566">
        <v>696589.07213960541</v>
      </c>
      <c r="L77" s="35">
        <v>0</v>
      </c>
      <c r="M77" s="18">
        <f t="shared" si="11"/>
        <v>899446</v>
      </c>
      <c r="N77" s="18">
        <f t="shared" si="12"/>
        <v>561260.46458904119</v>
      </c>
      <c r="O77" s="21">
        <f t="shared" si="14"/>
        <v>338185.53541095881</v>
      </c>
      <c r="P77" s="560">
        <f t="shared" si="15"/>
        <v>304366.98186986294</v>
      </c>
      <c r="Q77" s="561"/>
    </row>
    <row r="78" spans="2:17" ht="15.75">
      <c r="B78" s="54">
        <v>74</v>
      </c>
      <c r="C78" s="549" t="s">
        <v>104</v>
      </c>
      <c r="D78" s="19">
        <v>42557</v>
      </c>
      <c r="E78" s="19">
        <v>44470</v>
      </c>
      <c r="F78" s="564">
        <f t="shared" si="13"/>
        <v>5.2410958904109588</v>
      </c>
      <c r="G78" s="11">
        <v>8</v>
      </c>
      <c r="H78" s="564">
        <f t="shared" si="9"/>
        <v>-2.7589041095890412</v>
      </c>
      <c r="I78" s="20">
        <f t="shared" si="10"/>
        <v>0.11874999999999999</v>
      </c>
      <c r="J78" s="567">
        <v>16300</v>
      </c>
      <c r="K78" s="566">
        <v>12634.379541778975</v>
      </c>
      <c r="L78" s="35">
        <v>0.18</v>
      </c>
      <c r="M78" s="18">
        <f t="shared" si="11"/>
        <v>19234</v>
      </c>
      <c r="N78" s="18">
        <f t="shared" si="12"/>
        <v>11970.859554794521</v>
      </c>
      <c r="O78" s="21">
        <f t="shared" si="14"/>
        <v>7263.1404452054794</v>
      </c>
      <c r="P78" s="560">
        <f t="shared" si="15"/>
        <v>6536.8264006849313</v>
      </c>
      <c r="Q78" s="561"/>
    </row>
    <row r="79" spans="2:17" ht="15.75">
      <c r="B79" s="54">
        <v>75</v>
      </c>
      <c r="C79" s="549" t="s">
        <v>105</v>
      </c>
      <c r="D79" s="19">
        <v>42563</v>
      </c>
      <c r="E79" s="19">
        <v>44470</v>
      </c>
      <c r="F79" s="564">
        <f t="shared" si="13"/>
        <v>5.2246575342465755</v>
      </c>
      <c r="G79" s="11">
        <v>10</v>
      </c>
      <c r="H79" s="564">
        <f t="shared" si="9"/>
        <v>-4.7753424657534245</v>
      </c>
      <c r="I79" s="20">
        <f t="shared" si="10"/>
        <v>9.5000000000000001E-2</v>
      </c>
      <c r="J79" s="567">
        <v>190000</v>
      </c>
      <c r="K79" s="566">
        <v>147420.26120161562</v>
      </c>
      <c r="L79" s="35">
        <v>0</v>
      </c>
      <c r="M79" s="18">
        <f t="shared" si="11"/>
        <v>190000</v>
      </c>
      <c r="N79" s="18">
        <f t="shared" si="12"/>
        <v>94305.068493150684</v>
      </c>
      <c r="O79" s="21">
        <f t="shared" si="14"/>
        <v>95694.931506849316</v>
      </c>
      <c r="P79" s="560">
        <f t="shared" si="15"/>
        <v>86125.438356164392</v>
      </c>
      <c r="Q79" s="561"/>
    </row>
    <row r="80" spans="2:17" ht="15.75">
      <c r="B80" s="54">
        <v>76</v>
      </c>
      <c r="C80" s="549" t="s">
        <v>106</v>
      </c>
      <c r="D80" s="19">
        <v>42576</v>
      </c>
      <c r="E80" s="19">
        <v>44470</v>
      </c>
      <c r="F80" s="564">
        <f t="shared" si="13"/>
        <v>5.1890410958904107</v>
      </c>
      <c r="G80" s="11">
        <v>10</v>
      </c>
      <c r="H80" s="564">
        <f t="shared" si="9"/>
        <v>-4.8109589041095893</v>
      </c>
      <c r="I80" s="20">
        <f t="shared" si="10"/>
        <v>9.5000000000000001E-2</v>
      </c>
      <c r="J80" s="567">
        <v>180186</v>
      </c>
      <c r="K80" s="566">
        <v>140110.44824517213</v>
      </c>
      <c r="L80" s="35">
        <v>0</v>
      </c>
      <c r="M80" s="18">
        <f t="shared" si="11"/>
        <v>180186</v>
      </c>
      <c r="N80" s="18">
        <f t="shared" si="12"/>
        <v>88824.293095890403</v>
      </c>
      <c r="O80" s="21">
        <f t="shared" si="14"/>
        <v>91361.706904109597</v>
      </c>
      <c r="P80" s="560">
        <f t="shared" si="15"/>
        <v>82225.536213698637</v>
      </c>
      <c r="Q80" s="561"/>
    </row>
    <row r="81" spans="2:17" ht="15.75">
      <c r="B81" s="54">
        <v>77</v>
      </c>
      <c r="C81" s="549" t="s">
        <v>104</v>
      </c>
      <c r="D81" s="19">
        <v>42577</v>
      </c>
      <c r="E81" s="19">
        <v>44470</v>
      </c>
      <c r="F81" s="564">
        <f t="shared" si="13"/>
        <v>5.1863013698630134</v>
      </c>
      <c r="G81" s="11">
        <v>8</v>
      </c>
      <c r="H81" s="564">
        <f t="shared" si="9"/>
        <v>-2.8136986301369866</v>
      </c>
      <c r="I81" s="20">
        <f t="shared" si="10"/>
        <v>0.11874999999999999</v>
      </c>
      <c r="J81" s="567">
        <v>50952.38</v>
      </c>
      <c r="K81" s="566">
        <v>39626.58560527199</v>
      </c>
      <c r="L81" s="35">
        <v>0.18</v>
      </c>
      <c r="M81" s="18">
        <f t="shared" si="11"/>
        <v>60123.808399999994</v>
      </c>
      <c r="N81" s="18">
        <f t="shared" si="12"/>
        <v>37028.647546623281</v>
      </c>
      <c r="O81" s="21">
        <f t="shared" si="14"/>
        <v>23095.160853376714</v>
      </c>
      <c r="P81" s="560">
        <f t="shared" si="15"/>
        <v>20785.644768039045</v>
      </c>
      <c r="Q81" s="561"/>
    </row>
    <row r="82" spans="2:17" ht="15.75">
      <c r="B82" s="54">
        <v>78</v>
      </c>
      <c r="C82" s="549" t="s">
        <v>107</v>
      </c>
      <c r="D82" s="19">
        <v>42578</v>
      </c>
      <c r="E82" s="19">
        <v>44470</v>
      </c>
      <c r="F82" s="564">
        <f t="shared" si="13"/>
        <v>5.183561643835616</v>
      </c>
      <c r="G82" s="11">
        <v>10</v>
      </c>
      <c r="H82" s="564">
        <f t="shared" si="9"/>
        <v>-4.816438356164384</v>
      </c>
      <c r="I82" s="20">
        <f t="shared" si="10"/>
        <v>9.5000000000000001E-2</v>
      </c>
      <c r="J82" s="567">
        <v>114615</v>
      </c>
      <c r="K82" s="566">
        <v>89153.073384253817</v>
      </c>
      <c r="L82" s="35">
        <v>0.04</v>
      </c>
      <c r="M82" s="18">
        <f t="shared" si="11"/>
        <v>119199.6</v>
      </c>
      <c r="N82" s="18">
        <f t="shared" si="12"/>
        <v>58698.455079452055</v>
      </c>
      <c r="O82" s="21">
        <f t="shared" si="14"/>
        <v>60501.144920547951</v>
      </c>
      <c r="P82" s="560">
        <f t="shared" si="15"/>
        <v>54451.030428493155</v>
      </c>
      <c r="Q82" s="561"/>
    </row>
    <row r="83" spans="2:17" ht="15.75">
      <c r="B83" s="54">
        <v>79</v>
      </c>
      <c r="C83" s="549" t="s">
        <v>106</v>
      </c>
      <c r="D83" s="19">
        <v>42587</v>
      </c>
      <c r="E83" s="19">
        <v>44470</v>
      </c>
      <c r="F83" s="564">
        <f t="shared" si="13"/>
        <v>5.1589041095890407</v>
      </c>
      <c r="G83" s="11">
        <v>15</v>
      </c>
      <c r="H83" s="564">
        <f t="shared" si="9"/>
        <v>-9.8410958904109584</v>
      </c>
      <c r="I83" s="20">
        <f t="shared" si="10"/>
        <v>6.3333333333333325E-2</v>
      </c>
      <c r="J83" s="567">
        <v>7761</v>
      </c>
      <c r="K83" s="566">
        <v>6045.9706553804899</v>
      </c>
      <c r="L83" s="35">
        <v>0</v>
      </c>
      <c r="M83" s="18">
        <f t="shared" si="11"/>
        <v>7761</v>
      </c>
      <c r="N83" s="18">
        <f t="shared" si="12"/>
        <v>2535.756136986301</v>
      </c>
      <c r="O83" s="21">
        <f t="shared" si="14"/>
        <v>5225.2438630136985</v>
      </c>
      <c r="P83" s="560">
        <f t="shared" si="15"/>
        <v>4702.7194767123292</v>
      </c>
      <c r="Q83" s="561"/>
    </row>
    <row r="84" spans="2:17" ht="15.75">
      <c r="B84" s="54">
        <v>80</v>
      </c>
      <c r="C84" s="549" t="s">
        <v>105</v>
      </c>
      <c r="D84" s="19">
        <v>42591</v>
      </c>
      <c r="E84" s="19">
        <v>44470</v>
      </c>
      <c r="F84" s="564">
        <f t="shared" si="13"/>
        <v>5.1479452054794521</v>
      </c>
      <c r="G84" s="11">
        <v>10</v>
      </c>
      <c r="H84" s="564">
        <f t="shared" ref="H84:H118" si="16">F84-G84</f>
        <v>-4.8520547945205479</v>
      </c>
      <c r="I84" s="20">
        <f t="shared" si="10"/>
        <v>9.5000000000000001E-2</v>
      </c>
      <c r="J84" s="567">
        <v>285000</v>
      </c>
      <c r="K84" s="566">
        <v>222168.89268006702</v>
      </c>
      <c r="L84" s="35">
        <v>0</v>
      </c>
      <c r="M84" s="18">
        <f t="shared" si="11"/>
        <v>285000</v>
      </c>
      <c r="N84" s="18">
        <f t="shared" si="12"/>
        <v>139380.61643835617</v>
      </c>
      <c r="O84" s="21">
        <f t="shared" si="14"/>
        <v>145619.38356164383</v>
      </c>
      <c r="P84" s="560">
        <f t="shared" si="15"/>
        <v>131057.44520547945</v>
      </c>
      <c r="Q84" s="561"/>
    </row>
    <row r="85" spans="2:17" ht="15.75">
      <c r="B85" s="54">
        <v>81</v>
      </c>
      <c r="C85" s="549" t="s">
        <v>108</v>
      </c>
      <c r="D85" s="19">
        <v>42608</v>
      </c>
      <c r="E85" s="19">
        <v>44470</v>
      </c>
      <c r="F85" s="564">
        <f t="shared" si="13"/>
        <v>5.1013698630136988</v>
      </c>
      <c r="G85" s="11">
        <v>15</v>
      </c>
      <c r="H85" s="564">
        <f t="shared" si="16"/>
        <v>-9.8986301369863021</v>
      </c>
      <c r="I85" s="20">
        <f t="shared" si="10"/>
        <v>6.3333333333333325E-2</v>
      </c>
      <c r="J85" s="567">
        <v>20834.400000000001</v>
      </c>
      <c r="K85" s="566">
        <v>16287.340718222815</v>
      </c>
      <c r="L85" s="35">
        <v>0</v>
      </c>
      <c r="M85" s="18">
        <f t="shared" si="11"/>
        <v>20834.400000000001</v>
      </c>
      <c r="N85" s="18">
        <f t="shared" si="12"/>
        <v>6731.3187506849317</v>
      </c>
      <c r="O85" s="21">
        <f t="shared" si="14"/>
        <v>14103.08124931507</v>
      </c>
      <c r="P85" s="560">
        <f t="shared" si="15"/>
        <v>12692.773124383562</v>
      </c>
      <c r="Q85" s="561"/>
    </row>
    <row r="86" spans="2:17" ht="15.75">
      <c r="B86" s="54">
        <v>82</v>
      </c>
      <c r="C86" s="549" t="s">
        <v>104</v>
      </c>
      <c r="D86" s="19">
        <v>42627</v>
      </c>
      <c r="E86" s="19">
        <v>44470</v>
      </c>
      <c r="F86" s="564">
        <f t="shared" si="13"/>
        <v>5.0493150684931507</v>
      </c>
      <c r="G86" s="11">
        <v>15</v>
      </c>
      <c r="H86" s="564">
        <f t="shared" si="16"/>
        <v>-9.9506849315068493</v>
      </c>
      <c r="I86" s="20">
        <f t="shared" si="10"/>
        <v>6.3333333333333325E-2</v>
      </c>
      <c r="J86" s="567">
        <v>112857.14</v>
      </c>
      <c r="K86" s="566">
        <v>88505.392907925416</v>
      </c>
      <c r="L86" s="35">
        <v>0.18</v>
      </c>
      <c r="M86" s="18">
        <f t="shared" si="11"/>
        <v>133171.4252</v>
      </c>
      <c r="N86" s="18">
        <f t="shared" si="12"/>
        <v>42586.883983821004</v>
      </c>
      <c r="O86" s="21">
        <f t="shared" si="14"/>
        <v>90584.541216179001</v>
      </c>
      <c r="P86" s="560">
        <f t="shared" si="15"/>
        <v>81526.08709456111</v>
      </c>
      <c r="Q86" s="561"/>
    </row>
    <row r="87" spans="2:17" ht="15.75">
      <c r="B87" s="54">
        <v>83</v>
      </c>
      <c r="C87" s="549" t="s">
        <v>109</v>
      </c>
      <c r="D87" s="19">
        <v>42705</v>
      </c>
      <c r="E87" s="19">
        <v>44470</v>
      </c>
      <c r="F87" s="564">
        <f t="shared" si="13"/>
        <v>4.8356164383561646</v>
      </c>
      <c r="G87" s="11">
        <v>15</v>
      </c>
      <c r="H87" s="564">
        <f t="shared" si="16"/>
        <v>-10.164383561643834</v>
      </c>
      <c r="I87" s="20">
        <f t="shared" si="10"/>
        <v>6.3333333333333325E-2</v>
      </c>
      <c r="J87" s="567">
        <v>940858</v>
      </c>
      <c r="K87" s="566">
        <v>747394.7796219592</v>
      </c>
      <c r="L87" s="35">
        <v>0.18</v>
      </c>
      <c r="M87" s="18">
        <f t="shared" si="11"/>
        <v>1110212.44</v>
      </c>
      <c r="N87" s="18">
        <f t="shared" si="12"/>
        <v>340008.89657899539</v>
      </c>
      <c r="O87" s="21">
        <f t="shared" si="14"/>
        <v>770203.54342100455</v>
      </c>
      <c r="P87" s="560">
        <f t="shared" si="15"/>
        <v>693183.18907890411</v>
      </c>
      <c r="Q87" s="561"/>
    </row>
    <row r="88" spans="2:17" ht="15.75">
      <c r="B88" s="54">
        <v>84</v>
      </c>
      <c r="C88" s="549" t="s">
        <v>109</v>
      </c>
      <c r="D88" s="19">
        <v>42710</v>
      </c>
      <c r="E88" s="19">
        <v>44470</v>
      </c>
      <c r="F88" s="564">
        <f t="shared" si="13"/>
        <v>4.8219178082191778</v>
      </c>
      <c r="G88" s="11">
        <v>15</v>
      </c>
      <c r="H88" s="564">
        <f t="shared" si="16"/>
        <v>-10.178082191780822</v>
      </c>
      <c r="I88" s="20">
        <f t="shared" si="10"/>
        <v>6.3333333333333325E-2</v>
      </c>
      <c r="J88" s="567">
        <v>1597269</v>
      </c>
      <c r="K88" s="566">
        <v>1269871.0924897357</v>
      </c>
      <c r="L88" s="35">
        <v>0.18</v>
      </c>
      <c r="M88" s="18">
        <f t="shared" si="11"/>
        <v>1884777.42</v>
      </c>
      <c r="N88" s="18">
        <f t="shared" si="12"/>
        <v>575588.64771506831</v>
      </c>
      <c r="O88" s="21">
        <f t="shared" si="14"/>
        <v>1309188.7722849315</v>
      </c>
      <c r="P88" s="560">
        <f t="shared" si="15"/>
        <v>1178269.8950564384</v>
      </c>
      <c r="Q88" s="561"/>
    </row>
    <row r="89" spans="2:17" ht="15.75">
      <c r="B89" s="54">
        <v>85</v>
      </c>
      <c r="C89" s="549" t="s">
        <v>102</v>
      </c>
      <c r="D89" s="19">
        <v>42736</v>
      </c>
      <c r="E89" s="19">
        <v>44470</v>
      </c>
      <c r="F89" s="564">
        <f t="shared" si="13"/>
        <v>4.7506849315068491</v>
      </c>
      <c r="G89" s="11">
        <v>8</v>
      </c>
      <c r="H89" s="564">
        <f t="shared" si="16"/>
        <v>-3.2493150684931509</v>
      </c>
      <c r="I89" s="20">
        <f t="shared" si="10"/>
        <v>0.11874999999999999</v>
      </c>
      <c r="J89" s="567">
        <v>1464900</v>
      </c>
      <c r="K89" s="566">
        <v>1169590.870809485</v>
      </c>
      <c r="L89" s="35">
        <v>0</v>
      </c>
      <c r="M89" s="18">
        <f t="shared" si="11"/>
        <v>1464900</v>
      </c>
      <c r="N89" s="18">
        <f t="shared" si="12"/>
        <v>826414.30479452049</v>
      </c>
      <c r="O89" s="21">
        <f t="shared" si="14"/>
        <v>638485.69520547951</v>
      </c>
      <c r="P89" s="560">
        <f t="shared" si="15"/>
        <v>574637.12568493153</v>
      </c>
      <c r="Q89" s="561"/>
    </row>
    <row r="90" spans="2:17" ht="15.75">
      <c r="B90" s="54">
        <v>86</v>
      </c>
      <c r="C90" s="549" t="s">
        <v>103</v>
      </c>
      <c r="D90" s="19">
        <v>42753</v>
      </c>
      <c r="E90" s="19">
        <v>44470</v>
      </c>
      <c r="F90" s="564">
        <f t="shared" si="13"/>
        <v>4.7041095890410958</v>
      </c>
      <c r="G90" s="11">
        <v>10</v>
      </c>
      <c r="H90" s="564">
        <f t="shared" si="16"/>
        <v>-5.2958904109589042</v>
      </c>
      <c r="I90" s="20">
        <f t="shared" si="10"/>
        <v>9.5000000000000001E-2</v>
      </c>
      <c r="J90" s="567">
        <v>467363</v>
      </c>
      <c r="K90" s="566">
        <v>374181.28690476192</v>
      </c>
      <c r="L90" s="35">
        <v>0</v>
      </c>
      <c r="M90" s="18">
        <f t="shared" si="11"/>
        <v>467363</v>
      </c>
      <c r="N90" s="18">
        <f t="shared" si="12"/>
        <v>208860.04313698629</v>
      </c>
      <c r="O90" s="21">
        <f t="shared" si="14"/>
        <v>258502.95686301371</v>
      </c>
      <c r="P90" s="560">
        <f t="shared" si="15"/>
        <v>232652.66117671234</v>
      </c>
      <c r="Q90" s="561"/>
    </row>
    <row r="91" spans="2:17" ht="15.75">
      <c r="B91" s="54">
        <v>87</v>
      </c>
      <c r="C91" s="550" t="s">
        <v>104</v>
      </c>
      <c r="D91" s="19">
        <v>42830</v>
      </c>
      <c r="E91" s="19">
        <v>44470</v>
      </c>
      <c r="F91" s="564">
        <f t="shared" si="13"/>
        <v>4.493150684931507</v>
      </c>
      <c r="G91" s="11">
        <v>15</v>
      </c>
      <c r="H91" s="564">
        <f t="shared" si="16"/>
        <v>-10.506849315068493</v>
      </c>
      <c r="I91" s="20">
        <f t="shared" si="10"/>
        <v>6.3333333333333325E-2</v>
      </c>
      <c r="J91" s="567">
        <v>99360</v>
      </c>
      <c r="K91" s="566">
        <v>80545.489998389443</v>
      </c>
      <c r="L91" s="35">
        <v>0.13</v>
      </c>
      <c r="M91" s="18">
        <f t="shared" si="11"/>
        <v>112276.79999999999</v>
      </c>
      <c r="N91" s="18">
        <f t="shared" si="12"/>
        <v>31950.183452054789</v>
      </c>
      <c r="O91" s="21">
        <f t="shared" si="14"/>
        <v>80326.616547945203</v>
      </c>
      <c r="P91" s="560">
        <f t="shared" si="15"/>
        <v>72293.954893150687</v>
      </c>
      <c r="Q91" s="561"/>
    </row>
    <row r="92" spans="2:17" ht="15.75">
      <c r="B92" s="54">
        <v>88</v>
      </c>
      <c r="C92" s="550" t="s">
        <v>110</v>
      </c>
      <c r="D92" s="19">
        <v>42842</v>
      </c>
      <c r="E92" s="19">
        <v>44470</v>
      </c>
      <c r="F92" s="564">
        <f t="shared" si="13"/>
        <v>4.4602739726027396</v>
      </c>
      <c r="G92" s="11">
        <v>15</v>
      </c>
      <c r="H92" s="564">
        <f t="shared" si="16"/>
        <v>-10.539726027397261</v>
      </c>
      <c r="I92" s="20">
        <f t="shared" si="10"/>
        <v>6.3333333333333325E-2</v>
      </c>
      <c r="J92" s="567">
        <v>110496</v>
      </c>
      <c r="K92" s="566">
        <v>89745.366519852119</v>
      </c>
      <c r="L92" s="35">
        <v>0.13</v>
      </c>
      <c r="M92" s="18">
        <f t="shared" si="11"/>
        <v>124860.47999999998</v>
      </c>
      <c r="N92" s="18">
        <f t="shared" si="12"/>
        <v>35271.0901128767</v>
      </c>
      <c r="O92" s="21">
        <f t="shared" si="14"/>
        <v>89589.389887123281</v>
      </c>
      <c r="P92" s="560">
        <f t="shared" si="15"/>
        <v>80630.450898410956</v>
      </c>
      <c r="Q92" s="561"/>
    </row>
    <row r="93" spans="2:17" ht="15.75">
      <c r="B93" s="54">
        <v>89</v>
      </c>
      <c r="C93" s="550" t="s">
        <v>111</v>
      </c>
      <c r="D93" s="19">
        <v>42870</v>
      </c>
      <c r="E93" s="19">
        <v>44470</v>
      </c>
      <c r="F93" s="564">
        <f t="shared" si="13"/>
        <v>4.3835616438356162</v>
      </c>
      <c r="G93" s="11">
        <v>10</v>
      </c>
      <c r="H93" s="564">
        <f t="shared" si="16"/>
        <v>-5.6164383561643838</v>
      </c>
      <c r="I93" s="20">
        <f t="shared" si="10"/>
        <v>9.5000000000000001E-2</v>
      </c>
      <c r="J93" s="567">
        <v>1900000</v>
      </c>
      <c r="K93" s="566">
        <v>1550112.2678252519</v>
      </c>
      <c r="L93" s="35">
        <v>0.02</v>
      </c>
      <c r="M93" s="18">
        <f t="shared" si="11"/>
        <v>1938000</v>
      </c>
      <c r="N93" s="18">
        <f t="shared" si="12"/>
        <v>807057.5342465752</v>
      </c>
      <c r="O93" s="21">
        <f t="shared" si="14"/>
        <v>1130942.4657534249</v>
      </c>
      <c r="P93" s="560">
        <f t="shared" si="15"/>
        <v>1017848.2191780824</v>
      </c>
      <c r="Q93" s="561"/>
    </row>
    <row r="94" spans="2:17" ht="15.75">
      <c r="B94" s="54">
        <v>90</v>
      </c>
      <c r="C94" s="550" t="s">
        <v>104</v>
      </c>
      <c r="D94" s="19">
        <v>42908</v>
      </c>
      <c r="E94" s="19">
        <v>44470</v>
      </c>
      <c r="F94" s="564">
        <f t="shared" si="13"/>
        <v>4.279452054794521</v>
      </c>
      <c r="G94" s="11">
        <v>8</v>
      </c>
      <c r="H94" s="564">
        <f t="shared" si="16"/>
        <v>-3.720547945205479</v>
      </c>
      <c r="I94" s="20">
        <f t="shared" si="10"/>
        <v>0.11874999999999999</v>
      </c>
      <c r="J94" s="567">
        <v>41825</v>
      </c>
      <c r="K94" s="566">
        <v>34329.696779067897</v>
      </c>
      <c r="L94" s="35">
        <v>0.13</v>
      </c>
      <c r="M94" s="18">
        <f t="shared" si="11"/>
        <v>47262.249999999993</v>
      </c>
      <c r="N94" s="18">
        <f t="shared" si="12"/>
        <v>24017.963279109583</v>
      </c>
      <c r="O94" s="21">
        <f t="shared" si="14"/>
        <v>23244.28672089041</v>
      </c>
      <c r="P94" s="560">
        <f t="shared" si="15"/>
        <v>20919.858048801369</v>
      </c>
      <c r="Q94" s="561"/>
    </row>
    <row r="95" spans="2:17" ht="15.75">
      <c r="B95" s="54">
        <v>91</v>
      </c>
      <c r="C95" s="550" t="s">
        <v>112</v>
      </c>
      <c r="D95" s="19">
        <v>42943</v>
      </c>
      <c r="E95" s="19">
        <v>44470</v>
      </c>
      <c r="F95" s="564">
        <f t="shared" si="13"/>
        <v>4.183561643835616</v>
      </c>
      <c r="G95" s="11">
        <v>10</v>
      </c>
      <c r="H95" s="564">
        <f t="shared" si="16"/>
        <v>-5.816438356164384</v>
      </c>
      <c r="I95" s="20">
        <f t="shared" si="10"/>
        <v>9.5000000000000001E-2</v>
      </c>
      <c r="J95" s="567">
        <v>725000</v>
      </c>
      <c r="K95" s="566">
        <v>598377.77270484017</v>
      </c>
      <c r="L95" s="35">
        <v>0.01</v>
      </c>
      <c r="M95" s="18">
        <f t="shared" si="11"/>
        <v>732250</v>
      </c>
      <c r="N95" s="18">
        <f t="shared" si="12"/>
        <v>291024.23630136979</v>
      </c>
      <c r="O95" s="21">
        <f t="shared" si="14"/>
        <v>441225.76369863021</v>
      </c>
      <c r="P95" s="560">
        <f t="shared" si="15"/>
        <v>397103.18732876721</v>
      </c>
      <c r="Q95" s="561"/>
    </row>
    <row r="96" spans="2:17" ht="15.75">
      <c r="B96" s="54">
        <v>92</v>
      </c>
      <c r="C96" s="550" t="s">
        <v>113</v>
      </c>
      <c r="D96" s="19">
        <v>42983</v>
      </c>
      <c r="E96" s="19">
        <v>44470</v>
      </c>
      <c r="F96" s="564">
        <f t="shared" si="13"/>
        <v>4.0739726027397261</v>
      </c>
      <c r="G96" s="11">
        <v>8</v>
      </c>
      <c r="H96" s="564">
        <f t="shared" si="16"/>
        <v>-3.9260273972602739</v>
      </c>
      <c r="I96" s="20">
        <f t="shared" si="10"/>
        <v>0.11874999999999999</v>
      </c>
      <c r="J96" s="567">
        <v>19000</v>
      </c>
      <c r="K96" s="566">
        <v>15780.528212826153</v>
      </c>
      <c r="L96" s="35">
        <v>0</v>
      </c>
      <c r="M96" s="18">
        <f t="shared" si="11"/>
        <v>19000</v>
      </c>
      <c r="N96" s="18">
        <f t="shared" si="12"/>
        <v>9191.9006849315065</v>
      </c>
      <c r="O96" s="21">
        <f t="shared" si="14"/>
        <v>9808.0993150684935</v>
      </c>
      <c r="P96" s="560">
        <f t="shared" si="15"/>
        <v>8827.2893835616451</v>
      </c>
      <c r="Q96" s="561"/>
    </row>
    <row r="97" spans="2:17" ht="15.75">
      <c r="B97" s="54">
        <v>93</v>
      </c>
      <c r="C97" s="550" t="s">
        <v>114</v>
      </c>
      <c r="D97" s="19">
        <v>43173</v>
      </c>
      <c r="E97" s="19">
        <v>44470</v>
      </c>
      <c r="F97" s="564">
        <f t="shared" si="13"/>
        <v>3.5534246575342467</v>
      </c>
      <c r="G97" s="11">
        <v>15</v>
      </c>
      <c r="H97" s="564">
        <f t="shared" si="16"/>
        <v>-11.446575342465753</v>
      </c>
      <c r="I97" s="20">
        <f t="shared" si="10"/>
        <v>6.3333333333333325E-2</v>
      </c>
      <c r="J97" s="567">
        <v>191510</v>
      </c>
      <c r="K97" s="566">
        <v>163794.74699633699</v>
      </c>
      <c r="L97" s="35">
        <v>0</v>
      </c>
      <c r="M97" s="18">
        <f t="shared" si="11"/>
        <v>191510</v>
      </c>
      <c r="N97" s="18">
        <f t="shared" si="12"/>
        <v>43099.369223744288</v>
      </c>
      <c r="O97" s="21">
        <f t="shared" si="14"/>
        <v>148410.63077625571</v>
      </c>
      <c r="P97" s="560">
        <f t="shared" si="15"/>
        <v>133569.56769863016</v>
      </c>
      <c r="Q97" s="561"/>
    </row>
    <row r="98" spans="2:17" ht="15.75">
      <c r="B98" s="54">
        <v>94</v>
      </c>
      <c r="C98" s="551" t="s">
        <v>115</v>
      </c>
      <c r="D98" s="19">
        <v>43201</v>
      </c>
      <c r="E98" s="19">
        <v>44470</v>
      </c>
      <c r="F98" s="564">
        <f t="shared" si="13"/>
        <v>3.4767123287671233</v>
      </c>
      <c r="G98" s="11">
        <v>10</v>
      </c>
      <c r="H98" s="564">
        <f t="shared" si="16"/>
        <v>-6.5232876712328771</v>
      </c>
      <c r="I98" s="20">
        <f t="shared" si="10"/>
        <v>9.5000000000000001E-2</v>
      </c>
      <c r="J98" s="568">
        <v>407744</v>
      </c>
      <c r="K98" s="566">
        <v>350221.22646656533</v>
      </c>
      <c r="L98" s="35">
        <v>0.02</v>
      </c>
      <c r="M98" s="18">
        <f t="shared" si="11"/>
        <v>415898.88</v>
      </c>
      <c r="N98" s="18">
        <f t="shared" si="12"/>
        <v>137366.27254356164</v>
      </c>
      <c r="O98" s="21">
        <f t="shared" si="14"/>
        <v>278532.60745643836</v>
      </c>
      <c r="P98" s="560">
        <f t="shared" si="15"/>
        <v>250679.34671079452</v>
      </c>
      <c r="Q98" s="561"/>
    </row>
    <row r="99" spans="2:17" ht="15.75">
      <c r="B99" s="54">
        <v>95</v>
      </c>
      <c r="C99" s="550" t="s">
        <v>113</v>
      </c>
      <c r="D99" s="19">
        <v>43265</v>
      </c>
      <c r="E99" s="19">
        <v>44470</v>
      </c>
      <c r="F99" s="564">
        <f t="shared" si="13"/>
        <v>3.3013698630136985</v>
      </c>
      <c r="G99" s="11">
        <v>8</v>
      </c>
      <c r="H99" s="564">
        <f t="shared" si="16"/>
        <v>-4.6986301369863011</v>
      </c>
      <c r="I99" s="20">
        <f t="shared" si="10"/>
        <v>0.11874999999999999</v>
      </c>
      <c r="J99" s="567">
        <v>24500</v>
      </c>
      <c r="K99" s="566">
        <v>21247.704661348587</v>
      </c>
      <c r="L99" s="35">
        <v>0</v>
      </c>
      <c r="M99" s="18">
        <f t="shared" si="11"/>
        <v>24500</v>
      </c>
      <c r="N99" s="18">
        <f t="shared" si="12"/>
        <v>9604.9229452054788</v>
      </c>
      <c r="O99" s="21">
        <f t="shared" si="14"/>
        <v>14895.077054794521</v>
      </c>
      <c r="P99" s="560">
        <f t="shared" si="15"/>
        <v>13405.56934931507</v>
      </c>
      <c r="Q99" s="561"/>
    </row>
    <row r="100" spans="2:17" ht="15.75">
      <c r="B100" s="54">
        <v>96</v>
      </c>
      <c r="C100" s="550" t="s">
        <v>116</v>
      </c>
      <c r="D100" s="19">
        <v>43285</v>
      </c>
      <c r="E100" s="19">
        <v>44470</v>
      </c>
      <c r="F100" s="564">
        <f t="shared" si="13"/>
        <v>3.2465753424657535</v>
      </c>
      <c r="G100" s="11">
        <v>10</v>
      </c>
      <c r="H100" s="564">
        <f t="shared" si="16"/>
        <v>-6.7534246575342465</v>
      </c>
      <c r="I100" s="20">
        <f t="shared" si="10"/>
        <v>9.5000000000000001E-2</v>
      </c>
      <c r="J100" s="567">
        <v>105600</v>
      </c>
      <c r="K100" s="566">
        <v>91856.777531512605</v>
      </c>
      <c r="L100" s="35">
        <v>0</v>
      </c>
      <c r="M100" s="18">
        <f t="shared" si="11"/>
        <v>105600</v>
      </c>
      <c r="N100" s="18">
        <f t="shared" si="12"/>
        <v>32569.64383561644</v>
      </c>
      <c r="O100" s="21">
        <f t="shared" si="14"/>
        <v>73030.356164383556</v>
      </c>
      <c r="P100" s="560">
        <f t="shared" si="15"/>
        <v>65727.320547945201</v>
      </c>
      <c r="Q100" s="561"/>
    </row>
    <row r="101" spans="2:17" ht="15.75">
      <c r="B101" s="54">
        <v>97</v>
      </c>
      <c r="C101" s="550" t="s">
        <v>117</v>
      </c>
      <c r="D101" s="19">
        <v>43287</v>
      </c>
      <c r="E101" s="19">
        <v>44470</v>
      </c>
      <c r="F101" s="564">
        <f t="shared" si="13"/>
        <v>3.2410958904109588</v>
      </c>
      <c r="G101" s="11">
        <v>25</v>
      </c>
      <c r="H101" s="564">
        <f t="shared" si="16"/>
        <v>-21.758904109589039</v>
      </c>
      <c r="I101" s="20">
        <f t="shared" si="10"/>
        <v>3.7999999999999999E-2</v>
      </c>
      <c r="J101" s="567">
        <v>2325000</v>
      </c>
      <c r="K101" s="566">
        <v>2023020.0729282929</v>
      </c>
      <c r="L101" s="35">
        <v>0</v>
      </c>
      <c r="M101" s="18">
        <f t="shared" si="11"/>
        <v>2325000</v>
      </c>
      <c r="N101" s="18">
        <f t="shared" si="12"/>
        <v>286350.82191780821</v>
      </c>
      <c r="O101" s="21">
        <f t="shared" si="14"/>
        <v>2038649.1780821919</v>
      </c>
      <c r="P101" s="560">
        <f t="shared" si="15"/>
        <v>1834784.2602739728</v>
      </c>
      <c r="Q101" s="561"/>
    </row>
    <row r="102" spans="2:17" ht="15.75">
      <c r="B102" s="54">
        <v>98</v>
      </c>
      <c r="C102" s="550" t="s">
        <v>118</v>
      </c>
      <c r="D102" s="19">
        <v>43293</v>
      </c>
      <c r="E102" s="19">
        <v>44470</v>
      </c>
      <c r="F102" s="564">
        <f t="shared" si="13"/>
        <v>3.2246575342465755</v>
      </c>
      <c r="G102" s="11">
        <v>10</v>
      </c>
      <c r="H102" s="564">
        <f t="shared" si="16"/>
        <v>-6.7753424657534245</v>
      </c>
      <c r="I102" s="20">
        <f t="shared" si="10"/>
        <v>9.5000000000000001E-2</v>
      </c>
      <c r="J102" s="567">
        <v>115500</v>
      </c>
      <c r="K102" s="566">
        <v>100588.5979751199</v>
      </c>
      <c r="L102" s="35">
        <v>0.05</v>
      </c>
      <c r="M102" s="18">
        <f t="shared" si="11"/>
        <v>121275</v>
      </c>
      <c r="N102" s="18">
        <f t="shared" si="12"/>
        <v>37151.682534246575</v>
      </c>
      <c r="O102" s="21">
        <f t="shared" si="14"/>
        <v>84123.317465753425</v>
      </c>
      <c r="P102" s="560">
        <f t="shared" si="15"/>
        <v>75710.98571917809</v>
      </c>
      <c r="Q102" s="561"/>
    </row>
    <row r="103" spans="2:17" ht="15.75">
      <c r="B103" s="54">
        <v>99</v>
      </c>
      <c r="C103" s="550" t="s">
        <v>119</v>
      </c>
      <c r="D103" s="19">
        <v>43294</v>
      </c>
      <c r="E103" s="19">
        <v>44470</v>
      </c>
      <c r="F103" s="564">
        <f t="shared" si="13"/>
        <v>3.2219178082191782</v>
      </c>
      <c r="G103" s="11">
        <v>15</v>
      </c>
      <c r="H103" s="564">
        <f t="shared" si="16"/>
        <v>-11.778082191780822</v>
      </c>
      <c r="I103" s="20">
        <f t="shared" si="10"/>
        <v>6.3333333333333325E-2</v>
      </c>
      <c r="J103" s="567">
        <v>109650.74</v>
      </c>
      <c r="K103" s="566">
        <v>95508.7693218942</v>
      </c>
      <c r="L103" s="35">
        <v>0.02</v>
      </c>
      <c r="M103" s="18">
        <f t="shared" si="11"/>
        <v>111843.75480000001</v>
      </c>
      <c r="N103" s="18">
        <f t="shared" si="12"/>
        <v>22822.254404120547</v>
      </c>
      <c r="O103" s="21">
        <f t="shared" si="14"/>
        <v>89021.50039587947</v>
      </c>
      <c r="P103" s="560">
        <f t="shared" si="15"/>
        <v>80119.350356291528</v>
      </c>
      <c r="Q103" s="561"/>
    </row>
    <row r="104" spans="2:17" ht="15.75">
      <c r="B104" s="54">
        <v>100</v>
      </c>
      <c r="C104" s="550" t="s">
        <v>120</v>
      </c>
      <c r="D104" s="19">
        <v>43294</v>
      </c>
      <c r="E104" s="19">
        <v>44470</v>
      </c>
      <c r="F104" s="564">
        <f t="shared" si="13"/>
        <v>3.2219178082191782</v>
      </c>
      <c r="G104" s="11">
        <v>10</v>
      </c>
      <c r="H104" s="564">
        <f t="shared" si="16"/>
        <v>-6.7780821917808218</v>
      </c>
      <c r="I104" s="20">
        <f t="shared" si="10"/>
        <v>9.5000000000000001E-2</v>
      </c>
      <c r="J104" s="567">
        <v>420000</v>
      </c>
      <c r="K104" s="566">
        <v>365831.39053499175</v>
      </c>
      <c r="L104" s="35">
        <v>0</v>
      </c>
      <c r="M104" s="18">
        <f t="shared" si="11"/>
        <v>420000</v>
      </c>
      <c r="N104" s="18">
        <f t="shared" si="12"/>
        <v>128554.5205479452</v>
      </c>
      <c r="O104" s="21">
        <f t="shared" si="14"/>
        <v>291445.47945205483</v>
      </c>
      <c r="P104" s="560">
        <f t="shared" si="15"/>
        <v>262300.93150684936</v>
      </c>
      <c r="Q104" s="561"/>
    </row>
    <row r="105" spans="2:17" ht="15.75">
      <c r="B105" s="54">
        <v>101</v>
      </c>
      <c r="C105" s="550" t="s">
        <v>121</v>
      </c>
      <c r="D105" s="19">
        <v>43308</v>
      </c>
      <c r="E105" s="19">
        <v>44470</v>
      </c>
      <c r="F105" s="564">
        <f t="shared" si="13"/>
        <v>3.1835616438356165</v>
      </c>
      <c r="G105" s="11">
        <v>10</v>
      </c>
      <c r="H105" s="564">
        <f t="shared" si="16"/>
        <v>-6.8164383561643831</v>
      </c>
      <c r="I105" s="20">
        <f t="shared" si="10"/>
        <v>9.5000000000000001E-2</v>
      </c>
      <c r="J105" s="567">
        <v>1900000</v>
      </c>
      <c r="K105" s="566">
        <v>1658413.2137909376</v>
      </c>
      <c r="L105" s="35">
        <v>0</v>
      </c>
      <c r="M105" s="18">
        <f t="shared" si="11"/>
        <v>1900000</v>
      </c>
      <c r="N105" s="18">
        <f t="shared" si="12"/>
        <v>574632.87671232875</v>
      </c>
      <c r="O105" s="21">
        <f t="shared" si="14"/>
        <v>1325367.1232876712</v>
      </c>
      <c r="P105" s="560">
        <f t="shared" si="15"/>
        <v>1192830.4109589041</v>
      </c>
      <c r="Q105" s="561"/>
    </row>
    <row r="106" spans="2:17" ht="15.75">
      <c r="B106" s="54">
        <v>102</v>
      </c>
      <c r="C106" s="550" t="s">
        <v>122</v>
      </c>
      <c r="D106" s="19">
        <v>43308</v>
      </c>
      <c r="E106" s="19">
        <v>44470</v>
      </c>
      <c r="F106" s="564">
        <f t="shared" si="13"/>
        <v>3.1835616438356165</v>
      </c>
      <c r="G106" s="11">
        <v>8</v>
      </c>
      <c r="H106" s="564">
        <f t="shared" si="16"/>
        <v>-4.8164383561643831</v>
      </c>
      <c r="I106" s="20">
        <f t="shared" si="10"/>
        <v>0.11874999999999999</v>
      </c>
      <c r="J106" s="567">
        <v>212500</v>
      </c>
      <c r="K106" s="566">
        <v>185480.4208105279</v>
      </c>
      <c r="L106" s="35">
        <v>0</v>
      </c>
      <c r="M106" s="18">
        <f t="shared" si="11"/>
        <v>212500</v>
      </c>
      <c r="N106" s="18">
        <f t="shared" si="12"/>
        <v>80335.188356164392</v>
      </c>
      <c r="O106" s="21">
        <f t="shared" si="14"/>
        <v>132164.81164383562</v>
      </c>
      <c r="P106" s="560">
        <f t="shared" si="15"/>
        <v>118948.33047945207</v>
      </c>
      <c r="Q106" s="561"/>
    </row>
    <row r="107" spans="2:17" ht="15.75">
      <c r="B107" s="54">
        <v>103</v>
      </c>
      <c r="C107" s="550" t="s">
        <v>123</v>
      </c>
      <c r="D107" s="19">
        <v>43308</v>
      </c>
      <c r="E107" s="19">
        <v>44470</v>
      </c>
      <c r="F107" s="564">
        <f t="shared" si="13"/>
        <v>3.1835616438356165</v>
      </c>
      <c r="G107" s="11">
        <v>8</v>
      </c>
      <c r="H107" s="564">
        <f t="shared" si="16"/>
        <v>-4.8164383561643831</v>
      </c>
      <c r="I107" s="20">
        <f t="shared" si="10"/>
        <v>0.11874999999999999</v>
      </c>
      <c r="J107" s="567">
        <v>178500</v>
      </c>
      <c r="K107" s="566">
        <v>155803.56180050844</v>
      </c>
      <c r="L107" s="35">
        <v>0</v>
      </c>
      <c r="M107" s="18">
        <f t="shared" si="11"/>
        <v>178500</v>
      </c>
      <c r="N107" s="18">
        <f t="shared" si="12"/>
        <v>67481.558219178085</v>
      </c>
      <c r="O107" s="21">
        <f t="shared" si="14"/>
        <v>111018.44178082192</v>
      </c>
      <c r="P107" s="560">
        <f t="shared" si="15"/>
        <v>99916.597602739726</v>
      </c>
      <c r="Q107" s="561"/>
    </row>
    <row r="108" spans="2:17" ht="15.75">
      <c r="B108" s="54">
        <v>104</v>
      </c>
      <c r="C108" s="550" t="s">
        <v>124</v>
      </c>
      <c r="D108" s="19">
        <v>43406</v>
      </c>
      <c r="E108" s="19">
        <v>44470</v>
      </c>
      <c r="F108" s="564">
        <f t="shared" si="13"/>
        <v>2.9150684931506849</v>
      </c>
      <c r="G108" s="11">
        <v>8</v>
      </c>
      <c r="H108" s="564">
        <f t="shared" si="16"/>
        <v>-5.0849315068493155</v>
      </c>
      <c r="I108" s="20">
        <f t="shared" si="10"/>
        <v>0.11874999999999999</v>
      </c>
      <c r="J108" s="567">
        <v>198000</v>
      </c>
      <c r="K108" s="566">
        <v>175349.31378039793</v>
      </c>
      <c r="L108" s="35">
        <v>0</v>
      </c>
      <c r="M108" s="18">
        <f t="shared" si="11"/>
        <v>198000</v>
      </c>
      <c r="N108" s="18">
        <f t="shared" si="12"/>
        <v>68540.547945205471</v>
      </c>
      <c r="O108" s="21">
        <f t="shared" si="14"/>
        <v>129459.45205479453</v>
      </c>
      <c r="P108" s="560">
        <f t="shared" si="15"/>
        <v>116513.50684931508</v>
      </c>
      <c r="Q108" s="561"/>
    </row>
    <row r="109" spans="2:17" ht="15.75">
      <c r="B109" s="54">
        <v>105</v>
      </c>
      <c r="C109" s="550" t="s">
        <v>125</v>
      </c>
      <c r="D109" s="19">
        <v>43406</v>
      </c>
      <c r="E109" s="19">
        <v>44470</v>
      </c>
      <c r="F109" s="564">
        <f t="shared" si="13"/>
        <v>2.9150684931506849</v>
      </c>
      <c r="G109" s="11">
        <v>8</v>
      </c>
      <c r="H109" s="564">
        <f t="shared" si="16"/>
        <v>-5.0849315068493155</v>
      </c>
      <c r="I109" s="20">
        <f t="shared" si="10"/>
        <v>0.11874999999999999</v>
      </c>
      <c r="J109" s="567">
        <v>27870</v>
      </c>
      <c r="K109" s="566">
        <v>24681.740117907146</v>
      </c>
      <c r="L109" s="35">
        <v>0</v>
      </c>
      <c r="M109" s="18">
        <f t="shared" si="11"/>
        <v>27870</v>
      </c>
      <c r="N109" s="18">
        <f t="shared" si="12"/>
        <v>9647.6013698630122</v>
      </c>
      <c r="O109" s="21">
        <f t="shared" si="14"/>
        <v>18222.398630136988</v>
      </c>
      <c r="P109" s="560">
        <f t="shared" si="15"/>
        <v>16400.158767123288</v>
      </c>
      <c r="Q109" s="561"/>
    </row>
    <row r="110" spans="2:17" s="6" customFormat="1" ht="15.75">
      <c r="B110" s="54">
        <v>106</v>
      </c>
      <c r="C110" s="549" t="s">
        <v>102</v>
      </c>
      <c r="D110" s="19">
        <v>42494</v>
      </c>
      <c r="E110" s="19">
        <v>44470</v>
      </c>
      <c r="F110" s="564">
        <f t="shared" si="13"/>
        <v>5.4136986301369863</v>
      </c>
      <c r="G110" s="11">
        <v>8</v>
      </c>
      <c r="H110" s="564">
        <f t="shared" si="16"/>
        <v>-2.5863013698630137</v>
      </c>
      <c r="I110" s="20">
        <f t="shared" si="10"/>
        <v>0.11874999999999999</v>
      </c>
      <c r="J110" s="567">
        <v>227094</v>
      </c>
      <c r="K110" s="566">
        <v>173831.84845656875</v>
      </c>
      <c r="L110" s="35">
        <v>0</v>
      </c>
      <c r="M110" s="18">
        <f t="shared" si="11"/>
        <v>227094</v>
      </c>
      <c r="N110" s="18">
        <f t="shared" si="12"/>
        <v>145993.44410958904</v>
      </c>
      <c r="O110" s="21">
        <f t="shared" si="14"/>
        <v>81100.555890410964</v>
      </c>
      <c r="P110" s="560">
        <f t="shared" si="15"/>
        <v>72990.500301369873</v>
      </c>
      <c r="Q110" s="561"/>
    </row>
    <row r="111" spans="2:17" ht="15.75">
      <c r="B111" s="54">
        <v>107</v>
      </c>
      <c r="C111" s="549" t="s">
        <v>102</v>
      </c>
      <c r="D111" s="19">
        <v>42497</v>
      </c>
      <c r="E111" s="19">
        <v>44470</v>
      </c>
      <c r="F111" s="564">
        <f t="shared" si="13"/>
        <v>5.4054794520547942</v>
      </c>
      <c r="G111" s="11">
        <v>8</v>
      </c>
      <c r="H111" s="564">
        <f t="shared" si="16"/>
        <v>-2.5945205479452058</v>
      </c>
      <c r="I111" s="20">
        <f t="shared" si="10"/>
        <v>0.11874999999999999</v>
      </c>
      <c r="J111" s="567">
        <v>22393</v>
      </c>
      <c r="K111" s="566">
        <v>17149.802625565215</v>
      </c>
      <c r="L111" s="35">
        <v>0</v>
      </c>
      <c r="M111" s="18">
        <f t="shared" si="11"/>
        <v>22393</v>
      </c>
      <c r="N111" s="18">
        <f t="shared" si="12"/>
        <v>14374.082037671231</v>
      </c>
      <c r="O111" s="21">
        <f t="shared" si="14"/>
        <v>8018.9179623287691</v>
      </c>
      <c r="P111" s="560">
        <f t="shared" si="15"/>
        <v>7217.0261660958922</v>
      </c>
      <c r="Q111" s="561"/>
    </row>
    <row r="112" spans="2:17" ht="15.75">
      <c r="B112" s="54">
        <v>108</v>
      </c>
      <c r="C112" s="549" t="s">
        <v>102</v>
      </c>
      <c r="D112" s="19">
        <v>42497</v>
      </c>
      <c r="E112" s="19">
        <v>44470</v>
      </c>
      <c r="F112" s="564">
        <f t="shared" si="13"/>
        <v>5.4054794520547942</v>
      </c>
      <c r="G112" s="11">
        <v>8</v>
      </c>
      <c r="H112" s="564">
        <f t="shared" si="16"/>
        <v>-2.5945205479452058</v>
      </c>
      <c r="I112" s="20">
        <f t="shared" si="10"/>
        <v>0.11874999999999999</v>
      </c>
      <c r="J112" s="567">
        <v>162066</v>
      </c>
      <c r="K112" s="566">
        <v>124119.1404597353</v>
      </c>
      <c r="L112" s="35">
        <v>0</v>
      </c>
      <c r="M112" s="18">
        <f t="shared" si="11"/>
        <v>162066</v>
      </c>
      <c r="N112" s="18">
        <f t="shared" si="12"/>
        <v>104030.27640410958</v>
      </c>
      <c r="O112" s="21">
        <f t="shared" si="14"/>
        <v>58035.72359589042</v>
      </c>
      <c r="P112" s="560">
        <f t="shared" si="15"/>
        <v>52232.151236301383</v>
      </c>
      <c r="Q112" s="561"/>
    </row>
    <row r="113" spans="2:17" ht="15.75">
      <c r="B113" s="54">
        <v>109</v>
      </c>
      <c r="C113" s="549" t="s">
        <v>102</v>
      </c>
      <c r="D113" s="19">
        <v>42497</v>
      </c>
      <c r="E113" s="19">
        <v>44470</v>
      </c>
      <c r="F113" s="564">
        <f t="shared" si="13"/>
        <v>5.4054794520547942</v>
      </c>
      <c r="G113" s="11">
        <v>8</v>
      </c>
      <c r="H113" s="564">
        <f t="shared" si="16"/>
        <v>-2.5945205479452058</v>
      </c>
      <c r="I113" s="20">
        <f t="shared" si="10"/>
        <v>0.11874999999999999</v>
      </c>
      <c r="J113" s="567">
        <v>266873</v>
      </c>
      <c r="K113" s="566">
        <v>204386.15978620399</v>
      </c>
      <c r="L113" s="35">
        <v>0</v>
      </c>
      <c r="M113" s="18">
        <f t="shared" si="11"/>
        <v>266873</v>
      </c>
      <c r="N113" s="18">
        <f t="shared" si="12"/>
        <v>171305.961489726</v>
      </c>
      <c r="O113" s="21">
        <f t="shared" si="14"/>
        <v>95567.038510273997</v>
      </c>
      <c r="P113" s="560">
        <f t="shared" si="15"/>
        <v>86010.334659246597</v>
      </c>
      <c r="Q113" s="561"/>
    </row>
    <row r="114" spans="2:17" ht="15.75">
      <c r="B114" s="54">
        <v>110</v>
      </c>
      <c r="C114" s="549" t="s">
        <v>102</v>
      </c>
      <c r="D114" s="19">
        <v>42497</v>
      </c>
      <c r="E114" s="19">
        <v>44470</v>
      </c>
      <c r="F114" s="564">
        <f t="shared" si="13"/>
        <v>5.4054794520547942</v>
      </c>
      <c r="G114" s="11">
        <v>8</v>
      </c>
      <c r="H114" s="564">
        <f t="shared" si="16"/>
        <v>-2.5945205479452058</v>
      </c>
      <c r="I114" s="20">
        <f t="shared" si="10"/>
        <v>0.11874999999999999</v>
      </c>
      <c r="J114" s="567">
        <v>174234</v>
      </c>
      <c r="K114" s="566">
        <v>133438.07040873176</v>
      </c>
      <c r="L114" s="35">
        <v>0</v>
      </c>
      <c r="M114" s="18">
        <f t="shared" si="11"/>
        <v>174234</v>
      </c>
      <c r="N114" s="18">
        <f t="shared" si="12"/>
        <v>111840.92393835615</v>
      </c>
      <c r="O114" s="21">
        <f t="shared" si="14"/>
        <v>62393.076061643849</v>
      </c>
      <c r="P114" s="560">
        <f t="shared" si="15"/>
        <v>56153.768455479469</v>
      </c>
      <c r="Q114" s="561"/>
    </row>
    <row r="115" spans="2:17" ht="15.75">
      <c r="B115" s="54">
        <v>111</v>
      </c>
      <c r="C115" s="549" t="s">
        <v>102</v>
      </c>
      <c r="D115" s="19">
        <v>42506</v>
      </c>
      <c r="E115" s="19">
        <v>44470</v>
      </c>
      <c r="F115" s="564">
        <f t="shared" si="13"/>
        <v>5.3808219178082188</v>
      </c>
      <c r="G115" s="11">
        <v>8</v>
      </c>
      <c r="H115" s="564">
        <f t="shared" si="16"/>
        <v>-2.6191780821917812</v>
      </c>
      <c r="I115" s="20">
        <f t="shared" si="10"/>
        <v>0.11874999999999999</v>
      </c>
      <c r="J115" s="567">
        <v>35243.21</v>
      </c>
      <c r="K115" s="566">
        <v>27032.803695270086</v>
      </c>
      <c r="L115" s="35">
        <v>0</v>
      </c>
      <c r="M115" s="18">
        <f t="shared" si="11"/>
        <v>35243.21</v>
      </c>
      <c r="N115" s="18">
        <f t="shared" si="12"/>
        <v>22519.44562260274</v>
      </c>
      <c r="O115" s="21">
        <f t="shared" si="14"/>
        <v>12723.76437739726</v>
      </c>
      <c r="P115" s="560">
        <f t="shared" si="15"/>
        <v>11451.387939657534</v>
      </c>
      <c r="Q115" s="561"/>
    </row>
    <row r="116" spans="2:17" ht="15.75">
      <c r="B116" s="54">
        <v>112</v>
      </c>
      <c r="C116" s="549" t="s">
        <v>102</v>
      </c>
      <c r="D116" s="19">
        <v>42510</v>
      </c>
      <c r="E116" s="19">
        <v>44470</v>
      </c>
      <c r="F116" s="564">
        <f t="shared" si="13"/>
        <v>5.3698630136986303</v>
      </c>
      <c r="G116" s="11">
        <v>8</v>
      </c>
      <c r="H116" s="564">
        <f t="shared" si="16"/>
        <v>-2.6301369863013697</v>
      </c>
      <c r="I116" s="20">
        <f t="shared" si="10"/>
        <v>0.11874999999999999</v>
      </c>
      <c r="J116" s="567">
        <v>29089.81</v>
      </c>
      <c r="K116" s="566">
        <v>22328.185237844176</v>
      </c>
      <c r="L116" s="35">
        <v>0</v>
      </c>
      <c r="M116" s="18">
        <f t="shared" si="11"/>
        <v>29089.81</v>
      </c>
      <c r="N116" s="18">
        <f t="shared" si="12"/>
        <v>18549.735006849318</v>
      </c>
      <c r="O116" s="21">
        <f t="shared" si="14"/>
        <v>10540.074993150683</v>
      </c>
      <c r="P116" s="560">
        <f t="shared" si="15"/>
        <v>9486.0674938356151</v>
      </c>
      <c r="Q116" s="561"/>
    </row>
    <row r="117" spans="2:17" ht="15.75">
      <c r="B117" s="54">
        <v>113</v>
      </c>
      <c r="C117" s="549" t="s">
        <v>102</v>
      </c>
      <c r="D117" s="19">
        <v>42514</v>
      </c>
      <c r="E117" s="19">
        <v>44470</v>
      </c>
      <c r="F117" s="564">
        <f t="shared" si="13"/>
        <v>5.3589041095890408</v>
      </c>
      <c r="G117" s="11">
        <v>8</v>
      </c>
      <c r="H117" s="564">
        <f t="shared" si="16"/>
        <v>-2.6410958904109592</v>
      </c>
      <c r="I117" s="20">
        <f t="shared" si="10"/>
        <v>0.11874999999999999</v>
      </c>
      <c r="J117" s="567">
        <v>24294</v>
      </c>
      <c r="K117" s="566">
        <v>18659.855450859675</v>
      </c>
      <c r="L117" s="35">
        <v>0</v>
      </c>
      <c r="M117" s="18">
        <f t="shared" si="11"/>
        <v>24294</v>
      </c>
      <c r="N117" s="18">
        <f t="shared" si="12"/>
        <v>15459.969452054793</v>
      </c>
      <c r="O117" s="21">
        <f t="shared" si="14"/>
        <v>8834.0305479452072</v>
      </c>
      <c r="P117" s="560">
        <f t="shared" si="15"/>
        <v>7950.6274931506869</v>
      </c>
      <c r="Q117" s="561"/>
    </row>
    <row r="118" spans="2:17" ht="15.75">
      <c r="B118" s="54">
        <v>114</v>
      </c>
      <c r="C118" s="549" t="s">
        <v>102</v>
      </c>
      <c r="D118" s="19">
        <v>42516</v>
      </c>
      <c r="E118" s="19">
        <v>44470</v>
      </c>
      <c r="F118" s="564">
        <f t="shared" si="13"/>
        <v>5.353424657534247</v>
      </c>
      <c r="G118" s="11">
        <v>8</v>
      </c>
      <c r="H118" s="564">
        <f t="shared" si="16"/>
        <v>-2.646575342465753</v>
      </c>
      <c r="I118" s="20">
        <f t="shared" si="10"/>
        <v>0.11874999999999999</v>
      </c>
      <c r="J118" s="567">
        <v>204040</v>
      </c>
      <c r="K118" s="566">
        <v>156773.56710843206</v>
      </c>
      <c r="L118" s="35">
        <v>0</v>
      </c>
      <c r="M118" s="18">
        <f t="shared" si="11"/>
        <v>204040</v>
      </c>
      <c r="N118" s="18">
        <f t="shared" si="12"/>
        <v>129712.14109589042</v>
      </c>
      <c r="O118" s="21">
        <f t="shared" si="14"/>
        <v>74327.858904109584</v>
      </c>
      <c r="P118" s="560">
        <f t="shared" si="15"/>
        <v>66895.073013698624</v>
      </c>
      <c r="Q118" s="561"/>
    </row>
    <row r="119" spans="2:17" ht="15.75">
      <c r="B119" s="54">
        <v>115</v>
      </c>
      <c r="C119" s="549" t="s">
        <v>102</v>
      </c>
      <c r="D119" s="19">
        <v>42517</v>
      </c>
      <c r="E119" s="19">
        <v>44470</v>
      </c>
      <c r="F119" s="564">
        <f t="shared" si="13"/>
        <v>5.3506849315068497</v>
      </c>
      <c r="G119" s="11">
        <v>8</v>
      </c>
      <c r="H119" s="564">
        <f>F119-G119</f>
        <v>-2.6493150684931503</v>
      </c>
      <c r="I119" s="20">
        <f t="shared" si="10"/>
        <v>0.11874999999999999</v>
      </c>
      <c r="J119" s="567">
        <v>35276</v>
      </c>
      <c r="K119" s="566">
        <v>27108.842776080888</v>
      </c>
      <c r="L119" s="35">
        <v>0</v>
      </c>
      <c r="M119" s="18">
        <f t="shared" si="11"/>
        <v>35276</v>
      </c>
      <c r="N119" s="18">
        <f t="shared" si="12"/>
        <v>22414.152945205478</v>
      </c>
      <c r="O119" s="21">
        <f t="shared" si="14"/>
        <v>12861.847054794522</v>
      </c>
      <c r="P119" s="560">
        <f t="shared" si="15"/>
        <v>11575.662349315069</v>
      </c>
      <c r="Q119" s="561"/>
    </row>
    <row r="120" spans="2:17" s="6" customFormat="1" ht="15.75">
      <c r="B120" s="54">
        <v>116</v>
      </c>
      <c r="C120" s="549" t="s">
        <v>102</v>
      </c>
      <c r="D120" s="19">
        <v>42522</v>
      </c>
      <c r="E120" s="19">
        <v>44470</v>
      </c>
      <c r="F120" s="564">
        <f t="shared" si="13"/>
        <v>5.3369863013698629</v>
      </c>
      <c r="G120" s="11">
        <v>8</v>
      </c>
      <c r="H120" s="564">
        <f>F120-G120</f>
        <v>-2.6630136986301371</v>
      </c>
      <c r="I120" s="20">
        <f t="shared" si="10"/>
        <v>0.11874999999999999</v>
      </c>
      <c r="J120" s="567">
        <v>177255.52</v>
      </c>
      <c r="K120" s="566">
        <v>136333.26083743293</v>
      </c>
      <c r="L120" s="35">
        <v>0</v>
      </c>
      <c r="M120" s="18">
        <f t="shared" si="11"/>
        <v>177255.52</v>
      </c>
      <c r="N120" s="18">
        <f t="shared" si="12"/>
        <v>112338.72099726026</v>
      </c>
      <c r="O120" s="21">
        <f t="shared" si="14"/>
        <v>64916.799002739732</v>
      </c>
      <c r="P120" s="560">
        <f t="shared" si="15"/>
        <v>58425.11910246576</v>
      </c>
      <c r="Q120" s="561"/>
    </row>
    <row r="121" spans="2:17" ht="15.75">
      <c r="B121" s="54">
        <v>117</v>
      </c>
      <c r="C121" s="549" t="s">
        <v>102</v>
      </c>
      <c r="D121" s="19">
        <v>42522</v>
      </c>
      <c r="E121" s="19">
        <v>44470</v>
      </c>
      <c r="F121" s="564">
        <f t="shared" si="13"/>
        <v>5.3369863013698629</v>
      </c>
      <c r="G121" s="11">
        <v>8</v>
      </c>
      <c r="H121" s="564">
        <f t="shared" ref="H121:H133" si="17">F121-G121</f>
        <v>-2.6630136986301371</v>
      </c>
      <c r="I121" s="20">
        <f t="shared" si="10"/>
        <v>0.11874999999999999</v>
      </c>
      <c r="J121" s="567">
        <v>43880.41</v>
      </c>
      <c r="K121" s="566">
        <v>33749.918660832118</v>
      </c>
      <c r="L121" s="35">
        <v>0</v>
      </c>
      <c r="M121" s="18">
        <f t="shared" si="11"/>
        <v>43880.41</v>
      </c>
      <c r="N121" s="18">
        <f t="shared" si="12"/>
        <v>27809.961214383562</v>
      </c>
      <c r="O121" s="21">
        <f t="shared" si="14"/>
        <v>16070.448785616441</v>
      </c>
      <c r="P121" s="560">
        <f t="shared" si="15"/>
        <v>14463.403907054797</v>
      </c>
      <c r="Q121" s="561"/>
    </row>
    <row r="122" spans="2:17" ht="15.75">
      <c r="B122" s="54">
        <v>118</v>
      </c>
      <c r="C122" s="549" t="s">
        <v>102</v>
      </c>
      <c r="D122" s="19">
        <v>42532</v>
      </c>
      <c r="E122" s="19">
        <v>44470</v>
      </c>
      <c r="F122" s="564">
        <f t="shared" si="13"/>
        <v>5.3095890410958901</v>
      </c>
      <c r="G122" s="11">
        <v>8</v>
      </c>
      <c r="H122" s="564">
        <f t="shared" si="17"/>
        <v>-2.6904109589041099</v>
      </c>
      <c r="I122" s="20">
        <f t="shared" si="10"/>
        <v>0.11874999999999999</v>
      </c>
      <c r="J122" s="567">
        <v>163268</v>
      </c>
      <c r="K122" s="566">
        <v>125789.09684355244</v>
      </c>
      <c r="L122" s="35">
        <v>0</v>
      </c>
      <c r="M122" s="18">
        <f t="shared" si="11"/>
        <v>163268</v>
      </c>
      <c r="N122" s="18">
        <f t="shared" si="12"/>
        <v>102942.7105479452</v>
      </c>
      <c r="O122" s="21">
        <f t="shared" si="14"/>
        <v>60325.2894520548</v>
      </c>
      <c r="P122" s="560">
        <f t="shared" si="15"/>
        <v>54292.760506849321</v>
      </c>
      <c r="Q122" s="561"/>
    </row>
    <row r="123" spans="2:17" ht="15.75">
      <c r="B123" s="54">
        <v>119</v>
      </c>
      <c r="C123" s="549" t="s">
        <v>102</v>
      </c>
      <c r="D123" s="19">
        <v>42532</v>
      </c>
      <c r="E123" s="19">
        <v>44470</v>
      </c>
      <c r="F123" s="564">
        <f t="shared" si="13"/>
        <v>5.3095890410958901</v>
      </c>
      <c r="G123" s="11">
        <v>8</v>
      </c>
      <c r="H123" s="564">
        <f t="shared" si="17"/>
        <v>-2.6904109589041099</v>
      </c>
      <c r="I123" s="20">
        <f t="shared" si="10"/>
        <v>0.11874999999999999</v>
      </c>
      <c r="J123" s="567">
        <v>47035</v>
      </c>
      <c r="K123" s="566">
        <v>36237.904366051458</v>
      </c>
      <c r="L123" s="35">
        <v>0</v>
      </c>
      <c r="M123" s="18">
        <f t="shared" si="11"/>
        <v>47035</v>
      </c>
      <c r="N123" s="18">
        <f t="shared" si="12"/>
        <v>29656.211815068491</v>
      </c>
      <c r="O123" s="21">
        <f t="shared" si="14"/>
        <v>17378.788184931509</v>
      </c>
      <c r="P123" s="560">
        <f t="shared" si="15"/>
        <v>15640.909366438358</v>
      </c>
      <c r="Q123" s="561"/>
    </row>
    <row r="124" spans="2:17" ht="15.75">
      <c r="B124" s="54">
        <v>120</v>
      </c>
      <c r="C124" s="549" t="s">
        <v>102</v>
      </c>
      <c r="D124" s="19">
        <v>42532</v>
      </c>
      <c r="E124" s="19">
        <v>44470</v>
      </c>
      <c r="F124" s="564">
        <f t="shared" si="13"/>
        <v>5.3095890410958901</v>
      </c>
      <c r="G124" s="11">
        <v>8</v>
      </c>
      <c r="H124" s="564">
        <f t="shared" si="17"/>
        <v>-2.6904109589041099</v>
      </c>
      <c r="I124" s="20">
        <f t="shared" si="10"/>
        <v>0.11874999999999999</v>
      </c>
      <c r="J124" s="567">
        <v>27608</v>
      </c>
      <c r="K124" s="566">
        <v>21270.459524565718</v>
      </c>
      <c r="L124" s="35">
        <v>0</v>
      </c>
      <c r="M124" s="18">
        <f t="shared" si="11"/>
        <v>27608</v>
      </c>
      <c r="N124" s="18">
        <f t="shared" si="12"/>
        <v>17407.22219178082</v>
      </c>
      <c r="O124" s="21">
        <f t="shared" si="14"/>
        <v>10200.77780821918</v>
      </c>
      <c r="P124" s="560">
        <f t="shared" si="15"/>
        <v>9180.7000273972626</v>
      </c>
      <c r="Q124" s="561"/>
    </row>
    <row r="125" spans="2:17" ht="15.75">
      <c r="B125" s="54">
        <v>121</v>
      </c>
      <c r="C125" s="549" t="s">
        <v>102</v>
      </c>
      <c r="D125" s="19">
        <v>42532</v>
      </c>
      <c r="E125" s="19">
        <v>44470</v>
      </c>
      <c r="F125" s="564">
        <f t="shared" si="13"/>
        <v>5.3095890410958901</v>
      </c>
      <c r="G125" s="11">
        <v>8</v>
      </c>
      <c r="H125" s="564">
        <f t="shared" si="17"/>
        <v>-2.6904109589041099</v>
      </c>
      <c r="I125" s="20">
        <f t="shared" si="10"/>
        <v>0.11874999999999999</v>
      </c>
      <c r="J125" s="567">
        <v>53988</v>
      </c>
      <c r="K125" s="566">
        <v>41594.811967989495</v>
      </c>
      <c r="L125" s="35">
        <v>0</v>
      </c>
      <c r="M125" s="18">
        <f t="shared" si="11"/>
        <v>53988</v>
      </c>
      <c r="N125" s="18">
        <f t="shared" si="12"/>
        <v>34040.173561643831</v>
      </c>
      <c r="O125" s="21">
        <f t="shared" si="14"/>
        <v>19947.826438356169</v>
      </c>
      <c r="P125" s="560">
        <f t="shared" si="15"/>
        <v>17953.043794520552</v>
      </c>
      <c r="Q125" s="561"/>
    </row>
    <row r="126" spans="2:17" ht="15.75">
      <c r="B126" s="54">
        <v>122</v>
      </c>
      <c r="C126" s="549" t="s">
        <v>102</v>
      </c>
      <c r="D126" s="19">
        <v>42532</v>
      </c>
      <c r="E126" s="19">
        <v>44470</v>
      </c>
      <c r="F126" s="564">
        <f t="shared" si="13"/>
        <v>5.3095890410958901</v>
      </c>
      <c r="G126" s="11">
        <v>8</v>
      </c>
      <c r="H126" s="564">
        <f t="shared" si="17"/>
        <v>-2.6904109589041099</v>
      </c>
      <c r="I126" s="20">
        <f t="shared" si="10"/>
        <v>0.11874999999999999</v>
      </c>
      <c r="J126" s="567">
        <v>135788</v>
      </c>
      <c r="K126" s="566">
        <v>104617.25434373117</v>
      </c>
      <c r="L126" s="35">
        <v>0</v>
      </c>
      <c r="M126" s="18">
        <f t="shared" si="11"/>
        <v>135788</v>
      </c>
      <c r="N126" s="18">
        <f t="shared" si="12"/>
        <v>85616.194109589036</v>
      </c>
      <c r="O126" s="21">
        <f t="shared" si="14"/>
        <v>50171.805890410964</v>
      </c>
      <c r="P126" s="560">
        <f t="shared" si="15"/>
        <v>45154.625301369866</v>
      </c>
      <c r="Q126" s="561"/>
    </row>
    <row r="127" spans="2:17" ht="15.75">
      <c r="B127" s="54">
        <v>123</v>
      </c>
      <c r="C127" s="549" t="s">
        <v>102</v>
      </c>
      <c r="D127" s="19">
        <v>42537</v>
      </c>
      <c r="E127" s="19">
        <v>44470</v>
      </c>
      <c r="F127" s="564">
        <f t="shared" si="13"/>
        <v>5.2958904109589042</v>
      </c>
      <c r="G127" s="11">
        <v>8</v>
      </c>
      <c r="H127" s="564">
        <f t="shared" si="17"/>
        <v>-2.7041095890410958</v>
      </c>
      <c r="I127" s="20">
        <f t="shared" si="10"/>
        <v>0.11874999999999999</v>
      </c>
      <c r="J127" s="567">
        <v>32925</v>
      </c>
      <c r="K127" s="566">
        <v>25388.507703559153</v>
      </c>
      <c r="L127" s="35">
        <v>0</v>
      </c>
      <c r="M127" s="18">
        <f t="shared" si="11"/>
        <v>32925</v>
      </c>
      <c r="N127" s="18">
        <f t="shared" si="12"/>
        <v>20706.104023972603</v>
      </c>
      <c r="O127" s="21">
        <f t="shared" si="14"/>
        <v>12218.895976027397</v>
      </c>
      <c r="P127" s="560">
        <f t="shared" si="15"/>
        <v>10997.006378424658</v>
      </c>
      <c r="Q127" s="561"/>
    </row>
    <row r="128" spans="2:17" ht="15.75">
      <c r="B128" s="54">
        <v>124</v>
      </c>
      <c r="C128" s="549" t="s">
        <v>102</v>
      </c>
      <c r="D128" s="19">
        <v>42537</v>
      </c>
      <c r="E128" s="19">
        <v>44470</v>
      </c>
      <c r="F128" s="564">
        <f t="shared" si="13"/>
        <v>5.2958904109589042</v>
      </c>
      <c r="G128" s="11">
        <v>8</v>
      </c>
      <c r="H128" s="564">
        <f t="shared" si="17"/>
        <v>-2.7041095890410958</v>
      </c>
      <c r="I128" s="20">
        <f t="shared" si="10"/>
        <v>0.11874999999999999</v>
      </c>
      <c r="J128" s="567">
        <v>19325</v>
      </c>
      <c r="K128" s="566">
        <v>14901.531097077619</v>
      </c>
      <c r="L128" s="35">
        <v>0</v>
      </c>
      <c r="M128" s="18">
        <f t="shared" si="11"/>
        <v>19325</v>
      </c>
      <c r="N128" s="18">
        <f t="shared" si="12"/>
        <v>12153.241010273972</v>
      </c>
      <c r="O128" s="21">
        <f t="shared" si="14"/>
        <v>7171.7589897260277</v>
      </c>
      <c r="P128" s="560">
        <f t="shared" si="15"/>
        <v>6454.5830907534255</v>
      </c>
      <c r="Q128" s="561"/>
    </row>
    <row r="129" spans="2:17" ht="15.75">
      <c r="B129" s="54">
        <v>125</v>
      </c>
      <c r="C129" s="549" t="s">
        <v>102</v>
      </c>
      <c r="D129" s="19">
        <v>42549</v>
      </c>
      <c r="E129" s="19">
        <v>44470</v>
      </c>
      <c r="F129" s="564">
        <f t="shared" si="13"/>
        <v>5.2630136986301368</v>
      </c>
      <c r="G129" s="11">
        <v>8</v>
      </c>
      <c r="H129" s="564">
        <f t="shared" si="17"/>
        <v>-2.7369863013698632</v>
      </c>
      <c r="I129" s="20">
        <f t="shared" si="10"/>
        <v>0.11874999999999999</v>
      </c>
      <c r="J129" s="567">
        <v>166054</v>
      </c>
      <c r="K129" s="566">
        <v>128305.76456426502</v>
      </c>
      <c r="L129" s="35">
        <v>0</v>
      </c>
      <c r="M129" s="18">
        <f t="shared" si="11"/>
        <v>166054</v>
      </c>
      <c r="N129" s="18">
        <f t="shared" si="12"/>
        <v>103780.90660958903</v>
      </c>
      <c r="O129" s="21">
        <f t="shared" si="14"/>
        <v>62273.09339041097</v>
      </c>
      <c r="P129" s="560">
        <f t="shared" si="15"/>
        <v>56045.784051369876</v>
      </c>
      <c r="Q129" s="561"/>
    </row>
    <row r="130" spans="2:17" ht="15.75">
      <c r="B130" s="54">
        <v>126</v>
      </c>
      <c r="C130" s="549" t="s">
        <v>102</v>
      </c>
      <c r="D130" s="19">
        <v>42550</v>
      </c>
      <c r="E130" s="19">
        <v>44470</v>
      </c>
      <c r="F130" s="564">
        <f t="shared" si="13"/>
        <v>5.2602739726027394</v>
      </c>
      <c r="G130" s="11">
        <v>8</v>
      </c>
      <c r="H130" s="564">
        <f t="shared" si="17"/>
        <v>-2.7397260273972606</v>
      </c>
      <c r="I130" s="20">
        <f t="shared" si="10"/>
        <v>0.11874999999999999</v>
      </c>
      <c r="J130" s="567">
        <v>136256</v>
      </c>
      <c r="K130" s="566">
        <v>105299.46577175061</v>
      </c>
      <c r="L130" s="35">
        <v>0</v>
      </c>
      <c r="M130" s="18">
        <f t="shared" si="11"/>
        <v>136256</v>
      </c>
      <c r="N130" s="18">
        <f t="shared" si="12"/>
        <v>85113.336986301365</v>
      </c>
      <c r="O130" s="21">
        <f t="shared" si="14"/>
        <v>51142.663013698635</v>
      </c>
      <c r="P130" s="560">
        <f t="shared" si="15"/>
        <v>46028.396712328773</v>
      </c>
      <c r="Q130" s="561"/>
    </row>
    <row r="131" spans="2:17" ht="15.75">
      <c r="B131" s="54">
        <v>127</v>
      </c>
      <c r="C131" s="549" t="s">
        <v>102</v>
      </c>
      <c r="D131" s="19">
        <v>42550</v>
      </c>
      <c r="E131" s="19">
        <v>44470</v>
      </c>
      <c r="F131" s="564">
        <f t="shared" si="13"/>
        <v>5.2602739726027394</v>
      </c>
      <c r="G131" s="11">
        <v>8</v>
      </c>
      <c r="H131" s="564">
        <f t="shared" si="17"/>
        <v>-2.7397260273972606</v>
      </c>
      <c r="I131" s="20">
        <f t="shared" si="10"/>
        <v>0.11874999999999999</v>
      </c>
      <c r="J131" s="567">
        <v>35276</v>
      </c>
      <c r="K131" s="566">
        <v>27261.507416658897</v>
      </c>
      <c r="L131" s="35">
        <v>0</v>
      </c>
      <c r="M131" s="18">
        <f t="shared" si="11"/>
        <v>35276</v>
      </c>
      <c r="N131" s="18">
        <f t="shared" si="12"/>
        <v>22035.419178082193</v>
      </c>
      <c r="O131" s="21">
        <f t="shared" si="14"/>
        <v>13240.580821917807</v>
      </c>
      <c r="P131" s="560">
        <f t="shared" si="15"/>
        <v>11916.522739726026</v>
      </c>
      <c r="Q131" s="561"/>
    </row>
    <row r="132" spans="2:17" ht="15.75">
      <c r="B132" s="54">
        <v>128</v>
      </c>
      <c r="C132" s="549" t="s">
        <v>102</v>
      </c>
      <c r="D132" s="19">
        <v>42550</v>
      </c>
      <c r="E132" s="19">
        <v>44470</v>
      </c>
      <c r="F132" s="564">
        <f t="shared" si="13"/>
        <v>5.2602739726027394</v>
      </c>
      <c r="G132" s="11">
        <v>8</v>
      </c>
      <c r="H132" s="564">
        <f t="shared" si="17"/>
        <v>-2.7397260273972606</v>
      </c>
      <c r="I132" s="20">
        <f t="shared" si="10"/>
        <v>0.11874999999999999</v>
      </c>
      <c r="J132" s="567">
        <v>31084</v>
      </c>
      <c r="K132" s="566">
        <v>24021.904312830968</v>
      </c>
      <c r="L132" s="35">
        <v>0</v>
      </c>
      <c r="M132" s="18">
        <f t="shared" si="11"/>
        <v>31084</v>
      </c>
      <c r="N132" s="18">
        <f t="shared" si="12"/>
        <v>19416.854794520546</v>
      </c>
      <c r="O132" s="21">
        <f t="shared" si="14"/>
        <v>11667.145205479454</v>
      </c>
      <c r="P132" s="560">
        <f t="shared" si="15"/>
        <v>10500.430684931509</v>
      </c>
      <c r="Q132" s="561"/>
    </row>
    <row r="133" spans="2:17" ht="15.75">
      <c r="B133" s="54">
        <v>129</v>
      </c>
      <c r="C133" s="549" t="s">
        <v>102</v>
      </c>
      <c r="D133" s="19">
        <v>42554</v>
      </c>
      <c r="E133" s="19">
        <v>44470</v>
      </c>
      <c r="F133" s="564">
        <f t="shared" si="13"/>
        <v>5.2493150684931509</v>
      </c>
      <c r="G133" s="11">
        <v>8</v>
      </c>
      <c r="H133" s="564">
        <f t="shared" si="17"/>
        <v>-2.7506849315068491</v>
      </c>
      <c r="I133" s="20">
        <f t="shared" ref="I133:I196" si="18">(95/G133/100)</f>
        <v>0.11874999999999999</v>
      </c>
      <c r="J133" s="567">
        <v>116188</v>
      </c>
      <c r="K133" s="566">
        <v>89851.74249733286</v>
      </c>
      <c r="L133" s="35">
        <v>0</v>
      </c>
      <c r="M133" s="18">
        <f t="shared" ref="M133:M196" si="19">J133*(1+L133)</f>
        <v>116188</v>
      </c>
      <c r="N133" s="18">
        <f t="shared" ref="N133:N196" si="20">F133*I133*M133</f>
        <v>72426.506027397263</v>
      </c>
      <c r="O133" s="21">
        <f t="shared" si="14"/>
        <v>43761.493972602737</v>
      </c>
      <c r="P133" s="560">
        <f t="shared" si="15"/>
        <v>39385.344575342468</v>
      </c>
      <c r="Q133" s="561"/>
    </row>
    <row r="134" spans="2:17" ht="15.75">
      <c r="B134" s="54">
        <v>130</v>
      </c>
      <c r="C134" s="549" t="s">
        <v>102</v>
      </c>
      <c r="D134" s="19">
        <v>42562</v>
      </c>
      <c r="E134" s="19">
        <v>44470</v>
      </c>
      <c r="F134" s="564">
        <f t="shared" ref="F134:F197" si="21">(E134-D134)/365</f>
        <v>5.2273972602739729</v>
      </c>
      <c r="G134" s="11">
        <v>8</v>
      </c>
      <c r="H134" s="564">
        <f>F134-G134</f>
        <v>-2.7726027397260271</v>
      </c>
      <c r="I134" s="20">
        <f t="shared" si="18"/>
        <v>0.11874999999999999</v>
      </c>
      <c r="J134" s="567">
        <v>238995.7</v>
      </c>
      <c r="K134" s="566">
        <v>185073.44418266404</v>
      </c>
      <c r="L134" s="35">
        <v>0</v>
      </c>
      <c r="M134" s="18">
        <f t="shared" si="19"/>
        <v>238995.7</v>
      </c>
      <c r="N134" s="18">
        <f t="shared" si="20"/>
        <v>148357.39925342466</v>
      </c>
      <c r="O134" s="21">
        <f t="shared" ref="O134:O197" si="22">IF(M134-N134&lt;=0,5%*M134,M134-N134)</f>
        <v>90638.300746575347</v>
      </c>
      <c r="P134" s="560">
        <f t="shared" ref="P134:P197" si="23">IF(O134=M134*5%,O134,O134*0.9)</f>
        <v>81574.470671917821</v>
      </c>
      <c r="Q134" s="561"/>
    </row>
    <row r="135" spans="2:17" ht="15.75">
      <c r="B135" s="54">
        <v>131</v>
      </c>
      <c r="C135" s="549" t="s">
        <v>102</v>
      </c>
      <c r="D135" s="19">
        <v>42563</v>
      </c>
      <c r="E135" s="19">
        <v>44470</v>
      </c>
      <c r="F135" s="564">
        <f t="shared" si="21"/>
        <v>5.2246575342465755</v>
      </c>
      <c r="G135" s="11">
        <v>8</v>
      </c>
      <c r="H135" s="564">
        <f t="shared" ref="H135:H138" si="24">F135-G135</f>
        <v>-2.7753424657534245</v>
      </c>
      <c r="I135" s="20">
        <f t="shared" si="18"/>
        <v>0.11874999999999999</v>
      </c>
      <c r="J135" s="567">
        <v>333028.27</v>
      </c>
      <c r="K135" s="566">
        <v>257934.04224537729</v>
      </c>
      <c r="L135" s="35">
        <v>0</v>
      </c>
      <c r="M135" s="18">
        <f t="shared" si="19"/>
        <v>333028.27</v>
      </c>
      <c r="N135" s="18">
        <f t="shared" si="20"/>
        <v>206620.09087174659</v>
      </c>
      <c r="O135" s="21">
        <f t="shared" si="22"/>
        <v>126408.17912825343</v>
      </c>
      <c r="P135" s="560">
        <f t="shared" si="23"/>
        <v>113767.36121542809</v>
      </c>
      <c r="Q135" s="561"/>
    </row>
    <row r="136" spans="2:17" ht="15.75">
      <c r="B136" s="54">
        <v>132</v>
      </c>
      <c r="C136" s="549" t="s">
        <v>102</v>
      </c>
      <c r="D136" s="19">
        <v>42563</v>
      </c>
      <c r="E136" s="19">
        <v>44470</v>
      </c>
      <c r="F136" s="564">
        <f t="shared" si="21"/>
        <v>5.2246575342465755</v>
      </c>
      <c r="G136" s="11">
        <v>8</v>
      </c>
      <c r="H136" s="564">
        <f t="shared" si="24"/>
        <v>-2.7753424657534245</v>
      </c>
      <c r="I136" s="20">
        <f t="shared" si="18"/>
        <v>0.11874999999999999</v>
      </c>
      <c r="J136" s="567">
        <v>315850.25</v>
      </c>
      <c r="K136" s="566">
        <v>244629.47763177278</v>
      </c>
      <c r="L136" s="35">
        <v>0</v>
      </c>
      <c r="M136" s="18">
        <f t="shared" si="19"/>
        <v>315850.25</v>
      </c>
      <c r="N136" s="18">
        <f t="shared" si="20"/>
        <v>195962.36486729453</v>
      </c>
      <c r="O136" s="21">
        <f t="shared" si="22"/>
        <v>119887.88513270547</v>
      </c>
      <c r="P136" s="560">
        <f t="shared" si="23"/>
        <v>107899.09661943493</v>
      </c>
      <c r="Q136" s="561"/>
    </row>
    <row r="137" spans="2:17" ht="15.75">
      <c r="B137" s="54">
        <v>133</v>
      </c>
      <c r="C137" s="549" t="s">
        <v>102</v>
      </c>
      <c r="D137" s="19">
        <v>42564</v>
      </c>
      <c r="E137" s="19">
        <v>44470</v>
      </c>
      <c r="F137" s="564">
        <f t="shared" si="21"/>
        <v>5.2219178082191782</v>
      </c>
      <c r="G137" s="11">
        <v>8</v>
      </c>
      <c r="H137" s="564">
        <f t="shared" si="24"/>
        <v>-2.7780821917808218</v>
      </c>
      <c r="I137" s="20">
        <f t="shared" si="18"/>
        <v>0.11874999999999999</v>
      </c>
      <c r="J137" s="567">
        <v>36441</v>
      </c>
      <c r="K137" s="566">
        <v>28228.732593261713</v>
      </c>
      <c r="L137" s="35">
        <v>0</v>
      </c>
      <c r="M137" s="18">
        <f t="shared" si="19"/>
        <v>36441</v>
      </c>
      <c r="N137" s="18">
        <f t="shared" si="20"/>
        <v>22597.163938356163</v>
      </c>
      <c r="O137" s="21">
        <f t="shared" si="22"/>
        <v>13843.836061643837</v>
      </c>
      <c r="P137" s="560">
        <f t="shared" si="23"/>
        <v>12459.452455479453</v>
      </c>
      <c r="Q137" s="561"/>
    </row>
    <row r="138" spans="2:17" ht="15.75">
      <c r="B138" s="54">
        <v>134</v>
      </c>
      <c r="C138" s="549" t="s">
        <v>102</v>
      </c>
      <c r="D138" s="19">
        <v>42565</v>
      </c>
      <c r="E138" s="19">
        <v>44470</v>
      </c>
      <c r="F138" s="564">
        <f t="shared" si="21"/>
        <v>5.2191780821917808</v>
      </c>
      <c r="G138" s="11">
        <v>8</v>
      </c>
      <c r="H138" s="564">
        <f t="shared" si="24"/>
        <v>-2.7808219178082192</v>
      </c>
      <c r="I138" s="20">
        <f t="shared" si="18"/>
        <v>0.11874999999999999</v>
      </c>
      <c r="J138" s="567">
        <v>23142.68</v>
      </c>
      <c r="K138" s="566">
        <v>17930.329145690604</v>
      </c>
      <c r="L138" s="35">
        <v>0</v>
      </c>
      <c r="M138" s="18">
        <f t="shared" si="19"/>
        <v>23142.68</v>
      </c>
      <c r="N138" s="18">
        <f t="shared" si="20"/>
        <v>14343.309976027396</v>
      </c>
      <c r="O138" s="21">
        <f t="shared" si="22"/>
        <v>8799.370023972604</v>
      </c>
      <c r="P138" s="560">
        <f t="shared" si="23"/>
        <v>7919.4330215753434</v>
      </c>
      <c r="Q138" s="561"/>
    </row>
    <row r="139" spans="2:17" ht="15.75">
      <c r="B139" s="54">
        <v>135</v>
      </c>
      <c r="C139" s="549" t="s">
        <v>102</v>
      </c>
      <c r="D139" s="19">
        <v>42566</v>
      </c>
      <c r="E139" s="19">
        <v>44470</v>
      </c>
      <c r="F139" s="564">
        <f t="shared" si="21"/>
        <v>5.2164383561643834</v>
      </c>
      <c r="G139" s="11">
        <v>8</v>
      </c>
      <c r="H139" s="564">
        <f>F139-G139</f>
        <v>-2.7835616438356166</v>
      </c>
      <c r="I139" s="20">
        <f t="shared" si="18"/>
        <v>0.11874999999999999</v>
      </c>
      <c r="J139" s="567">
        <v>150256</v>
      </c>
      <c r="K139" s="566">
        <v>116434.03297581204</v>
      </c>
      <c r="L139" s="35">
        <v>0</v>
      </c>
      <c r="M139" s="18">
        <f t="shared" si="19"/>
        <v>150256</v>
      </c>
      <c r="N139" s="18">
        <f t="shared" si="20"/>
        <v>93076.387945205468</v>
      </c>
      <c r="O139" s="21">
        <f t="shared" si="22"/>
        <v>57179.612054794532</v>
      </c>
      <c r="P139" s="560">
        <f t="shared" si="23"/>
        <v>51461.650849315083</v>
      </c>
      <c r="Q139" s="561"/>
    </row>
    <row r="140" spans="2:17" ht="15.75">
      <c r="B140" s="54">
        <v>136</v>
      </c>
      <c r="C140" s="549" t="s">
        <v>102</v>
      </c>
      <c r="D140" s="19">
        <v>42566</v>
      </c>
      <c r="E140" s="19">
        <v>44470</v>
      </c>
      <c r="F140" s="564">
        <f t="shared" si="21"/>
        <v>5.2164383561643834</v>
      </c>
      <c r="G140" s="11">
        <v>8</v>
      </c>
      <c r="H140" s="564">
        <f>F140-G140</f>
        <v>-2.7835616438356166</v>
      </c>
      <c r="I140" s="20">
        <f t="shared" si="18"/>
        <v>0.11874999999999999</v>
      </c>
      <c r="J140" s="567">
        <v>31084</v>
      </c>
      <c r="K140" s="566">
        <v>24087.127841950682</v>
      </c>
      <c r="L140" s="35">
        <v>0</v>
      </c>
      <c r="M140" s="18">
        <f t="shared" si="19"/>
        <v>31084</v>
      </c>
      <c r="N140" s="18">
        <f t="shared" si="20"/>
        <v>19255.047671232875</v>
      </c>
      <c r="O140" s="21">
        <f t="shared" si="22"/>
        <v>11828.952328767125</v>
      </c>
      <c r="P140" s="560">
        <f t="shared" si="23"/>
        <v>10646.057095890414</v>
      </c>
      <c r="Q140" s="561"/>
    </row>
    <row r="141" spans="2:17" ht="15.75">
      <c r="B141" s="54">
        <v>137</v>
      </c>
      <c r="C141" s="549" t="s">
        <v>102</v>
      </c>
      <c r="D141" s="19">
        <v>42566</v>
      </c>
      <c r="E141" s="19">
        <v>44470</v>
      </c>
      <c r="F141" s="564">
        <f t="shared" si="21"/>
        <v>5.2164383561643834</v>
      </c>
      <c r="G141" s="11">
        <v>8</v>
      </c>
      <c r="H141" s="564">
        <f t="shared" ref="H141:H153" si="25">F141-G141</f>
        <v>-2.7835616438356166</v>
      </c>
      <c r="I141" s="20">
        <f t="shared" si="18"/>
        <v>0.11874999999999999</v>
      </c>
      <c r="J141" s="567">
        <v>70553</v>
      </c>
      <c r="K141" s="566">
        <v>54671.828935566409</v>
      </c>
      <c r="L141" s="35">
        <v>0</v>
      </c>
      <c r="M141" s="18">
        <f t="shared" si="19"/>
        <v>70553</v>
      </c>
      <c r="N141" s="18">
        <f t="shared" si="20"/>
        <v>43704.200821917802</v>
      </c>
      <c r="O141" s="21">
        <f t="shared" si="22"/>
        <v>26848.799178082198</v>
      </c>
      <c r="P141" s="560">
        <f t="shared" si="23"/>
        <v>24163.919260273979</v>
      </c>
      <c r="Q141" s="561"/>
    </row>
    <row r="142" spans="2:17" ht="15.75">
      <c r="B142" s="54">
        <v>138</v>
      </c>
      <c r="C142" s="549" t="s">
        <v>102</v>
      </c>
      <c r="D142" s="19">
        <v>42583</v>
      </c>
      <c r="E142" s="19">
        <v>44470</v>
      </c>
      <c r="F142" s="564">
        <f t="shared" si="21"/>
        <v>5.1698630136986301</v>
      </c>
      <c r="G142" s="11">
        <v>8</v>
      </c>
      <c r="H142" s="564">
        <f t="shared" si="25"/>
        <v>-2.8301369863013699</v>
      </c>
      <c r="I142" s="20">
        <f t="shared" si="18"/>
        <v>0.11874999999999999</v>
      </c>
      <c r="J142" s="567">
        <v>20706</v>
      </c>
      <c r="K142" s="566">
        <v>16091.333154860489</v>
      </c>
      <c r="L142" s="35">
        <v>0</v>
      </c>
      <c r="M142" s="18">
        <f t="shared" si="19"/>
        <v>20706</v>
      </c>
      <c r="N142" s="18">
        <f t="shared" si="20"/>
        <v>12711.853047945206</v>
      </c>
      <c r="O142" s="21">
        <f t="shared" si="22"/>
        <v>7994.1469520547944</v>
      </c>
      <c r="P142" s="560">
        <f t="shared" si="23"/>
        <v>7194.7322568493155</v>
      </c>
      <c r="Q142" s="561"/>
    </row>
    <row r="143" spans="2:17" ht="15.75">
      <c r="B143" s="54">
        <v>139</v>
      </c>
      <c r="C143" s="549" t="s">
        <v>102</v>
      </c>
      <c r="D143" s="19">
        <v>42583</v>
      </c>
      <c r="E143" s="19">
        <v>44470</v>
      </c>
      <c r="F143" s="564">
        <f t="shared" si="21"/>
        <v>5.1698630136986301</v>
      </c>
      <c r="G143" s="11">
        <v>8</v>
      </c>
      <c r="H143" s="564">
        <f t="shared" si="25"/>
        <v>-2.8301369863013699</v>
      </c>
      <c r="I143" s="20">
        <f t="shared" si="18"/>
        <v>0.11874999999999999</v>
      </c>
      <c r="J143" s="567">
        <v>58794</v>
      </c>
      <c r="K143" s="566">
        <v>45690.806602282792</v>
      </c>
      <c r="L143" s="35">
        <v>0</v>
      </c>
      <c r="M143" s="18">
        <f t="shared" si="19"/>
        <v>58794</v>
      </c>
      <c r="N143" s="18">
        <f t="shared" si="20"/>
        <v>36094.884965753423</v>
      </c>
      <c r="O143" s="21">
        <f t="shared" si="22"/>
        <v>22699.115034246577</v>
      </c>
      <c r="P143" s="560">
        <f t="shared" si="23"/>
        <v>20429.20353082192</v>
      </c>
      <c r="Q143" s="561"/>
    </row>
    <row r="144" spans="2:17" ht="15.75">
      <c r="B144" s="54">
        <v>140</v>
      </c>
      <c r="C144" s="549" t="s">
        <v>102</v>
      </c>
      <c r="D144" s="19">
        <v>42583</v>
      </c>
      <c r="E144" s="19">
        <v>44470</v>
      </c>
      <c r="F144" s="564">
        <f t="shared" si="21"/>
        <v>5.1698630136986301</v>
      </c>
      <c r="G144" s="11">
        <v>8</v>
      </c>
      <c r="H144" s="564">
        <f t="shared" si="25"/>
        <v>-2.8301369863013699</v>
      </c>
      <c r="I144" s="20">
        <f t="shared" si="18"/>
        <v>0.11874999999999999</v>
      </c>
      <c r="J144" s="567">
        <v>168457</v>
      </c>
      <c r="K144" s="566">
        <v>130913.63417696964</v>
      </c>
      <c r="L144" s="35">
        <v>0</v>
      </c>
      <c r="M144" s="18">
        <f t="shared" si="19"/>
        <v>168457</v>
      </c>
      <c r="N144" s="18">
        <f t="shared" si="20"/>
        <v>103419.32912671233</v>
      </c>
      <c r="O144" s="21">
        <f t="shared" si="22"/>
        <v>65037.670873287672</v>
      </c>
      <c r="P144" s="560">
        <f t="shared" si="23"/>
        <v>58533.903785958908</v>
      </c>
      <c r="Q144" s="561"/>
    </row>
    <row r="145" spans="2:17" ht="15.75">
      <c r="B145" s="54">
        <v>141</v>
      </c>
      <c r="C145" s="549" t="s">
        <v>102</v>
      </c>
      <c r="D145" s="19">
        <v>42590</v>
      </c>
      <c r="E145" s="19">
        <v>44470</v>
      </c>
      <c r="F145" s="564">
        <f t="shared" si="21"/>
        <v>5.1506849315068495</v>
      </c>
      <c r="G145" s="11">
        <v>8</v>
      </c>
      <c r="H145" s="564">
        <f t="shared" si="25"/>
        <v>-2.8493150684931505</v>
      </c>
      <c r="I145" s="20">
        <f t="shared" si="18"/>
        <v>0.11874999999999999</v>
      </c>
      <c r="J145" s="567">
        <v>47035</v>
      </c>
      <c r="K145" s="566">
        <v>36595.668514227778</v>
      </c>
      <c r="L145" s="35">
        <v>0</v>
      </c>
      <c r="M145" s="18">
        <f t="shared" si="19"/>
        <v>47035</v>
      </c>
      <c r="N145" s="18">
        <f t="shared" si="20"/>
        <v>28768.667808219176</v>
      </c>
      <c r="O145" s="21">
        <f t="shared" si="22"/>
        <v>18266.332191780824</v>
      </c>
      <c r="P145" s="560">
        <f t="shared" si="23"/>
        <v>16439.698972602742</v>
      </c>
      <c r="Q145" s="561"/>
    </row>
    <row r="146" spans="2:17" ht="15.75">
      <c r="B146" s="54">
        <v>142</v>
      </c>
      <c r="C146" s="549" t="s">
        <v>102</v>
      </c>
      <c r="D146" s="19">
        <v>42594</v>
      </c>
      <c r="E146" s="19">
        <v>44470</v>
      </c>
      <c r="F146" s="564">
        <f t="shared" si="21"/>
        <v>5.13972602739726</v>
      </c>
      <c r="G146" s="11">
        <v>8</v>
      </c>
      <c r="H146" s="564">
        <f t="shared" si="25"/>
        <v>-2.86027397260274</v>
      </c>
      <c r="I146" s="20">
        <f t="shared" si="18"/>
        <v>0.11874999999999999</v>
      </c>
      <c r="J146" s="567">
        <v>13804</v>
      </c>
      <c r="K146" s="566">
        <v>10747.468944763285</v>
      </c>
      <c r="L146" s="35">
        <v>0</v>
      </c>
      <c r="M146" s="18">
        <f t="shared" si="19"/>
        <v>13804</v>
      </c>
      <c r="N146" s="18">
        <f t="shared" si="20"/>
        <v>8425.167397260273</v>
      </c>
      <c r="O146" s="21">
        <f t="shared" si="22"/>
        <v>5378.832602739727</v>
      </c>
      <c r="P146" s="560">
        <f t="shared" si="23"/>
        <v>4840.9493424657549</v>
      </c>
      <c r="Q146" s="561"/>
    </row>
    <row r="147" spans="2:17" ht="15.75">
      <c r="B147" s="54">
        <v>143</v>
      </c>
      <c r="C147" s="549" t="s">
        <v>102</v>
      </c>
      <c r="D147" s="19">
        <v>42594</v>
      </c>
      <c r="E147" s="19">
        <v>44470</v>
      </c>
      <c r="F147" s="564">
        <f t="shared" si="21"/>
        <v>5.13972602739726</v>
      </c>
      <c r="G147" s="11">
        <v>8</v>
      </c>
      <c r="H147" s="564">
        <f t="shared" si="25"/>
        <v>-2.86027397260274</v>
      </c>
      <c r="I147" s="20">
        <f t="shared" si="18"/>
        <v>0.11874999999999999</v>
      </c>
      <c r="J147" s="567">
        <v>199592</v>
      </c>
      <c r="K147" s="566">
        <v>155397.62544358108</v>
      </c>
      <c r="L147" s="35">
        <v>0</v>
      </c>
      <c r="M147" s="18">
        <f t="shared" si="19"/>
        <v>199592</v>
      </c>
      <c r="N147" s="18">
        <f t="shared" si="20"/>
        <v>121819.47342465751</v>
      </c>
      <c r="O147" s="21">
        <f t="shared" si="22"/>
        <v>77772.52657534249</v>
      </c>
      <c r="P147" s="560">
        <f t="shared" si="23"/>
        <v>69995.273917808241</v>
      </c>
      <c r="Q147" s="561"/>
    </row>
    <row r="148" spans="2:17" ht="15.75">
      <c r="B148" s="54">
        <v>144</v>
      </c>
      <c r="C148" s="549" t="s">
        <v>102</v>
      </c>
      <c r="D148" s="19">
        <v>42594</v>
      </c>
      <c r="E148" s="19">
        <v>44470</v>
      </c>
      <c r="F148" s="564">
        <f t="shared" si="21"/>
        <v>5.13972602739726</v>
      </c>
      <c r="G148" s="11">
        <v>8</v>
      </c>
      <c r="H148" s="564">
        <f t="shared" si="25"/>
        <v>-2.86027397260274</v>
      </c>
      <c r="I148" s="20">
        <f t="shared" si="18"/>
        <v>0.11874999999999999</v>
      </c>
      <c r="J148" s="567">
        <v>145706.26</v>
      </c>
      <c r="K148" s="566">
        <v>113443.45873714899</v>
      </c>
      <c r="L148" s="35">
        <v>0</v>
      </c>
      <c r="M148" s="18">
        <f t="shared" si="19"/>
        <v>145706.26</v>
      </c>
      <c r="N148" s="18">
        <f t="shared" si="20"/>
        <v>88930.718004109585</v>
      </c>
      <c r="O148" s="21">
        <f t="shared" si="22"/>
        <v>56775.541995890424</v>
      </c>
      <c r="P148" s="560">
        <f t="shared" si="23"/>
        <v>51097.987796301386</v>
      </c>
      <c r="Q148" s="561"/>
    </row>
    <row r="149" spans="2:17" ht="15.75">
      <c r="B149" s="54">
        <v>145</v>
      </c>
      <c r="C149" s="549" t="s">
        <v>102</v>
      </c>
      <c r="D149" s="19">
        <v>42594</v>
      </c>
      <c r="E149" s="19">
        <v>44470</v>
      </c>
      <c r="F149" s="564">
        <f t="shared" si="21"/>
        <v>5.13972602739726</v>
      </c>
      <c r="G149" s="11">
        <v>8</v>
      </c>
      <c r="H149" s="564">
        <f t="shared" si="25"/>
        <v>-2.86027397260274</v>
      </c>
      <c r="I149" s="20">
        <f t="shared" si="18"/>
        <v>0.11874999999999999</v>
      </c>
      <c r="J149" s="567">
        <v>142843.25</v>
      </c>
      <c r="K149" s="566">
        <v>111214.38665198913</v>
      </c>
      <c r="L149" s="35">
        <v>0</v>
      </c>
      <c r="M149" s="18">
        <f t="shared" si="19"/>
        <v>142843.25</v>
      </c>
      <c r="N149" s="18">
        <f t="shared" si="20"/>
        <v>87183.301421232856</v>
      </c>
      <c r="O149" s="21">
        <f t="shared" si="22"/>
        <v>55659.948578767144</v>
      </c>
      <c r="P149" s="560">
        <f t="shared" si="23"/>
        <v>50093.953720890429</v>
      </c>
      <c r="Q149" s="561"/>
    </row>
    <row r="150" spans="2:17" ht="15.75">
      <c r="B150" s="54">
        <v>146</v>
      </c>
      <c r="C150" s="549" t="s">
        <v>102</v>
      </c>
      <c r="D150" s="19">
        <v>42609</v>
      </c>
      <c r="E150" s="19">
        <v>44470</v>
      </c>
      <c r="F150" s="564">
        <f t="shared" si="21"/>
        <v>5.0986301369863014</v>
      </c>
      <c r="G150" s="11">
        <v>8</v>
      </c>
      <c r="H150" s="564">
        <f t="shared" si="25"/>
        <v>-2.9013698630136986</v>
      </c>
      <c r="I150" s="20">
        <f t="shared" si="18"/>
        <v>0.11874999999999999</v>
      </c>
      <c r="J150" s="567">
        <v>99579</v>
      </c>
      <c r="K150" s="566">
        <v>77725.750756362002</v>
      </c>
      <c r="L150" s="35">
        <v>0</v>
      </c>
      <c r="M150" s="18">
        <f t="shared" si="19"/>
        <v>99579</v>
      </c>
      <c r="N150" s="18">
        <f t="shared" si="20"/>
        <v>60291.333236301369</v>
      </c>
      <c r="O150" s="21">
        <f t="shared" si="22"/>
        <v>39287.666763698631</v>
      </c>
      <c r="P150" s="560">
        <f t="shared" si="23"/>
        <v>35358.900087328766</v>
      </c>
      <c r="Q150" s="561"/>
    </row>
    <row r="151" spans="2:17" ht="15.75">
      <c r="B151" s="54">
        <v>147</v>
      </c>
      <c r="C151" s="549" t="s">
        <v>102</v>
      </c>
      <c r="D151" s="19">
        <v>42614</v>
      </c>
      <c r="E151" s="19">
        <v>44470</v>
      </c>
      <c r="F151" s="564">
        <f t="shared" si="21"/>
        <v>5.0849315068493155</v>
      </c>
      <c r="G151" s="11">
        <v>8</v>
      </c>
      <c r="H151" s="564">
        <f t="shared" si="25"/>
        <v>-2.9150684931506845</v>
      </c>
      <c r="I151" s="20">
        <f t="shared" si="18"/>
        <v>0.11874999999999999</v>
      </c>
      <c r="J151" s="567">
        <v>53681.25</v>
      </c>
      <c r="K151" s="566">
        <v>41935.75609123805</v>
      </c>
      <c r="L151" s="35">
        <v>0</v>
      </c>
      <c r="M151" s="18">
        <f t="shared" si="19"/>
        <v>53681.25</v>
      </c>
      <c r="N151" s="18">
        <f t="shared" si="20"/>
        <v>32414.650684931505</v>
      </c>
      <c r="O151" s="21">
        <f t="shared" si="22"/>
        <v>21266.599315068495</v>
      </c>
      <c r="P151" s="560">
        <f t="shared" si="23"/>
        <v>19139.939383561647</v>
      </c>
      <c r="Q151" s="561"/>
    </row>
    <row r="152" spans="2:17" ht="15.75">
      <c r="B152" s="54">
        <v>148</v>
      </c>
      <c r="C152" s="549" t="s">
        <v>102</v>
      </c>
      <c r="D152" s="19">
        <v>42615</v>
      </c>
      <c r="E152" s="19">
        <v>44470</v>
      </c>
      <c r="F152" s="564">
        <f t="shared" si="21"/>
        <v>5.0821917808219181</v>
      </c>
      <c r="G152" s="11">
        <v>8</v>
      </c>
      <c r="H152" s="564">
        <f t="shared" si="25"/>
        <v>-2.9178082191780819</v>
      </c>
      <c r="I152" s="20">
        <f t="shared" si="18"/>
        <v>0.11874999999999999</v>
      </c>
      <c r="J152" s="567">
        <v>178835</v>
      </c>
      <c r="K152" s="566">
        <v>139729.23406076847</v>
      </c>
      <c r="L152" s="35">
        <v>0</v>
      </c>
      <c r="M152" s="18">
        <f t="shared" si="19"/>
        <v>178835</v>
      </c>
      <c r="N152" s="18">
        <f t="shared" si="20"/>
        <v>107928.75984589041</v>
      </c>
      <c r="O152" s="21">
        <f t="shared" si="22"/>
        <v>70906.24015410959</v>
      </c>
      <c r="P152" s="560">
        <f t="shared" si="23"/>
        <v>63815.616138698635</v>
      </c>
      <c r="Q152" s="561"/>
    </row>
    <row r="153" spans="2:17" ht="15.75">
      <c r="B153" s="54">
        <v>149</v>
      </c>
      <c r="C153" s="549" t="s">
        <v>102</v>
      </c>
      <c r="D153" s="19">
        <v>42616</v>
      </c>
      <c r="E153" s="19">
        <v>44470</v>
      </c>
      <c r="F153" s="564">
        <f t="shared" si="21"/>
        <v>5.0794520547945208</v>
      </c>
      <c r="G153" s="11">
        <v>8</v>
      </c>
      <c r="H153" s="564">
        <f t="shared" si="25"/>
        <v>-2.9205479452054792</v>
      </c>
      <c r="I153" s="20">
        <f t="shared" si="18"/>
        <v>0.11874999999999999</v>
      </c>
      <c r="J153" s="567">
        <v>27608</v>
      </c>
      <c r="K153" s="566">
        <v>21574.592189849711</v>
      </c>
      <c r="L153" s="35">
        <v>0</v>
      </c>
      <c r="M153" s="18">
        <f t="shared" si="19"/>
        <v>27608</v>
      </c>
      <c r="N153" s="18">
        <f t="shared" si="20"/>
        <v>16652.729589041093</v>
      </c>
      <c r="O153" s="21">
        <f t="shared" si="22"/>
        <v>10955.270410958907</v>
      </c>
      <c r="P153" s="560">
        <f t="shared" si="23"/>
        <v>9859.7433698630157</v>
      </c>
      <c r="Q153" s="561"/>
    </row>
    <row r="154" spans="2:17" ht="15.75">
      <c r="B154" s="54">
        <v>150</v>
      </c>
      <c r="C154" s="549" t="s">
        <v>102</v>
      </c>
      <c r="D154" s="19">
        <v>42616</v>
      </c>
      <c r="E154" s="19">
        <v>44470</v>
      </c>
      <c r="F154" s="564">
        <f t="shared" si="21"/>
        <v>5.0794520547945208</v>
      </c>
      <c r="G154" s="11">
        <v>8</v>
      </c>
      <c r="H154" s="564">
        <f>F154-G154</f>
        <v>-2.9205479452054792</v>
      </c>
      <c r="I154" s="20">
        <f t="shared" si="18"/>
        <v>0.11874999999999999</v>
      </c>
      <c r="J154" s="567">
        <v>70553</v>
      </c>
      <c r="K154" s="566">
        <v>55134.461126139766</v>
      </c>
      <c r="L154" s="35">
        <v>0</v>
      </c>
      <c r="M154" s="18">
        <f t="shared" si="19"/>
        <v>70553</v>
      </c>
      <c r="N154" s="18">
        <f t="shared" si="20"/>
        <v>42556.506472602734</v>
      </c>
      <c r="O154" s="21">
        <f t="shared" si="22"/>
        <v>27996.493527397266</v>
      </c>
      <c r="P154" s="560">
        <f t="shared" si="23"/>
        <v>25196.844174657541</v>
      </c>
      <c r="Q154" s="561"/>
    </row>
    <row r="155" spans="2:17" ht="15.75">
      <c r="B155" s="54">
        <v>151</v>
      </c>
      <c r="C155" s="549" t="s">
        <v>102</v>
      </c>
      <c r="D155" s="19">
        <v>42617</v>
      </c>
      <c r="E155" s="19">
        <v>44470</v>
      </c>
      <c r="F155" s="564">
        <f t="shared" si="21"/>
        <v>5.0767123287671234</v>
      </c>
      <c r="G155" s="11">
        <v>8</v>
      </c>
      <c r="H155" s="564">
        <f t="shared" ref="H155:H218" si="26">F155-G155</f>
        <v>-2.9232876712328766</v>
      </c>
      <c r="I155" s="20">
        <f t="shared" si="18"/>
        <v>0.11874999999999999</v>
      </c>
      <c r="J155" s="567">
        <v>4859</v>
      </c>
      <c r="K155" s="566">
        <v>3797.7592085574906</v>
      </c>
      <c r="L155" s="35">
        <v>0</v>
      </c>
      <c r="M155" s="18">
        <f t="shared" si="19"/>
        <v>4859</v>
      </c>
      <c r="N155" s="18">
        <f t="shared" si="20"/>
        <v>2929.2947431506846</v>
      </c>
      <c r="O155" s="21">
        <f t="shared" si="22"/>
        <v>1929.7052568493154</v>
      </c>
      <c r="P155" s="560">
        <f t="shared" si="23"/>
        <v>1736.7347311643839</v>
      </c>
      <c r="Q155" s="561"/>
    </row>
    <row r="156" spans="2:17" ht="15.75">
      <c r="B156" s="54">
        <v>152</v>
      </c>
      <c r="C156" s="549" t="s">
        <v>102</v>
      </c>
      <c r="D156" s="19">
        <v>42619</v>
      </c>
      <c r="E156" s="19">
        <v>44470</v>
      </c>
      <c r="F156" s="564">
        <f t="shared" si="21"/>
        <v>5.0712328767123287</v>
      </c>
      <c r="G156" s="11">
        <v>8</v>
      </c>
      <c r="H156" s="564">
        <f t="shared" si="26"/>
        <v>-2.9287671232876713</v>
      </c>
      <c r="I156" s="20">
        <f t="shared" si="18"/>
        <v>0.11874999999999999</v>
      </c>
      <c r="J156" s="567">
        <v>7288</v>
      </c>
      <c r="K156" s="566">
        <v>5698.15959040076</v>
      </c>
      <c r="L156" s="35">
        <v>0</v>
      </c>
      <c r="M156" s="18">
        <f t="shared" si="19"/>
        <v>7288</v>
      </c>
      <c r="N156" s="18">
        <f t="shared" si="20"/>
        <v>4388.8984931506848</v>
      </c>
      <c r="O156" s="21">
        <f t="shared" si="22"/>
        <v>2899.1015068493152</v>
      </c>
      <c r="P156" s="560">
        <f t="shared" si="23"/>
        <v>2609.1913561643837</v>
      </c>
      <c r="Q156" s="561"/>
    </row>
    <row r="157" spans="2:17" ht="15.75">
      <c r="B157" s="54">
        <v>153</v>
      </c>
      <c r="C157" s="549" t="s">
        <v>102</v>
      </c>
      <c r="D157" s="19">
        <v>42621</v>
      </c>
      <c r="E157" s="19">
        <v>44470</v>
      </c>
      <c r="F157" s="564">
        <f t="shared" si="21"/>
        <v>5.065753424657534</v>
      </c>
      <c r="G157" s="11">
        <v>8</v>
      </c>
      <c r="H157" s="564">
        <f t="shared" si="26"/>
        <v>-2.934246575342466</v>
      </c>
      <c r="I157" s="20">
        <f t="shared" si="18"/>
        <v>0.11874999999999999</v>
      </c>
      <c r="J157" s="567">
        <v>235016</v>
      </c>
      <c r="K157" s="566">
        <v>183810.08849347485</v>
      </c>
      <c r="L157" s="35">
        <v>0</v>
      </c>
      <c r="M157" s="18">
        <f t="shared" si="19"/>
        <v>235016</v>
      </c>
      <c r="N157" s="18">
        <f t="shared" si="20"/>
        <v>141375.80643835617</v>
      </c>
      <c r="O157" s="21">
        <f t="shared" si="22"/>
        <v>93640.193561643828</v>
      </c>
      <c r="P157" s="560">
        <f t="shared" si="23"/>
        <v>84276.174205479445</v>
      </c>
      <c r="Q157" s="561"/>
    </row>
    <row r="158" spans="2:17" ht="15.75">
      <c r="B158" s="54">
        <v>154</v>
      </c>
      <c r="C158" s="549" t="s">
        <v>102</v>
      </c>
      <c r="D158" s="19">
        <v>42626</v>
      </c>
      <c r="E158" s="19">
        <v>44470</v>
      </c>
      <c r="F158" s="564">
        <f t="shared" si="21"/>
        <v>5.0520547945205481</v>
      </c>
      <c r="G158" s="11">
        <v>8</v>
      </c>
      <c r="H158" s="564">
        <f t="shared" si="26"/>
        <v>-2.9479452054794519</v>
      </c>
      <c r="I158" s="20">
        <f t="shared" si="18"/>
        <v>0.11874999999999999</v>
      </c>
      <c r="J158" s="567">
        <v>21834.15</v>
      </c>
      <c r="K158" s="566">
        <v>17091.184539762282</v>
      </c>
      <c r="L158" s="35">
        <v>0</v>
      </c>
      <c r="M158" s="18">
        <f t="shared" si="19"/>
        <v>21834.15</v>
      </c>
      <c r="N158" s="18">
        <f t="shared" si="20"/>
        <v>13098.994510273973</v>
      </c>
      <c r="O158" s="21">
        <f t="shared" si="22"/>
        <v>8735.1554897260285</v>
      </c>
      <c r="P158" s="560">
        <f t="shared" si="23"/>
        <v>7861.6399407534254</v>
      </c>
      <c r="Q158" s="561"/>
    </row>
    <row r="159" spans="2:17" ht="15.75">
      <c r="B159" s="54">
        <v>155</v>
      </c>
      <c r="C159" s="549" t="s">
        <v>102</v>
      </c>
      <c r="D159" s="19">
        <v>42627</v>
      </c>
      <c r="E159" s="19">
        <v>44470</v>
      </c>
      <c r="F159" s="564">
        <f t="shared" si="21"/>
        <v>5.0493150684931507</v>
      </c>
      <c r="G159" s="11">
        <v>8</v>
      </c>
      <c r="H159" s="564">
        <f t="shared" si="26"/>
        <v>-2.9506849315068493</v>
      </c>
      <c r="I159" s="20">
        <f t="shared" si="18"/>
        <v>0.11874999999999999</v>
      </c>
      <c r="J159" s="567">
        <v>43880.41</v>
      </c>
      <c r="K159" s="566">
        <v>34354.157794082916</v>
      </c>
      <c r="L159" s="35">
        <v>0</v>
      </c>
      <c r="M159" s="18">
        <f t="shared" si="19"/>
        <v>43880.41</v>
      </c>
      <c r="N159" s="18">
        <f t="shared" si="20"/>
        <v>26310.964331678082</v>
      </c>
      <c r="O159" s="21">
        <f t="shared" si="22"/>
        <v>17569.445668321921</v>
      </c>
      <c r="P159" s="560">
        <f t="shared" si="23"/>
        <v>15812.50110148973</v>
      </c>
      <c r="Q159" s="561"/>
    </row>
    <row r="160" spans="2:17" ht="15.75">
      <c r="B160" s="54">
        <v>156</v>
      </c>
      <c r="C160" s="549" t="s">
        <v>102</v>
      </c>
      <c r="D160" s="19">
        <v>42629</v>
      </c>
      <c r="E160" s="19">
        <v>44470</v>
      </c>
      <c r="F160" s="564">
        <f t="shared" si="21"/>
        <v>5.043835616438356</v>
      </c>
      <c r="G160" s="11">
        <v>8</v>
      </c>
      <c r="H160" s="564">
        <f t="shared" si="26"/>
        <v>-2.956164383561644</v>
      </c>
      <c r="I160" s="20">
        <f t="shared" si="18"/>
        <v>0.11874999999999999</v>
      </c>
      <c r="J160" s="567">
        <v>241105.5</v>
      </c>
      <c r="K160" s="566">
        <v>188825.75121589424</v>
      </c>
      <c r="L160" s="35">
        <v>0</v>
      </c>
      <c r="M160" s="18">
        <f t="shared" si="19"/>
        <v>241105.5</v>
      </c>
      <c r="N160" s="18">
        <f t="shared" si="20"/>
        <v>144411.46035102737</v>
      </c>
      <c r="O160" s="21">
        <f t="shared" si="22"/>
        <v>96694.039648972626</v>
      </c>
      <c r="P160" s="560">
        <f t="shared" si="23"/>
        <v>87024.635684075372</v>
      </c>
      <c r="Q160" s="561"/>
    </row>
    <row r="161" spans="2:17" ht="15.75">
      <c r="B161" s="54">
        <v>157</v>
      </c>
      <c r="C161" s="549" t="s">
        <v>102</v>
      </c>
      <c r="D161" s="19">
        <v>42629</v>
      </c>
      <c r="E161" s="19">
        <v>44470</v>
      </c>
      <c r="F161" s="564">
        <f t="shared" si="21"/>
        <v>5.043835616438356</v>
      </c>
      <c r="G161" s="11">
        <v>8</v>
      </c>
      <c r="H161" s="564">
        <f t="shared" si="26"/>
        <v>-2.956164383561644</v>
      </c>
      <c r="I161" s="20">
        <f t="shared" si="18"/>
        <v>0.11874999999999999</v>
      </c>
      <c r="J161" s="567">
        <v>269940</v>
      </c>
      <c r="K161" s="566">
        <v>211407.96573789685</v>
      </c>
      <c r="L161" s="35">
        <v>0</v>
      </c>
      <c r="M161" s="18">
        <f t="shared" si="19"/>
        <v>269940</v>
      </c>
      <c r="N161" s="18">
        <f t="shared" si="20"/>
        <v>161682.04212328765</v>
      </c>
      <c r="O161" s="21">
        <f t="shared" si="22"/>
        <v>108257.95787671235</v>
      </c>
      <c r="P161" s="560">
        <f t="shared" si="23"/>
        <v>97432.162089041114</v>
      </c>
      <c r="Q161" s="561"/>
    </row>
    <row r="162" spans="2:17" ht="15.75">
      <c r="B162" s="54">
        <v>158</v>
      </c>
      <c r="C162" s="549" t="s">
        <v>102</v>
      </c>
      <c r="D162" s="19">
        <v>42632</v>
      </c>
      <c r="E162" s="19">
        <v>44470</v>
      </c>
      <c r="F162" s="564">
        <f t="shared" si="21"/>
        <v>5.0356164383561648</v>
      </c>
      <c r="G162" s="11">
        <v>8</v>
      </c>
      <c r="H162" s="564">
        <f t="shared" si="26"/>
        <v>-2.9643835616438352</v>
      </c>
      <c r="I162" s="20">
        <f t="shared" si="18"/>
        <v>0.11874999999999999</v>
      </c>
      <c r="J162" s="567">
        <v>146831</v>
      </c>
      <c r="K162" s="566">
        <v>115050.8894906497</v>
      </c>
      <c r="L162" s="35">
        <v>0</v>
      </c>
      <c r="M162" s="18">
        <f t="shared" si="19"/>
        <v>146831</v>
      </c>
      <c r="N162" s="18">
        <f t="shared" si="20"/>
        <v>87801.920924657534</v>
      </c>
      <c r="O162" s="21">
        <f t="shared" si="22"/>
        <v>59029.079075342466</v>
      </c>
      <c r="P162" s="560">
        <f t="shared" si="23"/>
        <v>53126.171167808221</v>
      </c>
      <c r="Q162" s="561"/>
    </row>
    <row r="163" spans="2:17" ht="15.75">
      <c r="B163" s="54">
        <v>159</v>
      </c>
      <c r="C163" s="549" t="s">
        <v>102</v>
      </c>
      <c r="D163" s="19">
        <v>42632</v>
      </c>
      <c r="E163" s="19">
        <v>44470</v>
      </c>
      <c r="F163" s="564">
        <f t="shared" si="21"/>
        <v>5.0356164383561648</v>
      </c>
      <c r="G163" s="11">
        <v>8</v>
      </c>
      <c r="H163" s="564">
        <f t="shared" si="26"/>
        <v>-2.9643835616438352</v>
      </c>
      <c r="I163" s="20">
        <f t="shared" si="18"/>
        <v>0.11874999999999999</v>
      </c>
      <c r="J163" s="567">
        <v>9407</v>
      </c>
      <c r="K163" s="566">
        <v>7370.948351768644</v>
      </c>
      <c r="L163" s="35">
        <v>0</v>
      </c>
      <c r="M163" s="18">
        <f t="shared" si="19"/>
        <v>9407</v>
      </c>
      <c r="N163" s="18">
        <f t="shared" si="20"/>
        <v>5625.1927054794523</v>
      </c>
      <c r="O163" s="21">
        <f t="shared" si="22"/>
        <v>3781.8072945205477</v>
      </c>
      <c r="P163" s="560">
        <f t="shared" si="23"/>
        <v>3403.6265650684932</v>
      </c>
      <c r="Q163" s="561"/>
    </row>
    <row r="164" spans="2:17" ht="15.75">
      <c r="B164" s="54">
        <v>160</v>
      </c>
      <c r="C164" s="549" t="s">
        <v>102</v>
      </c>
      <c r="D164" s="19">
        <v>42635</v>
      </c>
      <c r="E164" s="19">
        <v>44470</v>
      </c>
      <c r="F164" s="564">
        <f t="shared" si="21"/>
        <v>5.0273972602739727</v>
      </c>
      <c r="G164" s="11">
        <v>8</v>
      </c>
      <c r="H164" s="564">
        <f t="shared" si="26"/>
        <v>-2.9726027397260273</v>
      </c>
      <c r="I164" s="20">
        <f t="shared" si="18"/>
        <v>0.11874999999999999</v>
      </c>
      <c r="J164" s="567">
        <v>53394.04</v>
      </c>
      <c r="K164" s="566">
        <v>41858.437955222202</v>
      </c>
      <c r="L164" s="35">
        <v>0</v>
      </c>
      <c r="M164" s="18">
        <f t="shared" si="19"/>
        <v>53394.04</v>
      </c>
      <c r="N164" s="18">
        <f t="shared" si="20"/>
        <v>31876.424736301367</v>
      </c>
      <c r="O164" s="21">
        <f t="shared" si="22"/>
        <v>21517.615263698633</v>
      </c>
      <c r="P164" s="560">
        <f t="shared" si="23"/>
        <v>19365.853737328769</v>
      </c>
      <c r="Q164" s="561"/>
    </row>
    <row r="165" spans="2:17" ht="15.75">
      <c r="B165" s="54">
        <v>161</v>
      </c>
      <c r="C165" s="549" t="s">
        <v>102</v>
      </c>
      <c r="D165" s="19">
        <v>42639</v>
      </c>
      <c r="E165" s="19">
        <v>44470</v>
      </c>
      <c r="F165" s="564">
        <f t="shared" si="21"/>
        <v>5.0164383561643833</v>
      </c>
      <c r="G165" s="11">
        <v>8</v>
      </c>
      <c r="H165" s="564">
        <f t="shared" si="26"/>
        <v>-2.9835616438356167</v>
      </c>
      <c r="I165" s="20">
        <f t="shared" si="18"/>
        <v>0.11874999999999999</v>
      </c>
      <c r="J165" s="567">
        <v>35276</v>
      </c>
      <c r="K165" s="566">
        <v>27673.244514920083</v>
      </c>
      <c r="L165" s="35">
        <v>0</v>
      </c>
      <c r="M165" s="18">
        <f t="shared" si="19"/>
        <v>35276</v>
      </c>
      <c r="N165" s="18">
        <f t="shared" si="20"/>
        <v>21013.985684931504</v>
      </c>
      <c r="O165" s="21">
        <f t="shared" si="22"/>
        <v>14262.014315068496</v>
      </c>
      <c r="P165" s="560">
        <f t="shared" si="23"/>
        <v>12835.812883561646</v>
      </c>
      <c r="Q165" s="561"/>
    </row>
    <row r="166" spans="2:17" ht="15.75">
      <c r="B166" s="54">
        <v>162</v>
      </c>
      <c r="C166" s="549" t="s">
        <v>102</v>
      </c>
      <c r="D166" s="19">
        <v>42639</v>
      </c>
      <c r="E166" s="19">
        <v>44470</v>
      </c>
      <c r="F166" s="564">
        <f t="shared" si="21"/>
        <v>5.0164383561643833</v>
      </c>
      <c r="G166" s="11">
        <v>8</v>
      </c>
      <c r="H166" s="564">
        <f t="shared" si="26"/>
        <v>-2.9835616438356167</v>
      </c>
      <c r="I166" s="20">
        <f t="shared" si="18"/>
        <v>0.11874999999999999</v>
      </c>
      <c r="J166" s="567">
        <v>20706</v>
      </c>
      <c r="K166" s="566">
        <v>16243.400638562627</v>
      </c>
      <c r="L166" s="35">
        <v>0</v>
      </c>
      <c r="M166" s="18">
        <f t="shared" si="19"/>
        <v>20706</v>
      </c>
      <c r="N166" s="18">
        <f t="shared" si="20"/>
        <v>12334.60674657534</v>
      </c>
      <c r="O166" s="21">
        <f t="shared" si="22"/>
        <v>8371.3932534246596</v>
      </c>
      <c r="P166" s="560">
        <f t="shared" si="23"/>
        <v>7534.2539280821939</v>
      </c>
      <c r="Q166" s="561"/>
    </row>
    <row r="167" spans="2:17" ht="15.75">
      <c r="B167" s="54">
        <v>163</v>
      </c>
      <c r="C167" s="549" t="s">
        <v>102</v>
      </c>
      <c r="D167" s="19">
        <v>42647</v>
      </c>
      <c r="E167" s="19">
        <v>44470</v>
      </c>
      <c r="F167" s="564">
        <f t="shared" si="21"/>
        <v>4.9945205479452053</v>
      </c>
      <c r="G167" s="11">
        <v>8</v>
      </c>
      <c r="H167" s="564">
        <f t="shared" si="26"/>
        <v>-3.0054794520547947</v>
      </c>
      <c r="I167" s="20">
        <f t="shared" si="18"/>
        <v>0.11874999999999999</v>
      </c>
      <c r="J167" s="567">
        <v>166888.85999999999</v>
      </c>
      <c r="K167" s="566">
        <v>131095.72682795537</v>
      </c>
      <c r="L167" s="35">
        <v>0</v>
      </c>
      <c r="M167" s="18">
        <f t="shared" si="19"/>
        <v>166888.85999999999</v>
      </c>
      <c r="N167" s="18">
        <f t="shared" si="20"/>
        <v>98981.668558561636</v>
      </c>
      <c r="O167" s="21">
        <f t="shared" si="22"/>
        <v>67907.19144143835</v>
      </c>
      <c r="P167" s="560">
        <f t="shared" si="23"/>
        <v>61116.472297294516</v>
      </c>
      <c r="Q167" s="561"/>
    </row>
    <row r="168" spans="2:17" ht="15.75">
      <c r="B168" s="54">
        <v>164</v>
      </c>
      <c r="C168" s="549" t="s">
        <v>102</v>
      </c>
      <c r="D168" s="19">
        <v>42647</v>
      </c>
      <c r="E168" s="19">
        <v>44470</v>
      </c>
      <c r="F168" s="564">
        <f t="shared" si="21"/>
        <v>4.9945205479452053</v>
      </c>
      <c r="G168" s="11">
        <v>8</v>
      </c>
      <c r="H168" s="564">
        <f t="shared" si="26"/>
        <v>-3.0054794520547947</v>
      </c>
      <c r="I168" s="20">
        <f t="shared" si="18"/>
        <v>0.11874999999999999</v>
      </c>
      <c r="J168" s="567">
        <v>61811.51</v>
      </c>
      <c r="K168" s="566">
        <v>48554.617904295301</v>
      </c>
      <c r="L168" s="35">
        <v>0</v>
      </c>
      <c r="M168" s="18">
        <f t="shared" si="19"/>
        <v>61811.51</v>
      </c>
      <c r="N168" s="18">
        <f t="shared" si="20"/>
        <v>36660.364244349315</v>
      </c>
      <c r="O168" s="21">
        <f t="shared" si="22"/>
        <v>25151.145755650687</v>
      </c>
      <c r="P168" s="560">
        <f t="shared" si="23"/>
        <v>22636.031180085618</v>
      </c>
      <c r="Q168" s="561"/>
    </row>
    <row r="169" spans="2:17" ht="15.75">
      <c r="B169" s="54">
        <v>165</v>
      </c>
      <c r="C169" s="549" t="s">
        <v>102</v>
      </c>
      <c r="D169" s="19">
        <v>42648</v>
      </c>
      <c r="E169" s="19">
        <v>44470</v>
      </c>
      <c r="F169" s="564">
        <f t="shared" si="21"/>
        <v>4.9917808219178079</v>
      </c>
      <c r="G169" s="11">
        <v>8</v>
      </c>
      <c r="H169" s="564">
        <f t="shared" si="26"/>
        <v>-3.0082191780821921</v>
      </c>
      <c r="I169" s="20">
        <f t="shared" si="18"/>
        <v>0.11874999999999999</v>
      </c>
      <c r="J169" s="567">
        <v>206443</v>
      </c>
      <c r="K169" s="566">
        <v>162193.65099737392</v>
      </c>
      <c r="L169" s="35">
        <v>0</v>
      </c>
      <c r="M169" s="18">
        <f t="shared" si="19"/>
        <v>206443</v>
      </c>
      <c r="N169" s="18">
        <f t="shared" si="20"/>
        <v>122374.03722602739</v>
      </c>
      <c r="O169" s="21">
        <f t="shared" si="22"/>
        <v>84068.962773972613</v>
      </c>
      <c r="P169" s="560">
        <f t="shared" si="23"/>
        <v>75662.066496575353</v>
      </c>
      <c r="Q169" s="561"/>
    </row>
    <row r="170" spans="2:17" ht="15.75">
      <c r="B170" s="54">
        <v>166</v>
      </c>
      <c r="C170" s="549" t="s">
        <v>102</v>
      </c>
      <c r="D170" s="19">
        <v>42648</v>
      </c>
      <c r="E170" s="19">
        <v>44470</v>
      </c>
      <c r="F170" s="564">
        <f t="shared" si="21"/>
        <v>4.9917808219178079</v>
      </c>
      <c r="G170" s="11">
        <v>8</v>
      </c>
      <c r="H170" s="564">
        <f t="shared" si="26"/>
        <v>-3.0082191780821921</v>
      </c>
      <c r="I170" s="20">
        <f t="shared" si="18"/>
        <v>0.11874999999999999</v>
      </c>
      <c r="J170" s="567">
        <v>61146</v>
      </c>
      <c r="K170" s="566">
        <v>48039.86080363793</v>
      </c>
      <c r="L170" s="35">
        <v>0</v>
      </c>
      <c r="M170" s="18">
        <f t="shared" si="19"/>
        <v>61146</v>
      </c>
      <c r="N170" s="18">
        <f t="shared" si="20"/>
        <v>36245.757328767118</v>
      </c>
      <c r="O170" s="21">
        <f t="shared" si="22"/>
        <v>24900.242671232882</v>
      </c>
      <c r="P170" s="560">
        <f t="shared" si="23"/>
        <v>22410.218404109593</v>
      </c>
      <c r="Q170" s="561"/>
    </row>
    <row r="171" spans="2:17" ht="15.75">
      <c r="B171" s="54">
        <v>167</v>
      </c>
      <c r="C171" s="549" t="s">
        <v>102</v>
      </c>
      <c r="D171" s="19">
        <v>42648</v>
      </c>
      <c r="E171" s="19">
        <v>44470</v>
      </c>
      <c r="F171" s="564">
        <f t="shared" si="21"/>
        <v>4.9917808219178079</v>
      </c>
      <c r="G171" s="11">
        <v>8</v>
      </c>
      <c r="H171" s="564">
        <f t="shared" si="26"/>
        <v>-3.0082191780821921</v>
      </c>
      <c r="I171" s="20">
        <f t="shared" si="18"/>
        <v>0.11874999999999999</v>
      </c>
      <c r="J171" s="567">
        <v>20072.259999999998</v>
      </c>
      <c r="K171" s="566">
        <v>15769.937140850248</v>
      </c>
      <c r="L171" s="35">
        <v>0</v>
      </c>
      <c r="M171" s="18">
        <f t="shared" si="19"/>
        <v>20072.259999999998</v>
      </c>
      <c r="N171" s="18">
        <f t="shared" si="20"/>
        <v>11898.313299315067</v>
      </c>
      <c r="O171" s="21">
        <f t="shared" si="22"/>
        <v>8173.9467006849318</v>
      </c>
      <c r="P171" s="560">
        <f t="shared" si="23"/>
        <v>7356.552030616439</v>
      </c>
      <c r="Q171" s="561"/>
    </row>
    <row r="172" spans="2:17" ht="15.75">
      <c r="B172" s="54">
        <v>168</v>
      </c>
      <c r="C172" s="549" t="s">
        <v>102</v>
      </c>
      <c r="D172" s="19">
        <v>42650</v>
      </c>
      <c r="E172" s="19">
        <v>44470</v>
      </c>
      <c r="F172" s="564">
        <f t="shared" si="21"/>
        <v>4.9863013698630141</v>
      </c>
      <c r="G172" s="11">
        <v>8</v>
      </c>
      <c r="H172" s="564">
        <f t="shared" si="26"/>
        <v>-3.0136986301369859</v>
      </c>
      <c r="I172" s="20">
        <f t="shared" si="18"/>
        <v>0.11874999999999999</v>
      </c>
      <c r="J172" s="567">
        <v>71297</v>
      </c>
      <c r="K172" s="566">
        <v>56033.778589286361</v>
      </c>
      <c r="L172" s="35">
        <v>0</v>
      </c>
      <c r="M172" s="18">
        <f t="shared" si="19"/>
        <v>71297</v>
      </c>
      <c r="N172" s="18">
        <f t="shared" si="20"/>
        <v>42216.614041095891</v>
      </c>
      <c r="O172" s="21">
        <f t="shared" si="22"/>
        <v>29080.385958904109</v>
      </c>
      <c r="P172" s="560">
        <f t="shared" si="23"/>
        <v>26172.347363013698</v>
      </c>
      <c r="Q172" s="561"/>
    </row>
    <row r="173" spans="2:17" ht="15.75">
      <c r="B173" s="54">
        <v>169</v>
      </c>
      <c r="C173" s="549" t="s">
        <v>102</v>
      </c>
      <c r="D173" s="19">
        <v>42662</v>
      </c>
      <c r="E173" s="19">
        <v>44470</v>
      </c>
      <c r="F173" s="564">
        <f t="shared" si="21"/>
        <v>4.9534246575342467</v>
      </c>
      <c r="G173" s="11">
        <v>8</v>
      </c>
      <c r="H173" s="564">
        <f t="shared" si="26"/>
        <v>-3.0465753424657533</v>
      </c>
      <c r="I173" s="20">
        <f t="shared" si="18"/>
        <v>0.11874999999999999</v>
      </c>
      <c r="J173" s="567">
        <v>30163.33</v>
      </c>
      <c r="K173" s="566">
        <v>23753.451092848158</v>
      </c>
      <c r="L173" s="35">
        <v>0</v>
      </c>
      <c r="M173" s="18">
        <f t="shared" si="19"/>
        <v>30163.33</v>
      </c>
      <c r="N173" s="18">
        <f t="shared" si="20"/>
        <v>17742.649180821922</v>
      </c>
      <c r="O173" s="21">
        <f t="shared" si="22"/>
        <v>12420.68081917808</v>
      </c>
      <c r="P173" s="560">
        <f t="shared" si="23"/>
        <v>11178.612737260273</v>
      </c>
      <c r="Q173" s="561"/>
    </row>
    <row r="174" spans="2:17" ht="15.75">
      <c r="B174" s="54">
        <v>170</v>
      </c>
      <c r="C174" s="549" t="s">
        <v>102</v>
      </c>
      <c r="D174" s="19">
        <v>42670</v>
      </c>
      <c r="E174" s="19">
        <v>44470</v>
      </c>
      <c r="F174" s="564">
        <f t="shared" si="21"/>
        <v>4.9315068493150687</v>
      </c>
      <c r="G174" s="11">
        <v>8</v>
      </c>
      <c r="H174" s="564">
        <f t="shared" si="26"/>
        <v>-3.0684931506849313</v>
      </c>
      <c r="I174" s="20">
        <f t="shared" si="18"/>
        <v>0.11874999999999999</v>
      </c>
      <c r="J174" s="567">
        <v>175308</v>
      </c>
      <c r="K174" s="566">
        <v>138237.98284012778</v>
      </c>
      <c r="L174" s="35">
        <v>0</v>
      </c>
      <c r="M174" s="18">
        <f t="shared" si="19"/>
        <v>175308</v>
      </c>
      <c r="N174" s="18">
        <f t="shared" si="20"/>
        <v>102663.24657534246</v>
      </c>
      <c r="O174" s="21">
        <f t="shared" si="22"/>
        <v>72644.753424657538</v>
      </c>
      <c r="P174" s="560">
        <f t="shared" si="23"/>
        <v>65380.278082191784</v>
      </c>
      <c r="Q174" s="561"/>
    </row>
    <row r="175" spans="2:17" ht="15.75">
      <c r="B175" s="54">
        <v>171</v>
      </c>
      <c r="C175" s="549" t="s">
        <v>102</v>
      </c>
      <c r="D175" s="19">
        <v>42670</v>
      </c>
      <c r="E175" s="19">
        <v>44470</v>
      </c>
      <c r="F175" s="564">
        <f t="shared" si="21"/>
        <v>4.9315068493150687</v>
      </c>
      <c r="G175" s="11">
        <v>8</v>
      </c>
      <c r="H175" s="564">
        <f t="shared" si="26"/>
        <v>-3.0684931506849313</v>
      </c>
      <c r="I175" s="20">
        <f t="shared" si="18"/>
        <v>0.11874999999999999</v>
      </c>
      <c r="J175" s="567">
        <v>70553</v>
      </c>
      <c r="K175" s="566">
        <v>55634.109129757533</v>
      </c>
      <c r="L175" s="35">
        <v>0</v>
      </c>
      <c r="M175" s="18">
        <f t="shared" si="19"/>
        <v>70553</v>
      </c>
      <c r="N175" s="18">
        <f t="shared" si="20"/>
        <v>41316.996575342469</v>
      </c>
      <c r="O175" s="21">
        <f t="shared" si="22"/>
        <v>29236.003424657531</v>
      </c>
      <c r="P175" s="560">
        <f t="shared" si="23"/>
        <v>26312.403082191777</v>
      </c>
      <c r="Q175" s="561"/>
    </row>
    <row r="176" spans="2:17" ht="15.75">
      <c r="B176" s="54">
        <v>172</v>
      </c>
      <c r="C176" s="549" t="s">
        <v>102</v>
      </c>
      <c r="D176" s="19">
        <v>42679</v>
      </c>
      <c r="E176" s="19">
        <v>44470</v>
      </c>
      <c r="F176" s="564">
        <f t="shared" si="21"/>
        <v>4.9068493150684933</v>
      </c>
      <c r="G176" s="11">
        <v>8</v>
      </c>
      <c r="H176" s="564">
        <f t="shared" si="26"/>
        <v>-3.0931506849315067</v>
      </c>
      <c r="I176" s="20">
        <f t="shared" si="18"/>
        <v>0.11874999999999999</v>
      </c>
      <c r="J176" s="567">
        <v>241105.51</v>
      </c>
      <c r="K176" s="566">
        <v>190406.76316202292</v>
      </c>
      <c r="L176" s="35">
        <v>0</v>
      </c>
      <c r="M176" s="18">
        <f t="shared" si="19"/>
        <v>241105.51</v>
      </c>
      <c r="N176" s="18">
        <f t="shared" si="20"/>
        <v>140489.37328407535</v>
      </c>
      <c r="O176" s="21">
        <f t="shared" si="22"/>
        <v>100616.13671592466</v>
      </c>
      <c r="P176" s="560">
        <f t="shared" si="23"/>
        <v>90554.523044332193</v>
      </c>
      <c r="Q176" s="561"/>
    </row>
    <row r="177" spans="2:17" ht="15.75">
      <c r="B177" s="54">
        <v>173</v>
      </c>
      <c r="C177" s="549" t="s">
        <v>102</v>
      </c>
      <c r="D177" s="19">
        <v>42679</v>
      </c>
      <c r="E177" s="19">
        <v>44470</v>
      </c>
      <c r="F177" s="564">
        <f t="shared" si="21"/>
        <v>4.9068493150684933</v>
      </c>
      <c r="G177" s="11">
        <v>8</v>
      </c>
      <c r="H177" s="564">
        <f t="shared" si="26"/>
        <v>-3.0931506849315067</v>
      </c>
      <c r="I177" s="20">
        <f t="shared" si="18"/>
        <v>0.11874999999999999</v>
      </c>
      <c r="J177" s="567">
        <v>269940</v>
      </c>
      <c r="K177" s="566">
        <v>213178.0466068837</v>
      </c>
      <c r="L177" s="35">
        <v>0</v>
      </c>
      <c r="M177" s="18">
        <f t="shared" si="19"/>
        <v>269940</v>
      </c>
      <c r="N177" s="18">
        <f t="shared" si="20"/>
        <v>157290.8948630137</v>
      </c>
      <c r="O177" s="21">
        <f t="shared" si="22"/>
        <v>112649.1051369863</v>
      </c>
      <c r="P177" s="560">
        <f t="shared" si="23"/>
        <v>101384.19462328767</v>
      </c>
      <c r="Q177" s="561"/>
    </row>
    <row r="178" spans="2:17" ht="15.75">
      <c r="B178" s="54">
        <v>174</v>
      </c>
      <c r="C178" s="549" t="s">
        <v>102</v>
      </c>
      <c r="D178" s="19">
        <v>42689</v>
      </c>
      <c r="E178" s="19">
        <v>44470</v>
      </c>
      <c r="F178" s="564">
        <f t="shared" si="21"/>
        <v>4.8794520547945206</v>
      </c>
      <c r="G178" s="11">
        <v>8</v>
      </c>
      <c r="H178" s="564">
        <f t="shared" si="26"/>
        <v>-3.1205479452054794</v>
      </c>
      <c r="I178" s="20">
        <f t="shared" si="18"/>
        <v>0.11874999999999999</v>
      </c>
      <c r="J178" s="567">
        <v>41514</v>
      </c>
      <c r="K178" s="566">
        <v>32839.038827299068</v>
      </c>
      <c r="L178" s="35">
        <v>0</v>
      </c>
      <c r="M178" s="18">
        <f t="shared" si="19"/>
        <v>41514</v>
      </c>
      <c r="N178" s="18">
        <f t="shared" si="20"/>
        <v>24054.661746575344</v>
      </c>
      <c r="O178" s="21">
        <f t="shared" si="22"/>
        <v>17459.338253424656</v>
      </c>
      <c r="P178" s="560">
        <f t="shared" si="23"/>
        <v>15713.404428082191</v>
      </c>
      <c r="Q178" s="561"/>
    </row>
    <row r="179" spans="2:17" ht="15.75">
      <c r="B179" s="54">
        <v>175</v>
      </c>
      <c r="C179" s="549" t="s">
        <v>102</v>
      </c>
      <c r="D179" s="19">
        <v>42689</v>
      </c>
      <c r="E179" s="19">
        <v>44470</v>
      </c>
      <c r="F179" s="564">
        <f t="shared" si="21"/>
        <v>4.8794520547945206</v>
      </c>
      <c r="G179" s="11">
        <v>8</v>
      </c>
      <c r="H179" s="564">
        <f t="shared" si="26"/>
        <v>-3.1205479452054794</v>
      </c>
      <c r="I179" s="20">
        <f t="shared" si="18"/>
        <v>0.11874999999999999</v>
      </c>
      <c r="J179" s="567">
        <v>70553</v>
      </c>
      <c r="K179" s="566">
        <v>55809.912472477503</v>
      </c>
      <c r="L179" s="35">
        <v>0</v>
      </c>
      <c r="M179" s="18">
        <f t="shared" si="19"/>
        <v>70553</v>
      </c>
      <c r="N179" s="18">
        <f t="shared" si="20"/>
        <v>40880.87272260274</v>
      </c>
      <c r="O179" s="21">
        <f t="shared" si="22"/>
        <v>29672.12727739726</v>
      </c>
      <c r="P179" s="560">
        <f t="shared" si="23"/>
        <v>26704.914549657533</v>
      </c>
      <c r="Q179" s="561"/>
    </row>
    <row r="180" spans="2:17" ht="15.75">
      <c r="B180" s="54">
        <v>176</v>
      </c>
      <c r="C180" s="549" t="s">
        <v>102</v>
      </c>
      <c r="D180" s="19">
        <v>42689</v>
      </c>
      <c r="E180" s="19">
        <v>44470</v>
      </c>
      <c r="F180" s="564">
        <f t="shared" si="21"/>
        <v>4.8794520547945206</v>
      </c>
      <c r="G180" s="11">
        <v>8</v>
      </c>
      <c r="H180" s="564">
        <f t="shared" si="26"/>
        <v>-3.1205479452054794</v>
      </c>
      <c r="I180" s="20">
        <f t="shared" si="18"/>
        <v>0.11874999999999999</v>
      </c>
      <c r="J180" s="567">
        <v>196064</v>
      </c>
      <c r="K180" s="566">
        <v>155093.54214567531</v>
      </c>
      <c r="L180" s="35">
        <v>0</v>
      </c>
      <c r="M180" s="18">
        <f t="shared" si="19"/>
        <v>196064</v>
      </c>
      <c r="N180" s="18">
        <f t="shared" si="20"/>
        <v>113606.33041095891</v>
      </c>
      <c r="O180" s="21">
        <f t="shared" si="22"/>
        <v>82457.669589041092</v>
      </c>
      <c r="P180" s="560">
        <f t="shared" si="23"/>
        <v>74211.902630136989</v>
      </c>
      <c r="Q180" s="561"/>
    </row>
    <row r="181" spans="2:17" ht="15.75">
      <c r="B181" s="54">
        <v>177</v>
      </c>
      <c r="C181" s="549" t="s">
        <v>102</v>
      </c>
      <c r="D181" s="19">
        <v>42691</v>
      </c>
      <c r="E181" s="19">
        <v>44470</v>
      </c>
      <c r="F181" s="564">
        <f t="shared" si="21"/>
        <v>4.8739726027397259</v>
      </c>
      <c r="G181" s="11">
        <v>8</v>
      </c>
      <c r="H181" s="564">
        <f t="shared" si="26"/>
        <v>-3.1260273972602741</v>
      </c>
      <c r="I181" s="20">
        <f t="shared" si="18"/>
        <v>0.11874999999999999</v>
      </c>
      <c r="J181" s="567">
        <v>134672</v>
      </c>
      <c r="K181" s="566">
        <v>106565.62762440166</v>
      </c>
      <c r="L181" s="35">
        <v>0</v>
      </c>
      <c r="M181" s="18">
        <f t="shared" si="19"/>
        <v>134672</v>
      </c>
      <c r="N181" s="18">
        <f t="shared" si="20"/>
        <v>77946.032054794516</v>
      </c>
      <c r="O181" s="21">
        <f t="shared" si="22"/>
        <v>56725.967945205484</v>
      </c>
      <c r="P181" s="560">
        <f t="shared" si="23"/>
        <v>51053.371150684936</v>
      </c>
      <c r="Q181" s="561"/>
    </row>
    <row r="182" spans="2:17" ht="15.75">
      <c r="B182" s="54">
        <v>178</v>
      </c>
      <c r="C182" s="549" t="s">
        <v>102</v>
      </c>
      <c r="D182" s="19">
        <v>42709</v>
      </c>
      <c r="E182" s="19">
        <v>44470</v>
      </c>
      <c r="F182" s="564">
        <f t="shared" si="21"/>
        <v>4.8246575342465752</v>
      </c>
      <c r="G182" s="11">
        <v>8</v>
      </c>
      <c r="H182" s="564">
        <f t="shared" si="26"/>
        <v>-3.1753424657534248</v>
      </c>
      <c r="I182" s="20">
        <f t="shared" si="18"/>
        <v>0.11874999999999999</v>
      </c>
      <c r="J182" s="567">
        <v>228324</v>
      </c>
      <c r="K182" s="566">
        <v>181211.22242935057</v>
      </c>
      <c r="L182" s="35">
        <v>0</v>
      </c>
      <c r="M182" s="18">
        <f t="shared" si="19"/>
        <v>228324</v>
      </c>
      <c r="N182" s="18">
        <f t="shared" si="20"/>
        <v>130813.23143835616</v>
      </c>
      <c r="O182" s="21">
        <f t="shared" si="22"/>
        <v>97510.768561643839</v>
      </c>
      <c r="P182" s="560">
        <f t="shared" si="23"/>
        <v>87759.691705479461</v>
      </c>
      <c r="Q182" s="561"/>
    </row>
    <row r="183" spans="2:17" ht="15.75">
      <c r="B183" s="54">
        <v>179</v>
      </c>
      <c r="C183" s="549" t="s">
        <v>102</v>
      </c>
      <c r="D183" s="19">
        <v>42709</v>
      </c>
      <c r="E183" s="19">
        <v>44470</v>
      </c>
      <c r="F183" s="564">
        <f t="shared" si="21"/>
        <v>4.8246575342465752</v>
      </c>
      <c r="G183" s="11">
        <v>8</v>
      </c>
      <c r="H183" s="564">
        <f t="shared" si="26"/>
        <v>-3.1753424657534248</v>
      </c>
      <c r="I183" s="20">
        <f t="shared" si="18"/>
        <v>0.11874999999999999</v>
      </c>
      <c r="J183" s="567">
        <v>23518</v>
      </c>
      <c r="K183" s="566">
        <v>18665.254327593539</v>
      </c>
      <c r="L183" s="35">
        <v>0</v>
      </c>
      <c r="M183" s="18">
        <f t="shared" si="19"/>
        <v>23518</v>
      </c>
      <c r="N183" s="18">
        <f t="shared" si="20"/>
        <v>13474.122636986302</v>
      </c>
      <c r="O183" s="21">
        <f t="shared" si="22"/>
        <v>10043.877363013698</v>
      </c>
      <c r="P183" s="560">
        <f t="shared" si="23"/>
        <v>9039.4896267123295</v>
      </c>
      <c r="Q183" s="561"/>
    </row>
    <row r="184" spans="2:17" ht="15.75">
      <c r="B184" s="54">
        <v>180</v>
      </c>
      <c r="C184" s="549" t="s">
        <v>102</v>
      </c>
      <c r="D184" s="19">
        <v>42718</v>
      </c>
      <c r="E184" s="19">
        <v>44470</v>
      </c>
      <c r="F184" s="564">
        <f t="shared" si="21"/>
        <v>4.8</v>
      </c>
      <c r="G184" s="11">
        <v>8</v>
      </c>
      <c r="H184" s="564">
        <f t="shared" si="26"/>
        <v>-3.2</v>
      </c>
      <c r="I184" s="20">
        <f t="shared" si="18"/>
        <v>0.11874999999999999</v>
      </c>
      <c r="J184" s="567">
        <v>30163.360000000001</v>
      </c>
      <c r="K184" s="566">
        <v>23975.001720061642</v>
      </c>
      <c r="L184" s="35">
        <v>0</v>
      </c>
      <c r="M184" s="18">
        <f t="shared" si="19"/>
        <v>30163.360000000001</v>
      </c>
      <c r="N184" s="18">
        <f t="shared" si="20"/>
        <v>17193.1152</v>
      </c>
      <c r="O184" s="21">
        <f t="shared" si="22"/>
        <v>12970.2448</v>
      </c>
      <c r="P184" s="560">
        <f t="shared" si="23"/>
        <v>11673.22032</v>
      </c>
      <c r="Q184" s="561"/>
    </row>
    <row r="185" spans="2:17" ht="15.75">
      <c r="B185" s="54">
        <v>181</v>
      </c>
      <c r="C185" s="549" t="s">
        <v>102</v>
      </c>
      <c r="D185" s="19">
        <v>42723</v>
      </c>
      <c r="E185" s="19">
        <v>44470</v>
      </c>
      <c r="F185" s="564">
        <f t="shared" si="21"/>
        <v>4.7863013698630139</v>
      </c>
      <c r="G185" s="11">
        <v>8</v>
      </c>
      <c r="H185" s="564">
        <f t="shared" si="26"/>
        <v>-3.2136986301369861</v>
      </c>
      <c r="I185" s="20">
        <f t="shared" si="18"/>
        <v>0.11874999999999999</v>
      </c>
      <c r="J185" s="567">
        <v>61849.06</v>
      </c>
      <c r="K185" s="566">
        <v>49200.574863648711</v>
      </c>
      <c r="L185" s="35">
        <v>0</v>
      </c>
      <c r="M185" s="18">
        <f t="shared" si="19"/>
        <v>61849.06</v>
      </c>
      <c r="N185" s="18">
        <f t="shared" si="20"/>
        <v>35153.353571575339</v>
      </c>
      <c r="O185" s="21">
        <f t="shared" si="22"/>
        <v>26695.706428424659</v>
      </c>
      <c r="P185" s="560">
        <f t="shared" si="23"/>
        <v>24026.135785582195</v>
      </c>
      <c r="Q185" s="561"/>
    </row>
    <row r="186" spans="2:17" ht="15.75">
      <c r="B186" s="54">
        <v>182</v>
      </c>
      <c r="C186" s="549" t="s">
        <v>102</v>
      </c>
      <c r="D186" s="19">
        <v>42727</v>
      </c>
      <c r="E186" s="19">
        <v>44470</v>
      </c>
      <c r="F186" s="564">
        <f t="shared" si="21"/>
        <v>4.7753424657534245</v>
      </c>
      <c r="G186" s="11">
        <v>8</v>
      </c>
      <c r="H186" s="564">
        <f t="shared" si="26"/>
        <v>-3.2246575342465755</v>
      </c>
      <c r="I186" s="20">
        <f t="shared" si="18"/>
        <v>0.11874999999999999</v>
      </c>
      <c r="J186" s="567">
        <v>269940</v>
      </c>
      <c r="K186" s="566">
        <v>214877.34052467268</v>
      </c>
      <c r="L186" s="35">
        <v>0</v>
      </c>
      <c r="M186" s="18">
        <f t="shared" si="19"/>
        <v>269940</v>
      </c>
      <c r="N186" s="18">
        <f t="shared" si="20"/>
        <v>153075.39349315065</v>
      </c>
      <c r="O186" s="21">
        <f t="shared" si="22"/>
        <v>116864.60650684935</v>
      </c>
      <c r="P186" s="560">
        <f t="shared" si="23"/>
        <v>105178.14585616441</v>
      </c>
      <c r="Q186" s="561"/>
    </row>
    <row r="187" spans="2:17" ht="15.75">
      <c r="B187" s="54">
        <v>183</v>
      </c>
      <c r="C187" s="549" t="s">
        <v>102</v>
      </c>
      <c r="D187" s="19">
        <v>42727</v>
      </c>
      <c r="E187" s="19">
        <v>44470</v>
      </c>
      <c r="F187" s="564">
        <f t="shared" si="21"/>
        <v>4.7753424657534245</v>
      </c>
      <c r="G187" s="11">
        <v>8</v>
      </c>
      <c r="H187" s="564">
        <f t="shared" si="26"/>
        <v>-3.2246575342465755</v>
      </c>
      <c r="I187" s="20">
        <f t="shared" si="18"/>
        <v>0.11874999999999999</v>
      </c>
      <c r="J187" s="567">
        <v>241105.52</v>
      </c>
      <c r="K187" s="566">
        <v>191924.5496162787</v>
      </c>
      <c r="L187" s="35">
        <v>0</v>
      </c>
      <c r="M187" s="18">
        <f t="shared" si="19"/>
        <v>241105.52</v>
      </c>
      <c r="N187" s="18">
        <f t="shared" si="20"/>
        <v>136724.16962054791</v>
      </c>
      <c r="O187" s="21">
        <f t="shared" si="22"/>
        <v>104381.35037945208</v>
      </c>
      <c r="P187" s="560">
        <f t="shared" si="23"/>
        <v>93943.215341506875</v>
      </c>
      <c r="Q187" s="561"/>
    </row>
    <row r="188" spans="2:17" ht="15.75">
      <c r="B188" s="54">
        <v>184</v>
      </c>
      <c r="C188" s="549" t="s">
        <v>102</v>
      </c>
      <c r="D188" s="19">
        <v>42727</v>
      </c>
      <c r="E188" s="19">
        <v>44470</v>
      </c>
      <c r="F188" s="564">
        <f t="shared" si="21"/>
        <v>4.7753424657534245</v>
      </c>
      <c r="G188" s="11">
        <v>8</v>
      </c>
      <c r="H188" s="564">
        <f t="shared" si="26"/>
        <v>-3.2246575342465755</v>
      </c>
      <c r="I188" s="20">
        <f t="shared" si="18"/>
        <v>0.11874999999999999</v>
      </c>
      <c r="J188" s="567">
        <v>126943</v>
      </c>
      <c r="K188" s="566">
        <v>101049.02659192236</v>
      </c>
      <c r="L188" s="35">
        <v>0</v>
      </c>
      <c r="M188" s="18">
        <f t="shared" si="19"/>
        <v>126943</v>
      </c>
      <c r="N188" s="18">
        <f t="shared" si="20"/>
        <v>71985.810462328751</v>
      </c>
      <c r="O188" s="21">
        <f t="shared" si="22"/>
        <v>54957.189537671249</v>
      </c>
      <c r="P188" s="560">
        <f t="shared" si="23"/>
        <v>49461.470583904127</v>
      </c>
      <c r="Q188" s="561"/>
    </row>
    <row r="189" spans="2:17" ht="15.75">
      <c r="B189" s="54">
        <v>185</v>
      </c>
      <c r="C189" s="549" t="s">
        <v>102</v>
      </c>
      <c r="D189" s="19">
        <v>42727</v>
      </c>
      <c r="E189" s="19">
        <v>44470</v>
      </c>
      <c r="F189" s="564">
        <f t="shared" si="21"/>
        <v>4.7753424657534245</v>
      </c>
      <c r="G189" s="11">
        <v>8</v>
      </c>
      <c r="H189" s="564">
        <f t="shared" si="26"/>
        <v>-3.2246575342465755</v>
      </c>
      <c r="I189" s="20">
        <f t="shared" si="18"/>
        <v>0.11874999999999999</v>
      </c>
      <c r="J189" s="567">
        <v>70553</v>
      </c>
      <c r="K189" s="566">
        <v>56161.521101123326</v>
      </c>
      <c r="L189" s="35">
        <v>0</v>
      </c>
      <c r="M189" s="18">
        <f t="shared" si="19"/>
        <v>70553</v>
      </c>
      <c r="N189" s="18">
        <f t="shared" si="20"/>
        <v>40008.625017123282</v>
      </c>
      <c r="O189" s="21">
        <f t="shared" si="22"/>
        <v>30544.374982876718</v>
      </c>
      <c r="P189" s="560">
        <f t="shared" si="23"/>
        <v>27489.937484589045</v>
      </c>
      <c r="Q189" s="561"/>
    </row>
    <row r="190" spans="2:17" ht="15.75">
      <c r="B190" s="54">
        <v>186</v>
      </c>
      <c r="C190" s="549" t="s">
        <v>102</v>
      </c>
      <c r="D190" s="19">
        <v>42727</v>
      </c>
      <c r="E190" s="19">
        <v>44470</v>
      </c>
      <c r="F190" s="564">
        <f t="shared" si="21"/>
        <v>4.7753424657534245</v>
      </c>
      <c r="G190" s="11">
        <v>8</v>
      </c>
      <c r="H190" s="564">
        <f t="shared" si="26"/>
        <v>-3.2246575342465755</v>
      </c>
      <c r="I190" s="20">
        <f t="shared" si="18"/>
        <v>0.11874999999999999</v>
      </c>
      <c r="J190" s="567">
        <v>27608</v>
      </c>
      <c r="K190" s="566">
        <v>21976.48965401631</v>
      </c>
      <c r="L190" s="35">
        <v>0</v>
      </c>
      <c r="M190" s="18">
        <f t="shared" si="19"/>
        <v>27608</v>
      </c>
      <c r="N190" s="18">
        <f t="shared" si="20"/>
        <v>15655.721506849313</v>
      </c>
      <c r="O190" s="21">
        <f t="shared" si="22"/>
        <v>11952.278493150687</v>
      </c>
      <c r="P190" s="560">
        <f t="shared" si="23"/>
        <v>10757.050643835619</v>
      </c>
      <c r="Q190" s="561"/>
    </row>
    <row r="191" spans="2:17" ht="15.75">
      <c r="B191" s="54">
        <v>187</v>
      </c>
      <c r="C191" s="549" t="s">
        <v>102</v>
      </c>
      <c r="D191" s="19">
        <v>42728</v>
      </c>
      <c r="E191" s="19">
        <v>44470</v>
      </c>
      <c r="F191" s="564">
        <f t="shared" si="21"/>
        <v>4.7726027397260271</v>
      </c>
      <c r="G191" s="11">
        <v>8</v>
      </c>
      <c r="H191" s="564">
        <f t="shared" si="26"/>
        <v>-3.2273972602739729</v>
      </c>
      <c r="I191" s="20">
        <f t="shared" si="18"/>
        <v>0.11874999999999999</v>
      </c>
      <c r="J191" s="567">
        <v>112731</v>
      </c>
      <c r="K191" s="566">
        <v>89750.790514448308</v>
      </c>
      <c r="L191" s="35">
        <v>0</v>
      </c>
      <c r="M191" s="18">
        <f t="shared" si="19"/>
        <v>112731</v>
      </c>
      <c r="N191" s="18">
        <f t="shared" si="20"/>
        <v>63889.908184931497</v>
      </c>
      <c r="O191" s="21">
        <f t="shared" si="22"/>
        <v>48841.091815068503</v>
      </c>
      <c r="P191" s="560">
        <f t="shared" si="23"/>
        <v>43956.982633561653</v>
      </c>
      <c r="Q191" s="561"/>
    </row>
    <row r="192" spans="2:17" ht="15.75">
      <c r="B192" s="54">
        <v>188</v>
      </c>
      <c r="C192" s="549" t="s">
        <v>102</v>
      </c>
      <c r="D192" s="19">
        <v>42754</v>
      </c>
      <c r="E192" s="19">
        <v>44470</v>
      </c>
      <c r="F192" s="564">
        <f t="shared" si="21"/>
        <v>4.7013698630136984</v>
      </c>
      <c r="G192" s="11">
        <v>8</v>
      </c>
      <c r="H192" s="564">
        <f t="shared" si="26"/>
        <v>-3.2986301369863016</v>
      </c>
      <c r="I192" s="20">
        <f t="shared" si="18"/>
        <v>0.11874999999999999</v>
      </c>
      <c r="J192" s="567">
        <v>46475</v>
      </c>
      <c r="K192" s="566">
        <v>37159.546492710426</v>
      </c>
      <c r="L192" s="35">
        <v>0</v>
      </c>
      <c r="M192" s="18">
        <f t="shared" si="19"/>
        <v>46475</v>
      </c>
      <c r="N192" s="18">
        <f t="shared" si="20"/>
        <v>25946.419520547945</v>
      </c>
      <c r="O192" s="21">
        <f t="shared" si="22"/>
        <v>20528.580479452055</v>
      </c>
      <c r="P192" s="560">
        <f t="shared" si="23"/>
        <v>18475.722431506849</v>
      </c>
      <c r="Q192" s="561"/>
    </row>
    <row r="193" spans="2:17" ht="15.75">
      <c r="B193" s="54">
        <v>189</v>
      </c>
      <c r="C193" s="549" t="s">
        <v>102</v>
      </c>
      <c r="D193" s="19">
        <v>42770</v>
      </c>
      <c r="E193" s="19">
        <v>44470</v>
      </c>
      <c r="F193" s="564">
        <f t="shared" si="21"/>
        <v>4.6575342465753424</v>
      </c>
      <c r="G193" s="11">
        <v>8</v>
      </c>
      <c r="H193" s="564">
        <f t="shared" si="26"/>
        <v>-3.3424657534246576</v>
      </c>
      <c r="I193" s="20">
        <f t="shared" si="18"/>
        <v>0.11874999999999999</v>
      </c>
      <c r="J193" s="567">
        <v>1634190</v>
      </c>
      <c r="K193" s="566">
        <v>1310061.9554354833</v>
      </c>
      <c r="L193" s="35">
        <v>0</v>
      </c>
      <c r="M193" s="18">
        <f t="shared" si="19"/>
        <v>1634190</v>
      </c>
      <c r="N193" s="18">
        <f t="shared" si="20"/>
        <v>903841.38698630128</v>
      </c>
      <c r="O193" s="21">
        <f t="shared" si="22"/>
        <v>730348.61301369872</v>
      </c>
      <c r="P193" s="560">
        <f t="shared" si="23"/>
        <v>657313.75171232887</v>
      </c>
      <c r="Q193" s="561"/>
    </row>
    <row r="194" spans="2:17" ht="15.75">
      <c r="B194" s="54">
        <v>190</v>
      </c>
      <c r="C194" s="549" t="s">
        <v>102</v>
      </c>
      <c r="D194" s="19">
        <v>42774</v>
      </c>
      <c r="E194" s="19">
        <v>44470</v>
      </c>
      <c r="F194" s="564">
        <f t="shared" si="21"/>
        <v>4.646575342465753</v>
      </c>
      <c r="G194" s="11">
        <v>8</v>
      </c>
      <c r="H194" s="564">
        <f t="shared" si="26"/>
        <v>-3.353424657534247</v>
      </c>
      <c r="I194" s="20">
        <f t="shared" si="18"/>
        <v>0.11874999999999999</v>
      </c>
      <c r="J194" s="567">
        <v>196064</v>
      </c>
      <c r="K194" s="566">
        <v>157279.18487478781</v>
      </c>
      <c r="L194" s="35">
        <v>0</v>
      </c>
      <c r="M194" s="18">
        <f t="shared" si="19"/>
        <v>196064</v>
      </c>
      <c r="N194" s="18">
        <f t="shared" si="20"/>
        <v>108184.35506849314</v>
      </c>
      <c r="O194" s="21">
        <f t="shared" si="22"/>
        <v>87879.64493150686</v>
      </c>
      <c r="P194" s="560">
        <f t="shared" si="23"/>
        <v>79091.680438356183</v>
      </c>
      <c r="Q194" s="561"/>
    </row>
    <row r="195" spans="2:17" ht="15.75">
      <c r="B195" s="54">
        <v>191</v>
      </c>
      <c r="C195" s="549" t="s">
        <v>102</v>
      </c>
      <c r="D195" s="19">
        <v>42774</v>
      </c>
      <c r="E195" s="19">
        <v>44470</v>
      </c>
      <c r="F195" s="564">
        <f t="shared" si="21"/>
        <v>4.646575342465753</v>
      </c>
      <c r="G195" s="11">
        <v>8</v>
      </c>
      <c r="H195" s="564">
        <f t="shared" si="26"/>
        <v>-3.353424657534247</v>
      </c>
      <c r="I195" s="20">
        <f t="shared" si="18"/>
        <v>0.11874999999999999</v>
      </c>
      <c r="J195" s="567">
        <v>58794</v>
      </c>
      <c r="K195" s="566">
        <v>47163.540453771602</v>
      </c>
      <c r="L195" s="35">
        <v>0</v>
      </c>
      <c r="M195" s="18">
        <f t="shared" si="19"/>
        <v>58794</v>
      </c>
      <c r="N195" s="18">
        <f t="shared" si="20"/>
        <v>32441.401643835616</v>
      </c>
      <c r="O195" s="21">
        <f t="shared" si="22"/>
        <v>26352.598356164384</v>
      </c>
      <c r="P195" s="560">
        <f t="shared" si="23"/>
        <v>23717.338520547946</v>
      </c>
      <c r="Q195" s="561"/>
    </row>
    <row r="196" spans="2:17" ht="15.75">
      <c r="B196" s="54">
        <v>192</v>
      </c>
      <c r="C196" s="549" t="s">
        <v>102</v>
      </c>
      <c r="D196" s="19">
        <v>42791</v>
      </c>
      <c r="E196" s="19">
        <v>44470</v>
      </c>
      <c r="F196" s="564">
        <f t="shared" si="21"/>
        <v>4.5999999999999996</v>
      </c>
      <c r="G196" s="11">
        <v>8</v>
      </c>
      <c r="H196" s="564">
        <f t="shared" si="26"/>
        <v>-3.4000000000000004</v>
      </c>
      <c r="I196" s="20">
        <f t="shared" si="18"/>
        <v>0.11874999999999999</v>
      </c>
      <c r="J196" s="567">
        <v>345345.51</v>
      </c>
      <c r="K196" s="566">
        <v>277800.21904099267</v>
      </c>
      <c r="L196" s="35">
        <v>0</v>
      </c>
      <c r="M196" s="18">
        <f t="shared" si="19"/>
        <v>345345.51</v>
      </c>
      <c r="N196" s="18">
        <f t="shared" si="20"/>
        <v>188644.98483749997</v>
      </c>
      <c r="O196" s="21">
        <f t="shared" si="22"/>
        <v>156700.52516250004</v>
      </c>
      <c r="P196" s="560">
        <f t="shared" si="23"/>
        <v>141030.47264625004</v>
      </c>
      <c r="Q196" s="561"/>
    </row>
    <row r="197" spans="2:17" ht="15.75">
      <c r="B197" s="54">
        <v>193</v>
      </c>
      <c r="C197" s="549" t="s">
        <v>102</v>
      </c>
      <c r="D197" s="19">
        <v>42791</v>
      </c>
      <c r="E197" s="19">
        <v>44470</v>
      </c>
      <c r="F197" s="564">
        <f t="shared" si="21"/>
        <v>4.5999999999999996</v>
      </c>
      <c r="G197" s="11">
        <v>8</v>
      </c>
      <c r="H197" s="564">
        <f t="shared" si="26"/>
        <v>-3.4000000000000004</v>
      </c>
      <c r="I197" s="20">
        <f t="shared" ref="I197:I241" si="27">(95/G197/100)</f>
        <v>0.11874999999999999</v>
      </c>
      <c r="J197" s="567">
        <v>40144.49</v>
      </c>
      <c r="K197" s="566">
        <v>32292.72653722627</v>
      </c>
      <c r="L197" s="35">
        <v>0</v>
      </c>
      <c r="M197" s="18">
        <f t="shared" ref="M197:M241" si="28">J197*(1+L197)</f>
        <v>40144.49</v>
      </c>
      <c r="N197" s="18">
        <f t="shared" ref="N197:N241" si="29">F197*I197*M197</f>
        <v>21928.927662499995</v>
      </c>
      <c r="O197" s="21">
        <f t="shared" si="22"/>
        <v>18215.562337500003</v>
      </c>
      <c r="P197" s="560">
        <f t="shared" si="23"/>
        <v>16394.006103750002</v>
      </c>
      <c r="Q197" s="561"/>
    </row>
    <row r="198" spans="2:17" ht="15.75">
      <c r="B198" s="54">
        <v>194</v>
      </c>
      <c r="C198" s="549" t="s">
        <v>102</v>
      </c>
      <c r="D198" s="19">
        <v>42798</v>
      </c>
      <c r="E198" s="19">
        <v>44470</v>
      </c>
      <c r="F198" s="564">
        <f t="shared" ref="F198:F254" si="30">(E198-D198)/365</f>
        <v>4.580821917808219</v>
      </c>
      <c r="G198" s="11">
        <v>8</v>
      </c>
      <c r="H198" s="564">
        <f t="shared" si="26"/>
        <v>-3.419178082191781</v>
      </c>
      <c r="I198" s="20">
        <f t="shared" si="27"/>
        <v>0.11874999999999999</v>
      </c>
      <c r="J198" s="567">
        <v>181622</v>
      </c>
      <c r="K198" s="566">
        <v>146265.73117415514</v>
      </c>
      <c r="L198" s="35">
        <v>0</v>
      </c>
      <c r="M198" s="18">
        <f t="shared" si="28"/>
        <v>181622</v>
      </c>
      <c r="N198" s="18">
        <f t="shared" si="29"/>
        <v>98797.392054794516</v>
      </c>
      <c r="O198" s="21">
        <f t="shared" ref="O198:O241" si="31">IF(M198-N198&lt;=0,5%*M198,M198-N198)</f>
        <v>82824.607945205484</v>
      </c>
      <c r="P198" s="560">
        <f t="shared" ref="P198:P241" si="32">IF(O198=M198*5%,O198,O198*0.9)</f>
        <v>74542.147150684934</v>
      </c>
      <c r="Q198" s="561"/>
    </row>
    <row r="199" spans="2:17" ht="15.75">
      <c r="B199" s="54">
        <v>195</v>
      </c>
      <c r="C199" s="549" t="s">
        <v>102</v>
      </c>
      <c r="D199" s="19">
        <v>42800</v>
      </c>
      <c r="E199" s="19">
        <v>44470</v>
      </c>
      <c r="F199" s="564">
        <f t="shared" si="30"/>
        <v>4.5753424657534243</v>
      </c>
      <c r="G199" s="11">
        <v>8</v>
      </c>
      <c r="H199" s="564">
        <f t="shared" si="26"/>
        <v>-3.4246575342465757</v>
      </c>
      <c r="I199" s="20">
        <f t="shared" si="27"/>
        <v>0.11874999999999999</v>
      </c>
      <c r="J199" s="567">
        <v>29047</v>
      </c>
      <c r="K199" s="566">
        <v>23400.053271396071</v>
      </c>
      <c r="L199" s="35">
        <v>0</v>
      </c>
      <c r="M199" s="18">
        <f t="shared" si="28"/>
        <v>29047</v>
      </c>
      <c r="N199" s="18">
        <f t="shared" si="29"/>
        <v>15781.871746575342</v>
      </c>
      <c r="O199" s="21">
        <f t="shared" si="31"/>
        <v>13265.128253424658</v>
      </c>
      <c r="P199" s="560">
        <f t="shared" si="32"/>
        <v>11938.615428082192</v>
      </c>
      <c r="Q199" s="561"/>
    </row>
    <row r="200" spans="2:17" ht="15.75">
      <c r="B200" s="54">
        <v>196</v>
      </c>
      <c r="C200" s="549" t="s">
        <v>102</v>
      </c>
      <c r="D200" s="19">
        <v>42800</v>
      </c>
      <c r="E200" s="19">
        <v>44470</v>
      </c>
      <c r="F200" s="564">
        <f t="shared" si="30"/>
        <v>4.5753424657534243</v>
      </c>
      <c r="G200" s="11">
        <v>8</v>
      </c>
      <c r="H200" s="564">
        <f t="shared" si="26"/>
        <v>-3.4246575342465757</v>
      </c>
      <c r="I200" s="20">
        <f t="shared" si="27"/>
        <v>0.11874999999999999</v>
      </c>
      <c r="J200" s="567">
        <v>73443.5</v>
      </c>
      <c r="K200" s="566">
        <v>59165.552808819404</v>
      </c>
      <c r="L200" s="35">
        <v>0</v>
      </c>
      <c r="M200" s="18">
        <f t="shared" si="28"/>
        <v>73443.5</v>
      </c>
      <c r="N200" s="18">
        <f t="shared" si="29"/>
        <v>39903.463270547945</v>
      </c>
      <c r="O200" s="21">
        <f t="shared" si="31"/>
        <v>33540.036729452055</v>
      </c>
      <c r="P200" s="560">
        <f t="shared" si="32"/>
        <v>30186.033056506851</v>
      </c>
      <c r="Q200" s="561"/>
    </row>
    <row r="201" spans="2:17" ht="15.75">
      <c r="B201" s="54">
        <v>197</v>
      </c>
      <c r="C201" s="549" t="s">
        <v>102</v>
      </c>
      <c r="D201" s="19">
        <v>42804</v>
      </c>
      <c r="E201" s="19">
        <v>44470</v>
      </c>
      <c r="F201" s="564">
        <f t="shared" si="30"/>
        <v>4.5643835616438357</v>
      </c>
      <c r="G201" s="11">
        <v>8</v>
      </c>
      <c r="H201" s="564">
        <f t="shared" si="26"/>
        <v>-3.4356164383561643</v>
      </c>
      <c r="I201" s="20">
        <f t="shared" si="27"/>
        <v>0.11874999999999999</v>
      </c>
      <c r="J201" s="567">
        <v>53341</v>
      </c>
      <c r="K201" s="566">
        <v>42999.106771874976</v>
      </c>
      <c r="L201" s="35">
        <v>0</v>
      </c>
      <c r="M201" s="18">
        <f t="shared" si="28"/>
        <v>53341</v>
      </c>
      <c r="N201" s="18">
        <f t="shared" si="29"/>
        <v>28911.918047945204</v>
      </c>
      <c r="O201" s="21">
        <f t="shared" si="31"/>
        <v>24429.081952054796</v>
      </c>
      <c r="P201" s="560">
        <f t="shared" si="32"/>
        <v>21986.173756849315</v>
      </c>
      <c r="Q201" s="561"/>
    </row>
    <row r="202" spans="2:17" ht="15.75">
      <c r="B202" s="54">
        <v>198</v>
      </c>
      <c r="C202" s="549" t="s">
        <v>102</v>
      </c>
      <c r="D202" s="19">
        <v>42810</v>
      </c>
      <c r="E202" s="19">
        <v>44470</v>
      </c>
      <c r="F202" s="564">
        <f t="shared" si="30"/>
        <v>4.5479452054794525</v>
      </c>
      <c r="G202" s="11">
        <v>8</v>
      </c>
      <c r="H202" s="564">
        <f t="shared" si="26"/>
        <v>-3.4520547945205475</v>
      </c>
      <c r="I202" s="20">
        <f t="shared" si="27"/>
        <v>0.11874999999999999</v>
      </c>
      <c r="J202" s="567">
        <v>42414.3</v>
      </c>
      <c r="K202" s="566">
        <v>34224.279907598386</v>
      </c>
      <c r="L202" s="35">
        <v>0</v>
      </c>
      <c r="M202" s="18">
        <f t="shared" si="28"/>
        <v>42414.3</v>
      </c>
      <c r="N202" s="18">
        <f t="shared" si="29"/>
        <v>22906.6270890411</v>
      </c>
      <c r="O202" s="21">
        <f t="shared" si="31"/>
        <v>19507.672910958903</v>
      </c>
      <c r="P202" s="560">
        <f t="shared" si="32"/>
        <v>17556.905619863013</v>
      </c>
      <c r="Q202" s="561"/>
    </row>
    <row r="203" spans="2:17" ht="15.75">
      <c r="B203" s="54">
        <v>199</v>
      </c>
      <c r="C203" s="549" t="s">
        <v>102</v>
      </c>
      <c r="D203" s="19">
        <v>42812</v>
      </c>
      <c r="E203" s="19">
        <v>44470</v>
      </c>
      <c r="F203" s="564">
        <f t="shared" si="30"/>
        <v>4.5424657534246577</v>
      </c>
      <c r="G203" s="11">
        <v>8</v>
      </c>
      <c r="H203" s="564">
        <f t="shared" si="26"/>
        <v>-3.4575342465753423</v>
      </c>
      <c r="I203" s="20">
        <f t="shared" si="27"/>
        <v>0.11874999999999999</v>
      </c>
      <c r="J203" s="567">
        <v>26585</v>
      </c>
      <c r="K203" s="566">
        <v>21458.523352945351</v>
      </c>
      <c r="L203" s="35">
        <v>0</v>
      </c>
      <c r="M203" s="18">
        <f t="shared" si="28"/>
        <v>26585</v>
      </c>
      <c r="N203" s="18">
        <f t="shared" si="29"/>
        <v>14340.42243150685</v>
      </c>
      <c r="O203" s="21">
        <f t="shared" si="31"/>
        <v>12244.57756849315</v>
      </c>
      <c r="P203" s="560">
        <f t="shared" si="32"/>
        <v>11020.119811643835</v>
      </c>
      <c r="Q203" s="561"/>
    </row>
    <row r="204" spans="2:17" ht="15.75">
      <c r="B204" s="54">
        <v>200</v>
      </c>
      <c r="C204" s="549" t="s">
        <v>102</v>
      </c>
      <c r="D204" s="19">
        <v>42812</v>
      </c>
      <c r="E204" s="19">
        <v>44470</v>
      </c>
      <c r="F204" s="564">
        <f t="shared" si="30"/>
        <v>4.5424657534246577</v>
      </c>
      <c r="G204" s="11">
        <v>8</v>
      </c>
      <c r="H204" s="564">
        <f t="shared" si="26"/>
        <v>-3.4575342465753423</v>
      </c>
      <c r="I204" s="20">
        <f t="shared" si="27"/>
        <v>0.11874999999999999</v>
      </c>
      <c r="J204" s="567">
        <v>70553</v>
      </c>
      <c r="K204" s="566">
        <v>56948.023250718565</v>
      </c>
      <c r="L204" s="35">
        <v>0</v>
      </c>
      <c r="M204" s="18">
        <f t="shared" si="28"/>
        <v>70553</v>
      </c>
      <c r="N204" s="18">
        <f t="shared" si="29"/>
        <v>38057.544623287671</v>
      </c>
      <c r="O204" s="21">
        <f t="shared" si="31"/>
        <v>32495.455376712329</v>
      </c>
      <c r="P204" s="560">
        <f t="shared" si="32"/>
        <v>29245.909839041098</v>
      </c>
      <c r="Q204" s="561"/>
    </row>
    <row r="205" spans="2:17" ht="15.75">
      <c r="B205" s="54">
        <v>201</v>
      </c>
      <c r="C205" s="549" t="s">
        <v>102</v>
      </c>
      <c r="D205" s="19">
        <v>42813</v>
      </c>
      <c r="E205" s="19">
        <v>44470</v>
      </c>
      <c r="F205" s="564">
        <f t="shared" si="30"/>
        <v>4.5397260273972604</v>
      </c>
      <c r="G205" s="11">
        <v>8</v>
      </c>
      <c r="H205" s="564">
        <f t="shared" si="26"/>
        <v>-3.4602739726027396</v>
      </c>
      <c r="I205" s="20">
        <f t="shared" si="27"/>
        <v>0.11874999999999999</v>
      </c>
      <c r="J205" s="567">
        <v>59678</v>
      </c>
      <c r="K205" s="566">
        <v>48177.913547231576</v>
      </c>
      <c r="L205" s="35">
        <v>0</v>
      </c>
      <c r="M205" s="18">
        <f t="shared" si="28"/>
        <v>59678</v>
      </c>
      <c r="N205" s="18">
        <f t="shared" si="29"/>
        <v>32171.960171232873</v>
      </c>
      <c r="O205" s="21">
        <f t="shared" si="31"/>
        <v>27506.039828767127</v>
      </c>
      <c r="P205" s="560">
        <f t="shared" si="32"/>
        <v>24755.435845890413</v>
      </c>
      <c r="Q205" s="561"/>
    </row>
    <row r="206" spans="2:17" ht="15.75">
      <c r="B206" s="54">
        <v>202</v>
      </c>
      <c r="C206" s="549" t="s">
        <v>102</v>
      </c>
      <c r="D206" s="19">
        <v>42815</v>
      </c>
      <c r="E206" s="19">
        <v>44470</v>
      </c>
      <c r="F206" s="564">
        <f t="shared" si="30"/>
        <v>4.5342465753424657</v>
      </c>
      <c r="G206" s="11">
        <v>8</v>
      </c>
      <c r="H206" s="564">
        <f t="shared" si="26"/>
        <v>-3.4657534246575343</v>
      </c>
      <c r="I206" s="20">
        <f t="shared" si="27"/>
        <v>0.11874999999999999</v>
      </c>
      <c r="J206" s="567">
        <v>220860.02</v>
      </c>
      <c r="K206" s="566">
        <v>178357.723062951</v>
      </c>
      <c r="L206" s="35">
        <v>0</v>
      </c>
      <c r="M206" s="18">
        <f t="shared" si="28"/>
        <v>220860.02</v>
      </c>
      <c r="N206" s="18">
        <f t="shared" si="29"/>
        <v>118920.26248116436</v>
      </c>
      <c r="O206" s="21">
        <f t="shared" si="31"/>
        <v>101939.75751883563</v>
      </c>
      <c r="P206" s="560">
        <f t="shared" si="32"/>
        <v>91745.781766952074</v>
      </c>
      <c r="Q206" s="561"/>
    </row>
    <row r="207" spans="2:17" ht="15.75">
      <c r="B207" s="54">
        <v>203</v>
      </c>
      <c r="C207" s="549" t="s">
        <v>102</v>
      </c>
      <c r="D207" s="19">
        <v>42815</v>
      </c>
      <c r="E207" s="19">
        <v>44470</v>
      </c>
      <c r="F207" s="564">
        <f t="shared" si="30"/>
        <v>4.5342465753424657</v>
      </c>
      <c r="G207" s="11">
        <v>8</v>
      </c>
      <c r="H207" s="564">
        <f t="shared" si="26"/>
        <v>-3.4657534246575343</v>
      </c>
      <c r="I207" s="20">
        <f t="shared" si="27"/>
        <v>0.11874999999999999</v>
      </c>
      <c r="J207" s="567">
        <v>141616.25</v>
      </c>
      <c r="K207" s="566">
        <v>114363.62225591412</v>
      </c>
      <c r="L207" s="35">
        <v>0</v>
      </c>
      <c r="M207" s="18">
        <f t="shared" si="28"/>
        <v>141616.25</v>
      </c>
      <c r="N207" s="18">
        <f t="shared" si="29"/>
        <v>76252.1058433219</v>
      </c>
      <c r="O207" s="21">
        <f t="shared" si="31"/>
        <v>65364.1441566781</v>
      </c>
      <c r="P207" s="560">
        <f t="shared" si="32"/>
        <v>58827.729741010291</v>
      </c>
      <c r="Q207" s="561"/>
    </row>
    <row r="208" spans="2:17" ht="15.75">
      <c r="B208" s="54">
        <v>204</v>
      </c>
      <c r="C208" s="549" t="s">
        <v>102</v>
      </c>
      <c r="D208" s="19">
        <v>42820</v>
      </c>
      <c r="E208" s="19">
        <v>44470</v>
      </c>
      <c r="F208" s="564">
        <f t="shared" si="30"/>
        <v>4.5205479452054798</v>
      </c>
      <c r="G208" s="11">
        <v>8</v>
      </c>
      <c r="H208" s="564">
        <f t="shared" si="26"/>
        <v>-3.4794520547945202</v>
      </c>
      <c r="I208" s="20">
        <f t="shared" si="27"/>
        <v>0.11874999999999999</v>
      </c>
      <c r="J208" s="567">
        <v>210840</v>
      </c>
      <c r="K208" s="566">
        <v>170404.21414220531</v>
      </c>
      <c r="L208" s="35">
        <v>0</v>
      </c>
      <c r="M208" s="18">
        <f t="shared" si="28"/>
        <v>210840</v>
      </c>
      <c r="N208" s="18">
        <f t="shared" si="29"/>
        <v>113182.08904109591</v>
      </c>
      <c r="O208" s="21">
        <f t="shared" si="31"/>
        <v>97657.910958904089</v>
      </c>
      <c r="P208" s="560">
        <f t="shared" si="32"/>
        <v>87892.119863013679</v>
      </c>
      <c r="Q208" s="561"/>
    </row>
    <row r="209" spans="2:17" ht="15.75">
      <c r="B209" s="54">
        <v>205</v>
      </c>
      <c r="C209" s="549" t="s">
        <v>102</v>
      </c>
      <c r="D209" s="19">
        <v>42820</v>
      </c>
      <c r="E209" s="19">
        <v>44470</v>
      </c>
      <c r="F209" s="564">
        <f t="shared" si="30"/>
        <v>4.5205479452054798</v>
      </c>
      <c r="G209" s="11">
        <v>8</v>
      </c>
      <c r="H209" s="564">
        <f t="shared" si="26"/>
        <v>-3.4794520547945202</v>
      </c>
      <c r="I209" s="20">
        <f t="shared" si="27"/>
        <v>0.11874999999999999</v>
      </c>
      <c r="J209" s="567">
        <v>58794</v>
      </c>
      <c r="K209" s="566">
        <v>47518.238314725946</v>
      </c>
      <c r="L209" s="35">
        <v>0</v>
      </c>
      <c r="M209" s="18">
        <f t="shared" si="28"/>
        <v>58794</v>
      </c>
      <c r="N209" s="18">
        <f t="shared" si="29"/>
        <v>31561.505136986307</v>
      </c>
      <c r="O209" s="21">
        <f t="shared" si="31"/>
        <v>27232.494863013693</v>
      </c>
      <c r="P209" s="560">
        <f t="shared" si="32"/>
        <v>24509.245376712326</v>
      </c>
      <c r="Q209" s="561"/>
    </row>
    <row r="210" spans="2:17" ht="15.75">
      <c r="B210" s="54">
        <v>206</v>
      </c>
      <c r="C210" s="550" t="s">
        <v>126</v>
      </c>
      <c r="D210" s="19">
        <v>42828</v>
      </c>
      <c r="E210" s="19">
        <v>44470</v>
      </c>
      <c r="F210" s="564">
        <f t="shared" si="30"/>
        <v>4.4986301369863018</v>
      </c>
      <c r="G210" s="11">
        <v>8</v>
      </c>
      <c r="H210" s="564">
        <f t="shared" si="26"/>
        <v>-3.5013698630136982</v>
      </c>
      <c r="I210" s="20">
        <f t="shared" si="27"/>
        <v>0.11874999999999999</v>
      </c>
      <c r="J210" s="567">
        <v>34356</v>
      </c>
      <c r="K210" s="566">
        <v>22305.377000912551</v>
      </c>
      <c r="L210" s="35">
        <v>0</v>
      </c>
      <c r="M210" s="18">
        <f t="shared" si="28"/>
        <v>34356</v>
      </c>
      <c r="N210" s="18">
        <f t="shared" si="29"/>
        <v>18353.39876712329</v>
      </c>
      <c r="O210" s="21">
        <f t="shared" si="31"/>
        <v>16002.60123287671</v>
      </c>
      <c r="P210" s="560">
        <f t="shared" si="32"/>
        <v>14402.341109589039</v>
      </c>
      <c r="Q210" s="561"/>
    </row>
    <row r="211" spans="2:17" ht="15.75">
      <c r="B211" s="54">
        <v>207</v>
      </c>
      <c r="C211" s="550" t="s">
        <v>126</v>
      </c>
      <c r="D211" s="19">
        <v>42830</v>
      </c>
      <c r="E211" s="19">
        <v>44470</v>
      </c>
      <c r="F211" s="564">
        <f t="shared" si="30"/>
        <v>4.493150684931507</v>
      </c>
      <c r="G211" s="11">
        <v>8</v>
      </c>
      <c r="H211" s="564">
        <f t="shared" si="26"/>
        <v>-3.506849315068493</v>
      </c>
      <c r="I211" s="20">
        <f t="shared" si="27"/>
        <v>0.11874999999999999</v>
      </c>
      <c r="J211" s="567">
        <f>20718+20718</f>
        <v>41436</v>
      </c>
      <c r="K211" s="566">
        <v>26949.160432815814</v>
      </c>
      <c r="L211" s="35">
        <v>0</v>
      </c>
      <c r="M211" s="18">
        <f t="shared" si="28"/>
        <v>41436</v>
      </c>
      <c r="N211" s="18">
        <f t="shared" si="29"/>
        <v>22108.660273972604</v>
      </c>
      <c r="O211" s="21">
        <f t="shared" si="31"/>
        <v>19327.339726027396</v>
      </c>
      <c r="P211" s="560">
        <f t="shared" si="32"/>
        <v>17394.605753424657</v>
      </c>
      <c r="Q211" s="561"/>
    </row>
    <row r="212" spans="2:17" ht="15.75">
      <c r="B212" s="54">
        <v>208</v>
      </c>
      <c r="C212" s="550" t="s">
        <v>126</v>
      </c>
      <c r="D212" s="19">
        <v>42836</v>
      </c>
      <c r="E212" s="19">
        <v>44470</v>
      </c>
      <c r="F212" s="564">
        <f t="shared" si="30"/>
        <v>4.4767123287671229</v>
      </c>
      <c r="G212" s="11">
        <v>8</v>
      </c>
      <c r="H212" s="564">
        <f t="shared" si="26"/>
        <v>-3.5232876712328771</v>
      </c>
      <c r="I212" s="20">
        <f t="shared" si="27"/>
        <v>0.11874999999999999</v>
      </c>
      <c r="J212" s="567">
        <v>155922.64000000001</v>
      </c>
      <c r="K212" s="566">
        <v>101941.34591329677</v>
      </c>
      <c r="L212" s="35">
        <v>0</v>
      </c>
      <c r="M212" s="18">
        <f t="shared" si="28"/>
        <v>155922.64000000001</v>
      </c>
      <c r="N212" s="18">
        <f t="shared" si="29"/>
        <v>82889.970572602731</v>
      </c>
      <c r="O212" s="21">
        <f t="shared" si="31"/>
        <v>73032.669427397283</v>
      </c>
      <c r="P212" s="560">
        <f t="shared" si="32"/>
        <v>65729.402484657563</v>
      </c>
      <c r="Q212" s="561"/>
    </row>
    <row r="213" spans="2:17" ht="15.75">
      <c r="B213" s="54">
        <v>209</v>
      </c>
      <c r="C213" s="550" t="s">
        <v>126</v>
      </c>
      <c r="D213" s="19">
        <v>42839</v>
      </c>
      <c r="E213" s="19">
        <v>44470</v>
      </c>
      <c r="F213" s="564">
        <f t="shared" si="30"/>
        <v>4.4684931506849317</v>
      </c>
      <c r="G213" s="11">
        <v>8</v>
      </c>
      <c r="H213" s="564">
        <f t="shared" si="26"/>
        <v>-3.5315068493150683</v>
      </c>
      <c r="I213" s="20">
        <f t="shared" si="27"/>
        <v>0.11874999999999999</v>
      </c>
      <c r="J213" s="567">
        <v>273570</v>
      </c>
      <c r="K213" s="566">
        <v>179325.60885929823</v>
      </c>
      <c r="L213" s="35">
        <v>0</v>
      </c>
      <c r="M213" s="18">
        <f t="shared" si="28"/>
        <v>273570</v>
      </c>
      <c r="N213" s="18">
        <f t="shared" si="29"/>
        <v>145165.42345890409</v>
      </c>
      <c r="O213" s="21">
        <f t="shared" si="31"/>
        <v>128404.57654109591</v>
      </c>
      <c r="P213" s="560">
        <f t="shared" si="32"/>
        <v>115564.11888698633</v>
      </c>
      <c r="Q213" s="561"/>
    </row>
    <row r="214" spans="2:17" ht="15.75">
      <c r="B214" s="54">
        <v>210</v>
      </c>
      <c r="C214" s="550" t="s">
        <v>126</v>
      </c>
      <c r="D214" s="19">
        <v>42851</v>
      </c>
      <c r="E214" s="19">
        <v>44470</v>
      </c>
      <c r="F214" s="564">
        <f t="shared" si="30"/>
        <v>4.4356164383561643</v>
      </c>
      <c r="G214" s="11">
        <v>8</v>
      </c>
      <c r="H214" s="564">
        <f t="shared" si="26"/>
        <v>-3.5643835616438357</v>
      </c>
      <c r="I214" s="20">
        <f t="shared" si="27"/>
        <v>0.11874999999999999</v>
      </c>
      <c r="J214" s="567">
        <v>455830.51</v>
      </c>
      <c r="K214" s="566">
        <v>301911.76539033948</v>
      </c>
      <c r="L214" s="35">
        <v>0</v>
      </c>
      <c r="M214" s="18">
        <f t="shared" si="28"/>
        <v>455830.51</v>
      </c>
      <c r="N214" s="18">
        <f t="shared" si="29"/>
        <v>240099.35476215751</v>
      </c>
      <c r="O214" s="21">
        <f t="shared" si="31"/>
        <v>215731.1552378425</v>
      </c>
      <c r="P214" s="560">
        <f t="shared" si="32"/>
        <v>194158.03971405825</v>
      </c>
      <c r="Q214" s="561"/>
    </row>
    <row r="215" spans="2:17" ht="15.75">
      <c r="B215" s="54">
        <v>211</v>
      </c>
      <c r="C215" s="550" t="s">
        <v>126</v>
      </c>
      <c r="D215" s="19">
        <v>42861</v>
      </c>
      <c r="E215" s="19">
        <v>44470</v>
      </c>
      <c r="F215" s="564">
        <f t="shared" si="30"/>
        <v>4.4082191780821915</v>
      </c>
      <c r="G215" s="11">
        <v>8</v>
      </c>
      <c r="H215" s="564">
        <f t="shared" si="26"/>
        <v>-3.5917808219178085</v>
      </c>
      <c r="I215" s="20">
        <f t="shared" si="27"/>
        <v>0.11874999999999999</v>
      </c>
      <c r="J215" s="567">
        <v>246576</v>
      </c>
      <c r="K215" s="566">
        <v>164719.96118779542</v>
      </c>
      <c r="L215" s="35">
        <v>0</v>
      </c>
      <c r="M215" s="18">
        <f t="shared" si="28"/>
        <v>246576</v>
      </c>
      <c r="N215" s="18">
        <f t="shared" si="29"/>
        <v>129076.62493150683</v>
      </c>
      <c r="O215" s="21">
        <f t="shared" si="31"/>
        <v>117499.37506849317</v>
      </c>
      <c r="P215" s="560">
        <f t="shared" si="32"/>
        <v>105749.43756164386</v>
      </c>
      <c r="Q215" s="561"/>
    </row>
    <row r="216" spans="2:17" ht="15.75">
      <c r="B216" s="54">
        <v>212</v>
      </c>
      <c r="C216" s="550" t="s">
        <v>126</v>
      </c>
      <c r="D216" s="19">
        <v>42871</v>
      </c>
      <c r="E216" s="19">
        <v>44470</v>
      </c>
      <c r="F216" s="564">
        <f t="shared" si="30"/>
        <v>4.3808219178082188</v>
      </c>
      <c r="G216" s="11">
        <v>8</v>
      </c>
      <c r="H216" s="564">
        <f t="shared" si="26"/>
        <v>-3.6191780821917812</v>
      </c>
      <c r="I216" s="20">
        <f t="shared" si="27"/>
        <v>0.11874999999999999</v>
      </c>
      <c r="J216" s="567">
        <v>58094</v>
      </c>
      <c r="K216" s="566">
        <v>39139.52177351986</v>
      </c>
      <c r="L216" s="35">
        <v>0</v>
      </c>
      <c r="M216" s="18">
        <f t="shared" si="28"/>
        <v>58094</v>
      </c>
      <c r="N216" s="18">
        <f t="shared" si="29"/>
        <v>30221.811883561641</v>
      </c>
      <c r="O216" s="21">
        <f t="shared" si="31"/>
        <v>27872.188116438359</v>
      </c>
      <c r="P216" s="560">
        <f t="shared" si="32"/>
        <v>25084.969304794526</v>
      </c>
      <c r="Q216" s="561"/>
    </row>
    <row r="217" spans="2:17" ht="15.75">
      <c r="B217" s="54">
        <v>213</v>
      </c>
      <c r="C217" s="550" t="s">
        <v>126</v>
      </c>
      <c r="D217" s="19">
        <v>42879</v>
      </c>
      <c r="E217" s="19">
        <v>44470</v>
      </c>
      <c r="F217" s="564">
        <f t="shared" si="30"/>
        <v>4.3589041095890408</v>
      </c>
      <c r="G217" s="11">
        <v>8</v>
      </c>
      <c r="H217" s="564">
        <f t="shared" si="26"/>
        <v>-3.6410958904109592</v>
      </c>
      <c r="I217" s="20">
        <f t="shared" si="27"/>
        <v>0.11874999999999999</v>
      </c>
      <c r="J217" s="567">
        <v>283949</v>
      </c>
      <c r="K217" s="566">
        <v>192599.15063657047</v>
      </c>
      <c r="L217" s="35">
        <v>0</v>
      </c>
      <c r="M217" s="18">
        <f t="shared" si="28"/>
        <v>283949</v>
      </c>
      <c r="N217" s="18">
        <f t="shared" si="29"/>
        <v>146977.64248287669</v>
      </c>
      <c r="O217" s="21">
        <f t="shared" si="31"/>
        <v>136971.35751712331</v>
      </c>
      <c r="P217" s="560">
        <f t="shared" si="32"/>
        <v>123274.22176541098</v>
      </c>
      <c r="Q217" s="561"/>
    </row>
    <row r="218" spans="2:17" ht="15.75">
      <c r="B218" s="54">
        <v>214</v>
      </c>
      <c r="C218" s="550" t="s">
        <v>126</v>
      </c>
      <c r="D218" s="19">
        <v>42894</v>
      </c>
      <c r="E218" s="19">
        <v>44470</v>
      </c>
      <c r="F218" s="564">
        <f t="shared" si="30"/>
        <v>4.3178082191780822</v>
      </c>
      <c r="G218" s="11">
        <v>8</v>
      </c>
      <c r="H218" s="564">
        <f t="shared" si="26"/>
        <v>-3.6821917808219178</v>
      </c>
      <c r="I218" s="20">
        <f t="shared" si="27"/>
        <v>0.11874999999999999</v>
      </c>
      <c r="J218" s="567">
        <v>266643</v>
      </c>
      <c r="K218" s="566">
        <v>183141.82516872659</v>
      </c>
      <c r="L218" s="35">
        <v>0</v>
      </c>
      <c r="M218" s="18">
        <f t="shared" si="28"/>
        <v>266643</v>
      </c>
      <c r="N218" s="18">
        <f t="shared" si="29"/>
        <v>136718.45876712329</v>
      </c>
      <c r="O218" s="21">
        <f t="shared" si="31"/>
        <v>129924.54123287671</v>
      </c>
      <c r="P218" s="560">
        <f t="shared" si="32"/>
        <v>116932.08710958905</v>
      </c>
      <c r="Q218" s="561"/>
    </row>
    <row r="219" spans="2:17" ht="15.75">
      <c r="B219" s="54">
        <v>215</v>
      </c>
      <c r="C219" s="550" t="s">
        <v>126</v>
      </c>
      <c r="D219" s="19">
        <v>42895</v>
      </c>
      <c r="E219" s="19">
        <v>44470</v>
      </c>
      <c r="F219" s="564">
        <f t="shared" si="30"/>
        <v>4.3150684931506849</v>
      </c>
      <c r="G219" s="11">
        <v>8</v>
      </c>
      <c r="H219" s="564">
        <f t="shared" ref="H219:H237" si="33">F219-G219</f>
        <v>-3.6849315068493151</v>
      </c>
      <c r="I219" s="20">
        <f t="shared" si="27"/>
        <v>0.11874999999999999</v>
      </c>
      <c r="J219" s="567">
        <v>71820</v>
      </c>
      <c r="K219" s="566">
        <v>49370.025303636394</v>
      </c>
      <c r="L219" s="35">
        <v>0</v>
      </c>
      <c r="M219" s="18">
        <f t="shared" si="28"/>
        <v>71820</v>
      </c>
      <c r="N219" s="18">
        <f t="shared" si="29"/>
        <v>36801.601027397257</v>
      </c>
      <c r="O219" s="21">
        <f t="shared" si="31"/>
        <v>35018.398972602743</v>
      </c>
      <c r="P219" s="560">
        <f t="shared" si="32"/>
        <v>31516.559075342469</v>
      </c>
      <c r="Q219" s="561"/>
    </row>
    <row r="220" spans="2:17" ht="15.75">
      <c r="B220" s="54">
        <v>216</v>
      </c>
      <c r="C220" s="550" t="s">
        <v>126</v>
      </c>
      <c r="D220" s="19">
        <v>42898</v>
      </c>
      <c r="E220" s="19">
        <v>44470</v>
      </c>
      <c r="F220" s="564">
        <f t="shared" si="30"/>
        <v>4.3068493150684928</v>
      </c>
      <c r="G220" s="11">
        <v>8</v>
      </c>
      <c r="H220" s="564">
        <f t="shared" si="33"/>
        <v>-3.6931506849315072</v>
      </c>
      <c r="I220" s="20">
        <f t="shared" si="27"/>
        <v>0.11874999999999999</v>
      </c>
      <c r="J220" s="567">
        <v>518816.5</v>
      </c>
      <c r="K220" s="566">
        <v>357529.45084768848</v>
      </c>
      <c r="L220" s="35">
        <v>0</v>
      </c>
      <c r="M220" s="18">
        <f t="shared" si="28"/>
        <v>518816.5</v>
      </c>
      <c r="N220" s="18">
        <f t="shared" si="29"/>
        <v>265342.65791095886</v>
      </c>
      <c r="O220" s="21">
        <f t="shared" si="31"/>
        <v>253473.84208904114</v>
      </c>
      <c r="P220" s="560">
        <f t="shared" si="32"/>
        <v>228126.45788013702</v>
      </c>
      <c r="Q220" s="561"/>
    </row>
    <row r="221" spans="2:17" ht="15.75">
      <c r="B221" s="54">
        <v>217</v>
      </c>
      <c r="C221" s="550" t="s">
        <v>126</v>
      </c>
      <c r="D221" s="19">
        <v>42903</v>
      </c>
      <c r="E221" s="19">
        <v>44470</v>
      </c>
      <c r="F221" s="564">
        <f t="shared" si="30"/>
        <v>4.2931506849315069</v>
      </c>
      <c r="G221" s="11">
        <v>8</v>
      </c>
      <c r="H221" s="564">
        <f t="shared" si="33"/>
        <v>-3.7068493150684931</v>
      </c>
      <c r="I221" s="20">
        <f t="shared" si="27"/>
        <v>0.11874999999999999</v>
      </c>
      <c r="J221" s="567">
        <v>52813</v>
      </c>
      <c r="K221" s="566">
        <v>36545.456735145592</v>
      </c>
      <c r="L221" s="35">
        <v>0</v>
      </c>
      <c r="M221" s="18">
        <f t="shared" si="28"/>
        <v>52813</v>
      </c>
      <c r="N221" s="18">
        <f t="shared" si="29"/>
        <v>26924.682345890407</v>
      </c>
      <c r="O221" s="21">
        <f t="shared" si="31"/>
        <v>25888.317654109593</v>
      </c>
      <c r="P221" s="560">
        <f t="shared" si="32"/>
        <v>23299.485888698633</v>
      </c>
      <c r="Q221" s="561"/>
    </row>
    <row r="222" spans="2:17" ht="15.75">
      <c r="B222" s="54">
        <v>218</v>
      </c>
      <c r="C222" s="550" t="s">
        <v>126</v>
      </c>
      <c r="D222" s="19">
        <v>42914</v>
      </c>
      <c r="E222" s="19">
        <v>44470</v>
      </c>
      <c r="F222" s="564">
        <f t="shared" si="30"/>
        <v>4.2630136986301368</v>
      </c>
      <c r="G222" s="11">
        <v>8</v>
      </c>
      <c r="H222" s="564">
        <f t="shared" si="33"/>
        <v>-3.7369863013698632</v>
      </c>
      <c r="I222" s="20">
        <f t="shared" si="27"/>
        <v>0.11874999999999999</v>
      </c>
      <c r="J222" s="567">
        <v>268381</v>
      </c>
      <c r="K222" s="566">
        <v>187399.17590762585</v>
      </c>
      <c r="L222" s="35">
        <v>0</v>
      </c>
      <c r="M222" s="18">
        <f t="shared" si="28"/>
        <v>268381</v>
      </c>
      <c r="N222" s="18">
        <f t="shared" si="29"/>
        <v>135863.2856849315</v>
      </c>
      <c r="O222" s="21">
        <f t="shared" si="31"/>
        <v>132517.7143150685</v>
      </c>
      <c r="P222" s="560">
        <f t="shared" si="32"/>
        <v>119265.94288356166</v>
      </c>
      <c r="Q222" s="561"/>
    </row>
    <row r="223" spans="2:17" ht="15.75">
      <c r="B223" s="54">
        <v>219</v>
      </c>
      <c r="C223" s="674" t="s">
        <v>127</v>
      </c>
      <c r="D223" s="19">
        <v>43561</v>
      </c>
      <c r="E223" s="19">
        <v>44470</v>
      </c>
      <c r="F223" s="564">
        <f t="shared" si="30"/>
        <v>2.4904109589041097</v>
      </c>
      <c r="G223" s="11">
        <v>5</v>
      </c>
      <c r="H223" s="564">
        <f t="shared" si="33"/>
        <v>-2.5095890410958903</v>
      </c>
      <c r="I223" s="20">
        <f t="shared" si="27"/>
        <v>0.19</v>
      </c>
      <c r="J223" s="569">
        <v>2150</v>
      </c>
      <c r="K223" s="566">
        <v>1947.1452089337176</v>
      </c>
      <c r="L223" s="35">
        <v>0</v>
      </c>
      <c r="M223" s="18">
        <f t="shared" si="28"/>
        <v>2150</v>
      </c>
      <c r="N223" s="18">
        <f t="shared" si="29"/>
        <v>1017.3328767123288</v>
      </c>
      <c r="O223" s="21">
        <f t="shared" si="31"/>
        <v>1132.6671232876711</v>
      </c>
      <c r="P223" s="560">
        <f t="shared" si="32"/>
        <v>1019.400410958904</v>
      </c>
      <c r="Q223" s="561"/>
    </row>
    <row r="224" spans="2:17" ht="15.75">
      <c r="B224" s="54">
        <v>220</v>
      </c>
      <c r="C224" s="562" t="s">
        <v>128</v>
      </c>
      <c r="D224" s="19">
        <v>43700</v>
      </c>
      <c r="E224" s="19">
        <v>44470</v>
      </c>
      <c r="F224" s="564">
        <f t="shared" si="30"/>
        <v>2.1095890410958904</v>
      </c>
      <c r="G224" s="11">
        <v>8</v>
      </c>
      <c r="H224" s="564">
        <f t="shared" si="33"/>
        <v>-5.8904109589041092</v>
      </c>
      <c r="I224" s="20">
        <f t="shared" si="27"/>
        <v>0.11874999999999999</v>
      </c>
      <c r="J224" s="569">
        <v>55000</v>
      </c>
      <c r="K224" s="566">
        <v>50803.015140556578</v>
      </c>
      <c r="L224" s="35">
        <v>0</v>
      </c>
      <c r="M224" s="18">
        <f t="shared" si="28"/>
        <v>55000</v>
      </c>
      <c r="N224" s="18">
        <f t="shared" si="29"/>
        <v>13778.253424657532</v>
      </c>
      <c r="O224" s="21">
        <f t="shared" si="31"/>
        <v>41221.746575342469</v>
      </c>
      <c r="P224" s="560">
        <f t="shared" si="32"/>
        <v>37099.571917808222</v>
      </c>
      <c r="Q224" s="561"/>
    </row>
    <row r="225" spans="2:17" ht="15.75">
      <c r="B225" s="54">
        <v>221</v>
      </c>
      <c r="C225" s="562" t="s">
        <v>129</v>
      </c>
      <c r="D225" s="19">
        <v>43724</v>
      </c>
      <c r="E225" s="19">
        <v>44470</v>
      </c>
      <c r="F225" s="564">
        <f t="shared" si="30"/>
        <v>2.043835616438356</v>
      </c>
      <c r="G225" s="11">
        <v>8</v>
      </c>
      <c r="H225" s="564">
        <f t="shared" si="33"/>
        <v>-5.956164383561644</v>
      </c>
      <c r="I225" s="20">
        <f t="shared" si="27"/>
        <v>0.11874999999999999</v>
      </c>
      <c r="J225" s="569">
        <v>28845</v>
      </c>
      <c r="K225" s="566">
        <v>26733.73094326341</v>
      </c>
      <c r="L225" s="35">
        <v>0</v>
      </c>
      <c r="M225" s="18">
        <f t="shared" si="28"/>
        <v>28845</v>
      </c>
      <c r="N225" s="18">
        <f t="shared" si="29"/>
        <v>7000.8395547945192</v>
      </c>
      <c r="O225" s="21">
        <f t="shared" si="31"/>
        <v>21844.160445205482</v>
      </c>
      <c r="P225" s="560">
        <f t="shared" si="32"/>
        <v>19659.744400684933</v>
      </c>
      <c r="Q225" s="561"/>
    </row>
    <row r="226" spans="2:17" ht="15.75">
      <c r="B226" s="54">
        <v>222</v>
      </c>
      <c r="C226" s="562" t="s">
        <v>130</v>
      </c>
      <c r="D226" s="19">
        <v>43757</v>
      </c>
      <c r="E226" s="19">
        <v>44470</v>
      </c>
      <c r="F226" s="564">
        <f t="shared" si="30"/>
        <v>1.9534246575342467</v>
      </c>
      <c r="G226" s="11">
        <v>15</v>
      </c>
      <c r="H226" s="564">
        <f t="shared" si="33"/>
        <v>-13.046575342465754</v>
      </c>
      <c r="I226" s="20">
        <f t="shared" si="27"/>
        <v>6.3333333333333325E-2</v>
      </c>
      <c r="J226" s="569">
        <v>281880</v>
      </c>
      <c r="K226" s="566">
        <v>262455.57043721975</v>
      </c>
      <c r="L226" s="35">
        <v>0</v>
      </c>
      <c r="M226" s="18">
        <f t="shared" si="28"/>
        <v>281880</v>
      </c>
      <c r="N226" s="18">
        <f t="shared" si="29"/>
        <v>34873.318356164382</v>
      </c>
      <c r="O226" s="21">
        <f t="shared" si="31"/>
        <v>247006.68164383562</v>
      </c>
      <c r="P226" s="560">
        <f t="shared" si="32"/>
        <v>222306.01347945206</v>
      </c>
      <c r="Q226" s="561"/>
    </row>
    <row r="227" spans="2:17" ht="15.75">
      <c r="B227" s="54">
        <v>223</v>
      </c>
      <c r="C227" s="562" t="s">
        <v>131</v>
      </c>
      <c r="D227" s="19">
        <v>43767</v>
      </c>
      <c r="E227" s="19">
        <v>44470</v>
      </c>
      <c r="F227" s="564">
        <f t="shared" si="30"/>
        <v>1.9260273972602739</v>
      </c>
      <c r="G227" s="11">
        <v>15</v>
      </c>
      <c r="H227" s="564">
        <f t="shared" si="33"/>
        <v>-13.073972602739726</v>
      </c>
      <c r="I227" s="20">
        <f t="shared" si="27"/>
        <v>6.3333333333333325E-2</v>
      </c>
      <c r="J227" s="569">
        <v>289000</v>
      </c>
      <c r="K227" s="566">
        <v>269460.0475286874</v>
      </c>
      <c r="L227" s="35">
        <v>0</v>
      </c>
      <c r="M227" s="18">
        <f t="shared" si="28"/>
        <v>289000</v>
      </c>
      <c r="N227" s="18">
        <f t="shared" si="29"/>
        <v>35252.721461187211</v>
      </c>
      <c r="O227" s="21">
        <f t="shared" si="31"/>
        <v>253747.2785388128</v>
      </c>
      <c r="P227" s="560">
        <f t="shared" si="32"/>
        <v>228372.55068493151</v>
      </c>
      <c r="Q227" s="561"/>
    </row>
    <row r="228" spans="2:17" ht="15.75">
      <c r="B228" s="54">
        <v>224</v>
      </c>
      <c r="C228" s="562" t="s">
        <v>132</v>
      </c>
      <c r="D228" s="19">
        <v>43799</v>
      </c>
      <c r="E228" s="19">
        <v>44470</v>
      </c>
      <c r="F228" s="564">
        <f t="shared" si="30"/>
        <v>1.8383561643835618</v>
      </c>
      <c r="G228" s="11">
        <v>10</v>
      </c>
      <c r="H228" s="564">
        <f t="shared" si="33"/>
        <v>-8.161643835616438</v>
      </c>
      <c r="I228" s="20">
        <f t="shared" si="27"/>
        <v>9.5000000000000001E-2</v>
      </c>
      <c r="J228" s="569">
        <v>160500</v>
      </c>
      <c r="K228" s="566">
        <v>150314.87516857064</v>
      </c>
      <c r="L228" s="35">
        <v>0.01</v>
      </c>
      <c r="M228" s="18">
        <f t="shared" si="28"/>
        <v>162105</v>
      </c>
      <c r="N228" s="18">
        <f t="shared" si="29"/>
        <v>28310.638972602741</v>
      </c>
      <c r="O228" s="21">
        <f t="shared" si="31"/>
        <v>133794.36102739727</v>
      </c>
      <c r="P228" s="560">
        <f t="shared" si="32"/>
        <v>120414.92492465755</v>
      </c>
      <c r="Q228" s="561"/>
    </row>
    <row r="229" spans="2:17" ht="15.75">
      <c r="B229" s="54">
        <v>225</v>
      </c>
      <c r="C229" s="562" t="s">
        <v>133</v>
      </c>
      <c r="D229" s="19">
        <v>43799</v>
      </c>
      <c r="E229" s="19">
        <v>44470</v>
      </c>
      <c r="F229" s="564">
        <f t="shared" si="30"/>
        <v>1.8383561643835618</v>
      </c>
      <c r="G229" s="11">
        <v>8</v>
      </c>
      <c r="H229" s="564">
        <f t="shared" si="33"/>
        <v>-6.161643835616438</v>
      </c>
      <c r="I229" s="20">
        <f t="shared" si="27"/>
        <v>0.11874999999999999</v>
      </c>
      <c r="J229" s="569">
        <v>19910</v>
      </c>
      <c r="K229" s="566">
        <v>18646.532698523264</v>
      </c>
      <c r="L229" s="35">
        <v>0</v>
      </c>
      <c r="M229" s="18">
        <f t="shared" si="28"/>
        <v>19910</v>
      </c>
      <c r="N229" s="18">
        <f t="shared" si="29"/>
        <v>4346.4484589041094</v>
      </c>
      <c r="O229" s="21">
        <f t="shared" si="31"/>
        <v>15563.551541095891</v>
      </c>
      <c r="P229" s="560">
        <f t="shared" si="32"/>
        <v>14007.196386986301</v>
      </c>
      <c r="Q229" s="561"/>
    </row>
    <row r="230" spans="2:17" ht="15.75">
      <c r="B230" s="54">
        <v>226</v>
      </c>
      <c r="C230" s="562" t="s">
        <v>134</v>
      </c>
      <c r="D230" s="19">
        <v>43810</v>
      </c>
      <c r="E230" s="19">
        <v>44470</v>
      </c>
      <c r="F230" s="564">
        <f t="shared" si="30"/>
        <v>1.8082191780821917</v>
      </c>
      <c r="G230" s="11">
        <v>8</v>
      </c>
      <c r="H230" s="564">
        <f t="shared" si="33"/>
        <v>-6.1917808219178081</v>
      </c>
      <c r="I230" s="20">
        <f t="shared" si="27"/>
        <v>0.11874999999999999</v>
      </c>
      <c r="J230" s="569">
        <v>11800</v>
      </c>
      <c r="K230" s="566">
        <v>11068.034152176937</v>
      </c>
      <c r="L230" s="35">
        <v>0</v>
      </c>
      <c r="M230" s="18">
        <f t="shared" si="28"/>
        <v>11800</v>
      </c>
      <c r="N230" s="18">
        <f t="shared" si="29"/>
        <v>2533.767123287671</v>
      </c>
      <c r="O230" s="21">
        <f t="shared" si="31"/>
        <v>9266.232876712329</v>
      </c>
      <c r="P230" s="560">
        <f t="shared" si="32"/>
        <v>8339.6095890410961</v>
      </c>
      <c r="Q230" s="561"/>
    </row>
    <row r="231" spans="2:17" ht="15.75">
      <c r="B231" s="54">
        <v>228</v>
      </c>
      <c r="C231" s="562" t="s">
        <v>136</v>
      </c>
      <c r="D231" s="19">
        <v>43816</v>
      </c>
      <c r="E231" s="19">
        <v>44470</v>
      </c>
      <c r="F231" s="564">
        <f t="shared" si="30"/>
        <v>1.7917808219178082</v>
      </c>
      <c r="G231" s="11">
        <v>10</v>
      </c>
      <c r="H231" s="564">
        <f t="shared" si="33"/>
        <v>-8.2082191780821923</v>
      </c>
      <c r="I231" s="20">
        <f t="shared" si="27"/>
        <v>9.5000000000000001E-2</v>
      </c>
      <c r="J231" s="569">
        <v>2781000</v>
      </c>
      <c r="K231" s="566">
        <v>2610657.7925642808</v>
      </c>
      <c r="L231" s="35">
        <v>0.03</v>
      </c>
      <c r="M231" s="18">
        <f t="shared" si="28"/>
        <v>2864430</v>
      </c>
      <c r="N231" s="18">
        <f t="shared" si="29"/>
        <v>487580.92027397262</v>
      </c>
      <c r="O231" s="21">
        <f t="shared" si="31"/>
        <v>2376849.0797260273</v>
      </c>
      <c r="P231" s="560">
        <f t="shared" si="32"/>
        <v>2139164.1717534247</v>
      </c>
      <c r="Q231" s="561"/>
    </row>
    <row r="232" spans="2:17" ht="15.75">
      <c r="B232" s="54">
        <v>229</v>
      </c>
      <c r="C232" s="562" t="s">
        <v>137</v>
      </c>
      <c r="D232" s="19">
        <v>43823</v>
      </c>
      <c r="E232" s="19">
        <v>44470</v>
      </c>
      <c r="F232" s="564">
        <f t="shared" si="30"/>
        <v>1.7726027397260273</v>
      </c>
      <c r="G232" s="11">
        <v>10</v>
      </c>
      <c r="H232" s="564">
        <f t="shared" si="33"/>
        <v>-8.2273972602739729</v>
      </c>
      <c r="I232" s="20">
        <f t="shared" si="27"/>
        <v>9.5000000000000001E-2</v>
      </c>
      <c r="J232" s="569">
        <v>30000</v>
      </c>
      <c r="K232" s="566">
        <v>28189.694300194391</v>
      </c>
      <c r="L232" s="35">
        <v>0.01</v>
      </c>
      <c r="M232" s="18">
        <f t="shared" si="28"/>
        <v>30300</v>
      </c>
      <c r="N232" s="18">
        <f t="shared" si="29"/>
        <v>5102.436986301369</v>
      </c>
      <c r="O232" s="21">
        <f t="shared" si="31"/>
        <v>25197.563013698629</v>
      </c>
      <c r="P232" s="560">
        <f t="shared" si="32"/>
        <v>22677.806712328766</v>
      </c>
      <c r="Q232" s="561"/>
    </row>
    <row r="233" spans="2:17" ht="15.75">
      <c r="B233" s="54">
        <v>230</v>
      </c>
      <c r="C233" s="562" t="s">
        <v>138</v>
      </c>
      <c r="D233" s="19">
        <v>43823</v>
      </c>
      <c r="E233" s="19">
        <v>44470</v>
      </c>
      <c r="F233" s="564">
        <f t="shared" si="30"/>
        <v>1.7726027397260273</v>
      </c>
      <c r="G233" s="11">
        <v>10</v>
      </c>
      <c r="H233" s="564">
        <f t="shared" si="33"/>
        <v>-8.2273972602739729</v>
      </c>
      <c r="I233" s="20">
        <f t="shared" si="27"/>
        <v>9.5000000000000001E-2</v>
      </c>
      <c r="J233" s="569">
        <v>24500</v>
      </c>
      <c r="K233" s="566">
        <v>23021.587633990559</v>
      </c>
      <c r="L233" s="35">
        <v>0.01</v>
      </c>
      <c r="M233" s="18">
        <f t="shared" si="28"/>
        <v>24745</v>
      </c>
      <c r="N233" s="18">
        <f t="shared" si="29"/>
        <v>4166.990205479452</v>
      </c>
      <c r="O233" s="21">
        <f t="shared" si="31"/>
        <v>20578.009794520549</v>
      </c>
      <c r="P233" s="560">
        <f t="shared" si="32"/>
        <v>18520.208815068494</v>
      </c>
      <c r="Q233" s="561"/>
    </row>
    <row r="234" spans="2:17" ht="15.75">
      <c r="B234" s="54">
        <v>233</v>
      </c>
      <c r="C234" s="562" t="s">
        <v>141</v>
      </c>
      <c r="D234" s="19">
        <v>43862</v>
      </c>
      <c r="E234" s="19">
        <v>44470</v>
      </c>
      <c r="F234" s="564">
        <f t="shared" si="30"/>
        <v>1.6657534246575343</v>
      </c>
      <c r="G234" s="11">
        <v>8</v>
      </c>
      <c r="H234" s="564">
        <f t="shared" si="33"/>
        <v>-6.3342465753424655</v>
      </c>
      <c r="I234" s="20">
        <f t="shared" si="27"/>
        <v>0.11874999999999999</v>
      </c>
      <c r="J234" s="569">
        <v>20000</v>
      </c>
      <c r="K234" s="566">
        <v>18894.369805275513</v>
      </c>
      <c r="L234" s="35">
        <v>0</v>
      </c>
      <c r="M234" s="18">
        <f t="shared" si="28"/>
        <v>20000</v>
      </c>
      <c r="N234" s="18">
        <f t="shared" si="29"/>
        <v>3956.1643835616437</v>
      </c>
      <c r="O234" s="21">
        <f t="shared" si="31"/>
        <v>16043.835616438357</v>
      </c>
      <c r="P234" s="560">
        <f t="shared" si="32"/>
        <v>14439.452054794521</v>
      </c>
      <c r="Q234" s="561"/>
    </row>
    <row r="235" spans="2:17" ht="15.75">
      <c r="B235" s="54">
        <v>234</v>
      </c>
      <c r="C235" s="562" t="s">
        <v>142</v>
      </c>
      <c r="D235" s="19">
        <v>43875</v>
      </c>
      <c r="E235" s="19">
        <v>44470</v>
      </c>
      <c r="F235" s="564">
        <f t="shared" si="30"/>
        <v>1.6301369863013699</v>
      </c>
      <c r="G235" s="11">
        <v>8</v>
      </c>
      <c r="H235" s="564">
        <f t="shared" si="33"/>
        <v>-6.3698630136986303</v>
      </c>
      <c r="I235" s="20">
        <f t="shared" si="27"/>
        <v>0.11874999999999999</v>
      </c>
      <c r="J235" s="569">
        <v>33840</v>
      </c>
      <c r="K235" s="566">
        <v>32026.382893575956</v>
      </c>
      <c r="L235" s="35">
        <v>0</v>
      </c>
      <c r="M235" s="18">
        <f t="shared" si="28"/>
        <v>33840</v>
      </c>
      <c r="N235" s="18">
        <f t="shared" si="29"/>
        <v>6550.7054794520545</v>
      </c>
      <c r="O235" s="21">
        <f t="shared" si="31"/>
        <v>27289.294520547945</v>
      </c>
      <c r="P235" s="560">
        <f t="shared" si="32"/>
        <v>24560.365068493149</v>
      </c>
      <c r="Q235" s="561"/>
    </row>
    <row r="236" spans="2:17" ht="15.75">
      <c r="B236" s="54">
        <v>235</v>
      </c>
      <c r="C236" s="562" t="s">
        <v>143</v>
      </c>
      <c r="D236" s="19">
        <v>43875</v>
      </c>
      <c r="E236" s="19">
        <v>44470</v>
      </c>
      <c r="F236" s="564">
        <f t="shared" si="30"/>
        <v>1.6301369863013699</v>
      </c>
      <c r="G236" s="11">
        <v>8</v>
      </c>
      <c r="H236" s="564">
        <f t="shared" si="33"/>
        <v>-6.3698630136986303</v>
      </c>
      <c r="I236" s="20">
        <f t="shared" si="27"/>
        <v>0.11874999999999999</v>
      </c>
      <c r="J236" s="569">
        <v>29070</v>
      </c>
      <c r="K236" s="566">
        <v>27512.020956713539</v>
      </c>
      <c r="L236" s="35">
        <v>0</v>
      </c>
      <c r="M236" s="18">
        <f t="shared" si="28"/>
        <v>29070</v>
      </c>
      <c r="N236" s="18">
        <f t="shared" si="29"/>
        <v>5627.3347602739723</v>
      </c>
      <c r="O236" s="21">
        <f t="shared" si="31"/>
        <v>23442.665239726026</v>
      </c>
      <c r="P236" s="560">
        <f t="shared" si="32"/>
        <v>21098.398715753425</v>
      </c>
      <c r="Q236" s="561"/>
    </row>
    <row r="237" spans="2:17" ht="15.75">
      <c r="B237" s="54">
        <v>236</v>
      </c>
      <c r="C237" s="562" t="s">
        <v>144</v>
      </c>
      <c r="D237" s="19">
        <v>43878</v>
      </c>
      <c r="E237" s="19">
        <v>44470</v>
      </c>
      <c r="F237" s="564">
        <f t="shared" si="30"/>
        <v>1.6219178082191781</v>
      </c>
      <c r="G237" s="11">
        <v>8</v>
      </c>
      <c r="H237" s="564">
        <f t="shared" si="33"/>
        <v>-6.3780821917808215</v>
      </c>
      <c r="I237" s="20">
        <f t="shared" si="27"/>
        <v>0.11874999999999999</v>
      </c>
      <c r="J237" s="569">
        <v>7397.4</v>
      </c>
      <c r="K237" s="566">
        <v>7003.8259983464241</v>
      </c>
      <c r="L237" s="35">
        <v>0</v>
      </c>
      <c r="M237" s="18">
        <f t="shared" si="28"/>
        <v>7397.4</v>
      </c>
      <c r="N237" s="18">
        <f t="shared" si="29"/>
        <v>1424.7595068493151</v>
      </c>
      <c r="O237" s="21">
        <f t="shared" si="31"/>
        <v>5972.6404931506841</v>
      </c>
      <c r="P237" s="560">
        <f t="shared" si="32"/>
        <v>5375.3764438356156</v>
      </c>
      <c r="Q237" s="561"/>
    </row>
    <row r="238" spans="2:17" ht="15.75">
      <c r="B238" s="54">
        <v>237</v>
      </c>
      <c r="C238" s="562" t="s">
        <v>145</v>
      </c>
      <c r="D238" s="19">
        <v>43878</v>
      </c>
      <c r="E238" s="19">
        <v>44470</v>
      </c>
      <c r="F238" s="564">
        <f t="shared" si="30"/>
        <v>1.6219178082191781</v>
      </c>
      <c r="G238" s="11">
        <v>8</v>
      </c>
      <c r="H238" s="564">
        <f>F238-G238</f>
        <v>-6.3780821917808215</v>
      </c>
      <c r="I238" s="20">
        <f t="shared" si="27"/>
        <v>0.11874999999999999</v>
      </c>
      <c r="J238" s="569">
        <v>19389.599999999999</v>
      </c>
      <c r="K238" s="566">
        <v>18357.985553258921</v>
      </c>
      <c r="L238" s="35">
        <v>0</v>
      </c>
      <c r="M238" s="18">
        <f t="shared" si="28"/>
        <v>19389.599999999999</v>
      </c>
      <c r="N238" s="18">
        <f t="shared" si="29"/>
        <v>3734.4900821917804</v>
      </c>
      <c r="O238" s="21">
        <f t="shared" si="31"/>
        <v>15655.109917808219</v>
      </c>
      <c r="P238" s="560">
        <f t="shared" si="32"/>
        <v>14089.598926027396</v>
      </c>
      <c r="Q238" s="561"/>
    </row>
    <row r="239" spans="2:17" ht="15.75">
      <c r="B239" s="54">
        <v>238</v>
      </c>
      <c r="C239" s="562" t="s">
        <v>146</v>
      </c>
      <c r="D239" s="19">
        <v>43878</v>
      </c>
      <c r="E239" s="19">
        <v>44470</v>
      </c>
      <c r="F239" s="564">
        <f t="shared" si="30"/>
        <v>1.6219178082191781</v>
      </c>
      <c r="G239" s="11">
        <v>8</v>
      </c>
      <c r="H239" s="564">
        <f>F239-G239</f>
        <v>-6.3780821917808215</v>
      </c>
      <c r="I239" s="20">
        <f t="shared" si="27"/>
        <v>0.11874999999999999</v>
      </c>
      <c r="J239" s="569">
        <v>17846.7</v>
      </c>
      <c r="K239" s="566">
        <v>16897.174446052089</v>
      </c>
      <c r="L239" s="35">
        <v>0</v>
      </c>
      <c r="M239" s="18">
        <f t="shared" si="28"/>
        <v>17846.7</v>
      </c>
      <c r="N239" s="18">
        <f t="shared" si="29"/>
        <v>3437.3233150684932</v>
      </c>
      <c r="O239" s="21">
        <f t="shared" si="31"/>
        <v>14409.376684931507</v>
      </c>
      <c r="P239" s="560">
        <f t="shared" si="32"/>
        <v>12968.439016438357</v>
      </c>
      <c r="Q239" s="561"/>
    </row>
    <row r="240" spans="2:17" ht="15.75">
      <c r="B240" s="54">
        <v>243</v>
      </c>
      <c r="C240" s="562" t="s">
        <v>151</v>
      </c>
      <c r="D240" s="19">
        <v>43897</v>
      </c>
      <c r="E240" s="19">
        <v>44470</v>
      </c>
      <c r="F240" s="564">
        <f t="shared" si="30"/>
        <v>1.5698630136986302</v>
      </c>
      <c r="G240" s="11">
        <v>8</v>
      </c>
      <c r="H240" s="564">
        <f t="shared" ref="H240:H241" si="34">F240-G240</f>
        <v>-6.4301369863013695</v>
      </c>
      <c r="I240" s="20">
        <f t="shared" si="27"/>
        <v>0.11874999999999999</v>
      </c>
      <c r="J240" s="569">
        <v>28500</v>
      </c>
      <c r="K240" s="566">
        <v>27053.953385101704</v>
      </c>
      <c r="L240" s="35">
        <v>0</v>
      </c>
      <c r="M240" s="18">
        <f t="shared" si="28"/>
        <v>28500</v>
      </c>
      <c r="N240" s="18">
        <f t="shared" si="29"/>
        <v>5313.0051369863013</v>
      </c>
      <c r="O240" s="21">
        <f t="shared" si="31"/>
        <v>23186.994863013701</v>
      </c>
      <c r="P240" s="560">
        <f t="shared" si="32"/>
        <v>20868.295376712333</v>
      </c>
      <c r="Q240" s="561"/>
    </row>
    <row r="241" spans="2:17">
      <c r="B241" s="54">
        <v>244</v>
      </c>
      <c r="C241" s="562" t="s">
        <v>152</v>
      </c>
      <c r="D241" s="19">
        <v>43903</v>
      </c>
      <c r="E241" s="19">
        <v>44470</v>
      </c>
      <c r="F241" s="564">
        <f t="shared" si="30"/>
        <v>1.5534246575342465</v>
      </c>
      <c r="G241" s="11">
        <v>8</v>
      </c>
      <c r="H241" s="564">
        <f t="shared" si="34"/>
        <v>-6.4465753424657537</v>
      </c>
      <c r="I241" s="20">
        <f t="shared" si="27"/>
        <v>0.11874999999999999</v>
      </c>
      <c r="J241" s="569">
        <v>33400</v>
      </c>
      <c r="K241" s="569">
        <v>31731.346591595713</v>
      </c>
      <c r="L241" s="35">
        <v>0</v>
      </c>
      <c r="M241" s="18">
        <f t="shared" si="28"/>
        <v>33400</v>
      </c>
      <c r="N241" s="18">
        <f t="shared" si="29"/>
        <v>6161.2705479452052</v>
      </c>
      <c r="O241" s="21">
        <f t="shared" si="31"/>
        <v>27238.729452054795</v>
      </c>
      <c r="P241" s="560">
        <f t="shared" si="32"/>
        <v>24514.856506849315</v>
      </c>
      <c r="Q241" s="561"/>
    </row>
    <row r="242" spans="2:17" ht="30">
      <c r="B242" s="54">
        <v>245</v>
      </c>
      <c r="C242" s="577" t="s">
        <v>297</v>
      </c>
      <c r="D242" s="660">
        <v>44067</v>
      </c>
      <c r="E242" s="19">
        <v>44470</v>
      </c>
      <c r="F242" s="564">
        <f t="shared" si="30"/>
        <v>1.1041095890410959</v>
      </c>
      <c r="G242" s="11">
        <v>25</v>
      </c>
      <c r="H242" s="564">
        <f t="shared" ref="H242:H302" si="35">F242-G242</f>
        <v>-23.895890410958906</v>
      </c>
      <c r="I242" s="20">
        <f t="shared" ref="I242:I302" si="36">(95/G242/100)</f>
        <v>3.7999999999999999E-2</v>
      </c>
      <c r="J242" s="569">
        <v>1057000</v>
      </c>
      <c r="K242" s="569">
        <v>1026737.9452054794</v>
      </c>
      <c r="L242" s="35">
        <v>0</v>
      </c>
      <c r="M242" s="18">
        <f t="shared" ref="M242:M302" si="37">J242*(1+L242)</f>
        <v>1057000</v>
      </c>
      <c r="N242" s="18">
        <f t="shared" ref="N242:N302" si="38">F242*I242*M242</f>
        <v>44347.665753424655</v>
      </c>
      <c r="O242" s="21">
        <f t="shared" ref="O242:O302" si="39">IF(M242-N242&lt;=0,5%*M242,M242-N242)</f>
        <v>1012652.3342465754</v>
      </c>
      <c r="P242" s="560">
        <f t="shared" ref="P242:P302" si="40">IF(O242=M242*5%,O242,O242*0.9)</f>
        <v>911387.10082191788</v>
      </c>
      <c r="Q242" s="585"/>
    </row>
    <row r="243" spans="2:17">
      <c r="B243" s="54">
        <v>246</v>
      </c>
      <c r="C243" s="577" t="s">
        <v>298</v>
      </c>
      <c r="D243" s="660">
        <v>44250</v>
      </c>
      <c r="E243" s="19">
        <v>44470</v>
      </c>
      <c r="F243" s="564">
        <f t="shared" si="30"/>
        <v>0.60273972602739723</v>
      </c>
      <c r="G243" s="11">
        <v>15</v>
      </c>
      <c r="H243" s="564">
        <f t="shared" si="35"/>
        <v>-14.397260273972602</v>
      </c>
      <c r="I243" s="20">
        <f t="shared" si="36"/>
        <v>6.3333333333333325E-2</v>
      </c>
      <c r="J243" s="569">
        <v>400000</v>
      </c>
      <c r="K243" s="569">
        <v>398073.9726027397</v>
      </c>
      <c r="L243" s="35">
        <v>0</v>
      </c>
      <c r="M243" s="18">
        <f t="shared" si="37"/>
        <v>400000</v>
      </c>
      <c r="N243" s="18">
        <f t="shared" si="38"/>
        <v>15269.40639269406</v>
      </c>
      <c r="O243" s="21">
        <f t="shared" si="39"/>
        <v>384730.59360730596</v>
      </c>
      <c r="P243" s="560">
        <f t="shared" si="40"/>
        <v>346257.53424657538</v>
      </c>
      <c r="Q243" s="585"/>
    </row>
    <row r="244" spans="2:17" s="6" customFormat="1">
      <c r="B244" s="746">
        <v>247</v>
      </c>
      <c r="C244" s="747" t="s">
        <v>359</v>
      </c>
      <c r="D244" s="748">
        <v>44285</v>
      </c>
      <c r="E244" s="749">
        <v>44470</v>
      </c>
      <c r="F244" s="750">
        <f t="shared" si="30"/>
        <v>0.50684931506849318</v>
      </c>
      <c r="G244" s="746">
        <v>15</v>
      </c>
      <c r="H244" s="750">
        <f t="shared" si="35"/>
        <v>-14.493150684931507</v>
      </c>
      <c r="I244" s="751">
        <f t="shared" si="36"/>
        <v>6.3333333333333325E-2</v>
      </c>
      <c r="J244" s="752">
        <v>32760000</v>
      </c>
      <c r="K244" s="753">
        <v>0</v>
      </c>
      <c r="L244" s="754">
        <v>0</v>
      </c>
      <c r="M244" s="755">
        <f t="shared" si="37"/>
        <v>32760000</v>
      </c>
      <c r="N244" s="755">
        <f t="shared" si="38"/>
        <v>1051610.9589041097</v>
      </c>
      <c r="O244" s="756">
        <f t="shared" si="39"/>
        <v>31708389.04109589</v>
      </c>
      <c r="P244" s="757">
        <f t="shared" si="40"/>
        <v>28537550.1369863</v>
      </c>
      <c r="Q244" s="758"/>
    </row>
    <row r="245" spans="2:17">
      <c r="B245" s="54">
        <v>248</v>
      </c>
      <c r="C245" s="310" t="s">
        <v>363</v>
      </c>
      <c r="D245" s="660">
        <v>44285</v>
      </c>
      <c r="E245" s="19">
        <v>44470</v>
      </c>
      <c r="F245" s="564">
        <f t="shared" si="30"/>
        <v>0.50684931506849318</v>
      </c>
      <c r="G245" s="11">
        <v>15</v>
      </c>
      <c r="H245" s="564">
        <f t="shared" si="35"/>
        <v>-14.493150684931507</v>
      </c>
      <c r="I245" s="20">
        <f t="shared" si="36"/>
        <v>6.3333333333333325E-2</v>
      </c>
      <c r="J245" s="595">
        <f>16578764+200000</f>
        <v>16778764</v>
      </c>
      <c r="K245" s="584">
        <v>0</v>
      </c>
      <c r="L245" s="35">
        <v>0</v>
      </c>
      <c r="M245" s="18">
        <f t="shared" si="37"/>
        <v>16778764</v>
      </c>
      <c r="N245" s="18">
        <f t="shared" si="38"/>
        <v>538605.98593607312</v>
      </c>
      <c r="O245" s="21">
        <f t="shared" si="39"/>
        <v>16240158.014063926</v>
      </c>
      <c r="P245" s="560">
        <f t="shared" si="40"/>
        <v>14616142.212657534</v>
      </c>
      <c r="Q245" s="585"/>
    </row>
    <row r="246" spans="2:17">
      <c r="B246" s="54">
        <v>249</v>
      </c>
      <c r="C246" s="310" t="s">
        <v>365</v>
      </c>
      <c r="D246" s="660">
        <v>44285</v>
      </c>
      <c r="E246" s="19">
        <v>44470</v>
      </c>
      <c r="F246" s="564">
        <f t="shared" si="30"/>
        <v>0.50684931506849318</v>
      </c>
      <c r="G246" s="11">
        <v>8</v>
      </c>
      <c r="H246" s="564">
        <f t="shared" si="35"/>
        <v>-7.493150684931507</v>
      </c>
      <c r="I246" s="20">
        <f t="shared" si="36"/>
        <v>0.11874999999999999</v>
      </c>
      <c r="J246" s="595">
        <f>16236000</f>
        <v>16236000</v>
      </c>
      <c r="K246" s="584">
        <v>0</v>
      </c>
      <c r="L246" s="35">
        <v>0</v>
      </c>
      <c r="M246" s="18">
        <f t="shared" si="37"/>
        <v>16236000</v>
      </c>
      <c r="N246" s="18">
        <f t="shared" si="38"/>
        <v>977218.15068493155</v>
      </c>
      <c r="O246" s="21">
        <f t="shared" si="39"/>
        <v>15258781.849315068</v>
      </c>
      <c r="P246" s="560">
        <f t="shared" si="40"/>
        <v>13732903.66438356</v>
      </c>
      <c r="Q246" s="585"/>
    </row>
    <row r="247" spans="2:17">
      <c r="B247" s="54">
        <v>250</v>
      </c>
      <c r="C247" s="313" t="s">
        <v>367</v>
      </c>
      <c r="D247" s="660">
        <v>44285</v>
      </c>
      <c r="E247" s="19">
        <v>44470</v>
      </c>
      <c r="F247" s="564">
        <f t="shared" si="30"/>
        <v>0.50684931506849318</v>
      </c>
      <c r="G247" s="11">
        <v>15</v>
      </c>
      <c r="H247" s="564">
        <f t="shared" si="35"/>
        <v>-14.493150684931507</v>
      </c>
      <c r="I247" s="20">
        <f t="shared" si="36"/>
        <v>6.3333333333333325E-2</v>
      </c>
      <c r="J247" s="596">
        <v>14692000</v>
      </c>
      <c r="K247" s="584">
        <v>0</v>
      </c>
      <c r="L247" s="35">
        <v>0</v>
      </c>
      <c r="M247" s="18">
        <f t="shared" si="37"/>
        <v>14692000</v>
      </c>
      <c r="N247" s="18">
        <f t="shared" si="38"/>
        <v>471619.90867579909</v>
      </c>
      <c r="O247" s="21">
        <f t="shared" si="39"/>
        <v>14220380.091324201</v>
      </c>
      <c r="P247" s="560">
        <f t="shared" si="40"/>
        <v>12798342.08219178</v>
      </c>
      <c r="Q247" s="585"/>
    </row>
    <row r="248" spans="2:17">
      <c r="B248" s="54">
        <v>251</v>
      </c>
      <c r="C248" s="310" t="s">
        <v>74</v>
      </c>
      <c r="D248" s="660">
        <v>44285</v>
      </c>
      <c r="E248" s="19">
        <v>44470</v>
      </c>
      <c r="F248" s="564">
        <f t="shared" si="30"/>
        <v>0.50684931506849318</v>
      </c>
      <c r="G248" s="11">
        <v>15</v>
      </c>
      <c r="H248" s="564">
        <f t="shared" si="35"/>
        <v>-14.493150684931507</v>
      </c>
      <c r="I248" s="20">
        <f t="shared" si="36"/>
        <v>6.3333333333333325E-2</v>
      </c>
      <c r="J248" s="595">
        <v>4475000</v>
      </c>
      <c r="K248" s="584">
        <v>0</v>
      </c>
      <c r="L248" s="35">
        <v>0</v>
      </c>
      <c r="M248" s="18">
        <f t="shared" si="37"/>
        <v>4475000</v>
      </c>
      <c r="N248" s="18">
        <f t="shared" si="38"/>
        <v>143649.54337899544</v>
      </c>
      <c r="O248" s="21">
        <f t="shared" si="39"/>
        <v>4331350.4566210043</v>
      </c>
      <c r="P248" s="560">
        <f t="shared" si="40"/>
        <v>3898215.4109589038</v>
      </c>
      <c r="Q248" s="585"/>
    </row>
    <row r="249" spans="2:17">
      <c r="B249" s="54">
        <v>252</v>
      </c>
      <c r="C249" s="308" t="s">
        <v>370</v>
      </c>
      <c r="D249" s="660">
        <v>44285</v>
      </c>
      <c r="E249" s="19">
        <v>44470</v>
      </c>
      <c r="F249" s="564">
        <f t="shared" si="30"/>
        <v>0.50684931506849318</v>
      </c>
      <c r="G249" s="11">
        <v>15</v>
      </c>
      <c r="H249" s="564">
        <f t="shared" si="35"/>
        <v>-14.493150684931507</v>
      </c>
      <c r="I249" s="20">
        <f t="shared" si="36"/>
        <v>6.3333333333333325E-2</v>
      </c>
      <c r="J249" s="595">
        <f>3112697+55000</f>
        <v>3167697</v>
      </c>
      <c r="K249" s="584">
        <v>0</v>
      </c>
      <c r="L249" s="35">
        <v>0</v>
      </c>
      <c r="M249" s="18">
        <f t="shared" si="37"/>
        <v>3167697</v>
      </c>
      <c r="N249" s="18">
        <f t="shared" si="38"/>
        <v>101684.52013698631</v>
      </c>
      <c r="O249" s="21">
        <f t="shared" si="39"/>
        <v>3066012.4798630136</v>
      </c>
      <c r="P249" s="560">
        <f t="shared" si="40"/>
        <v>2759411.2318767123</v>
      </c>
      <c r="Q249" s="585"/>
    </row>
    <row r="250" spans="2:17">
      <c r="B250" s="54">
        <v>253</v>
      </c>
      <c r="C250" s="308" t="s">
        <v>372</v>
      </c>
      <c r="D250" s="660">
        <v>44285</v>
      </c>
      <c r="E250" s="19">
        <v>44470</v>
      </c>
      <c r="F250" s="564">
        <f t="shared" si="30"/>
        <v>0.50684931506849318</v>
      </c>
      <c r="G250" s="11">
        <v>25</v>
      </c>
      <c r="H250" s="564">
        <f t="shared" si="35"/>
        <v>-24.493150684931507</v>
      </c>
      <c r="I250" s="20">
        <f t="shared" si="36"/>
        <v>3.7999999999999999E-2</v>
      </c>
      <c r="J250" s="595">
        <v>2340000</v>
      </c>
      <c r="K250" s="584">
        <v>0</v>
      </c>
      <c r="L250" s="35">
        <v>0</v>
      </c>
      <c r="M250" s="18">
        <f t="shared" si="37"/>
        <v>2340000</v>
      </c>
      <c r="N250" s="18">
        <f t="shared" si="38"/>
        <v>45069.04109589041</v>
      </c>
      <c r="O250" s="21">
        <f t="shared" si="39"/>
        <v>2294930.9589041094</v>
      </c>
      <c r="P250" s="560">
        <f t="shared" si="40"/>
        <v>2065437.8630136985</v>
      </c>
      <c r="Q250" s="585"/>
    </row>
    <row r="251" spans="2:17">
      <c r="B251" s="54">
        <v>254</v>
      </c>
      <c r="C251" s="308" t="s">
        <v>374</v>
      </c>
      <c r="D251" s="660">
        <v>44285</v>
      </c>
      <c r="E251" s="19">
        <v>44470</v>
      </c>
      <c r="F251" s="564">
        <f t="shared" si="30"/>
        <v>0.50684931506849318</v>
      </c>
      <c r="G251" s="11">
        <v>25</v>
      </c>
      <c r="H251" s="564">
        <f t="shared" si="35"/>
        <v>-24.493150684931507</v>
      </c>
      <c r="I251" s="20">
        <f t="shared" si="36"/>
        <v>3.7999999999999999E-2</v>
      </c>
      <c r="J251" s="597">
        <v>1949944</v>
      </c>
      <c r="K251" s="584">
        <v>0</v>
      </c>
      <c r="L251" s="35">
        <v>0</v>
      </c>
      <c r="M251" s="18">
        <f t="shared" si="37"/>
        <v>1949944</v>
      </c>
      <c r="N251" s="18">
        <f t="shared" si="38"/>
        <v>37556.455671232878</v>
      </c>
      <c r="O251" s="21">
        <f t="shared" si="39"/>
        <v>1912387.5443287671</v>
      </c>
      <c r="P251" s="560">
        <f t="shared" si="40"/>
        <v>1721148.7898958905</v>
      </c>
      <c r="Q251" s="585"/>
    </row>
    <row r="252" spans="2:17">
      <c r="B252" s="54">
        <v>255</v>
      </c>
      <c r="C252" s="308" t="s">
        <v>376</v>
      </c>
      <c r="D252" s="660">
        <v>44285</v>
      </c>
      <c r="E252" s="19">
        <v>44470</v>
      </c>
      <c r="F252" s="564">
        <f t="shared" si="30"/>
        <v>0.50684931506849318</v>
      </c>
      <c r="G252" s="11">
        <v>15</v>
      </c>
      <c r="H252" s="564">
        <f t="shared" si="35"/>
        <v>-14.493150684931507</v>
      </c>
      <c r="I252" s="20">
        <f t="shared" si="36"/>
        <v>6.3333333333333325E-2</v>
      </c>
      <c r="J252" s="595">
        <v>1850000</v>
      </c>
      <c r="K252" s="584">
        <v>0</v>
      </c>
      <c r="L252" s="35">
        <v>0</v>
      </c>
      <c r="M252" s="18">
        <f t="shared" si="37"/>
        <v>1850000</v>
      </c>
      <c r="N252" s="18">
        <f t="shared" si="38"/>
        <v>59385.84474885845</v>
      </c>
      <c r="O252" s="21">
        <f t="shared" si="39"/>
        <v>1790614.1552511416</v>
      </c>
      <c r="P252" s="560">
        <f t="shared" si="40"/>
        <v>1611552.7397260275</v>
      </c>
      <c r="Q252" s="585"/>
    </row>
    <row r="253" spans="2:17">
      <c r="B253" s="54">
        <v>256</v>
      </c>
      <c r="C253" s="308" t="s">
        <v>378</v>
      </c>
      <c r="D253" s="660">
        <v>44285</v>
      </c>
      <c r="E253" s="19">
        <v>44470</v>
      </c>
      <c r="F253" s="564">
        <f t="shared" si="30"/>
        <v>0.50684931506849318</v>
      </c>
      <c r="G253" s="11">
        <v>15</v>
      </c>
      <c r="H253" s="564">
        <f t="shared" si="35"/>
        <v>-14.493150684931507</v>
      </c>
      <c r="I253" s="20">
        <f t="shared" si="36"/>
        <v>6.3333333333333325E-2</v>
      </c>
      <c r="J253" s="595">
        <v>1598000</v>
      </c>
      <c r="K253" s="584">
        <v>0</v>
      </c>
      <c r="L253" s="35">
        <v>0</v>
      </c>
      <c r="M253" s="18">
        <f t="shared" si="37"/>
        <v>1598000</v>
      </c>
      <c r="N253" s="18">
        <f t="shared" si="38"/>
        <v>51296.529680365296</v>
      </c>
      <c r="O253" s="21">
        <f t="shared" si="39"/>
        <v>1546703.4703196348</v>
      </c>
      <c r="P253" s="560">
        <f t="shared" si="40"/>
        <v>1392033.1232876712</v>
      </c>
      <c r="Q253" s="585"/>
    </row>
    <row r="254" spans="2:17">
      <c r="B254" s="54">
        <v>257</v>
      </c>
      <c r="C254" s="308" t="s">
        <v>380</v>
      </c>
      <c r="D254" s="660">
        <v>44285</v>
      </c>
      <c r="E254" s="19">
        <v>44470</v>
      </c>
      <c r="F254" s="564">
        <f t="shared" si="30"/>
        <v>0.50684931506849318</v>
      </c>
      <c r="G254" s="11">
        <v>10</v>
      </c>
      <c r="H254" s="564">
        <f t="shared" si="35"/>
        <v>-9.493150684931507</v>
      </c>
      <c r="I254" s="20">
        <f t="shared" si="36"/>
        <v>9.5000000000000001E-2</v>
      </c>
      <c r="J254" s="595">
        <v>1328000</v>
      </c>
      <c r="K254" s="584">
        <v>0</v>
      </c>
      <c r="L254" s="35">
        <v>0</v>
      </c>
      <c r="M254" s="18">
        <f t="shared" si="37"/>
        <v>1328000</v>
      </c>
      <c r="N254" s="18">
        <f t="shared" si="38"/>
        <v>63944.109589041094</v>
      </c>
      <c r="O254" s="21">
        <f t="shared" si="39"/>
        <v>1264055.8904109588</v>
      </c>
      <c r="P254" s="560">
        <f t="shared" si="40"/>
        <v>1137650.3013698629</v>
      </c>
      <c r="Q254" s="585"/>
    </row>
    <row r="255" spans="2:17">
      <c r="B255" s="54">
        <v>258</v>
      </c>
      <c r="C255" s="308" t="s">
        <v>382</v>
      </c>
      <c r="D255" s="660">
        <v>44285</v>
      </c>
      <c r="E255" s="19">
        <v>44470</v>
      </c>
      <c r="F255" s="564">
        <f t="shared" ref="F255:F308" si="41">(E255-D255)/365</f>
        <v>0.50684931506849318</v>
      </c>
      <c r="G255" s="11">
        <v>8</v>
      </c>
      <c r="H255" s="564">
        <f t="shared" si="35"/>
        <v>-7.493150684931507</v>
      </c>
      <c r="I255" s="20">
        <f t="shared" si="36"/>
        <v>0.11874999999999999</v>
      </c>
      <c r="J255" s="598">
        <v>1290513</v>
      </c>
      <c r="K255" s="584">
        <v>0</v>
      </c>
      <c r="L255" s="35">
        <v>0</v>
      </c>
      <c r="M255" s="18">
        <f t="shared" si="37"/>
        <v>1290513</v>
      </c>
      <c r="N255" s="18">
        <f t="shared" si="38"/>
        <v>77673.856078767116</v>
      </c>
      <c r="O255" s="21">
        <f t="shared" si="39"/>
        <v>1212839.1439212328</v>
      </c>
      <c r="P255" s="560">
        <f t="shared" si="40"/>
        <v>1091555.2295291096</v>
      </c>
      <c r="Q255" s="585"/>
    </row>
    <row r="256" spans="2:17">
      <c r="B256" s="54">
        <v>259</v>
      </c>
      <c r="C256" s="308" t="s">
        <v>384</v>
      </c>
      <c r="D256" s="660">
        <v>44285</v>
      </c>
      <c r="E256" s="19">
        <v>44470</v>
      </c>
      <c r="F256" s="564">
        <f t="shared" si="41"/>
        <v>0.50684931506849318</v>
      </c>
      <c r="G256" s="11">
        <v>15</v>
      </c>
      <c r="H256" s="564">
        <f t="shared" si="35"/>
        <v>-14.493150684931507</v>
      </c>
      <c r="I256" s="20">
        <f t="shared" si="36"/>
        <v>6.3333333333333325E-2</v>
      </c>
      <c r="J256" s="595">
        <v>1700000</v>
      </c>
      <c r="K256" s="584">
        <v>0</v>
      </c>
      <c r="L256" s="35">
        <v>0</v>
      </c>
      <c r="M256" s="18">
        <f t="shared" si="37"/>
        <v>1700000</v>
      </c>
      <c r="N256" s="18">
        <f t="shared" si="38"/>
        <v>54570.776255707766</v>
      </c>
      <c r="O256" s="21">
        <f t="shared" si="39"/>
        <v>1645429.2237442923</v>
      </c>
      <c r="P256" s="560">
        <f t="shared" si="40"/>
        <v>1480886.3013698631</v>
      </c>
      <c r="Q256" s="585"/>
    </row>
    <row r="257" spans="2:17">
      <c r="B257" s="54">
        <v>260</v>
      </c>
      <c r="C257" s="308" t="s">
        <v>386</v>
      </c>
      <c r="D257" s="660">
        <v>44285</v>
      </c>
      <c r="E257" s="19">
        <v>44470</v>
      </c>
      <c r="F257" s="564">
        <f t="shared" si="41"/>
        <v>0.50684931506849318</v>
      </c>
      <c r="G257" s="11">
        <v>25</v>
      </c>
      <c r="H257" s="564">
        <f t="shared" si="35"/>
        <v>-24.493150684931507</v>
      </c>
      <c r="I257" s="20">
        <f t="shared" si="36"/>
        <v>3.7999999999999999E-2</v>
      </c>
      <c r="J257" s="598">
        <v>1957076.27118644</v>
      </c>
      <c r="K257" s="584">
        <v>0</v>
      </c>
      <c r="L257" s="35">
        <v>0</v>
      </c>
      <c r="M257" s="18">
        <f t="shared" si="37"/>
        <v>1957076.27118644</v>
      </c>
      <c r="N257" s="18">
        <f t="shared" si="38"/>
        <v>37693.825168330608</v>
      </c>
      <c r="O257" s="21">
        <f t="shared" si="39"/>
        <v>1919382.4460181093</v>
      </c>
      <c r="P257" s="560">
        <f t="shared" si="40"/>
        <v>1727444.2014162985</v>
      </c>
      <c r="Q257" s="585"/>
    </row>
    <row r="258" spans="2:17">
      <c r="B258" s="54">
        <v>261</v>
      </c>
      <c r="C258" s="308" t="s">
        <v>388</v>
      </c>
      <c r="D258" s="660">
        <v>44285</v>
      </c>
      <c r="E258" s="19">
        <v>44470</v>
      </c>
      <c r="F258" s="564">
        <f t="shared" si="41"/>
        <v>0.50684931506849318</v>
      </c>
      <c r="G258" s="11">
        <v>25</v>
      </c>
      <c r="H258" s="564">
        <f t="shared" si="35"/>
        <v>-24.493150684931507</v>
      </c>
      <c r="I258" s="20">
        <f t="shared" si="36"/>
        <v>3.7999999999999999E-2</v>
      </c>
      <c r="J258" s="598">
        <v>393912</v>
      </c>
      <c r="K258" s="584">
        <v>0</v>
      </c>
      <c r="L258" s="35">
        <v>0</v>
      </c>
      <c r="M258" s="18">
        <f t="shared" si="37"/>
        <v>393912</v>
      </c>
      <c r="N258" s="18">
        <f t="shared" si="38"/>
        <v>7586.8530410958901</v>
      </c>
      <c r="O258" s="21">
        <f t="shared" si="39"/>
        <v>386325.14695890411</v>
      </c>
      <c r="P258" s="560">
        <f t="shared" si="40"/>
        <v>347692.63226301369</v>
      </c>
      <c r="Q258" s="585"/>
    </row>
    <row r="259" spans="2:17">
      <c r="B259" s="54">
        <v>262</v>
      </c>
      <c r="C259" s="308" t="s">
        <v>390</v>
      </c>
      <c r="D259" s="660">
        <v>44285</v>
      </c>
      <c r="E259" s="19">
        <v>44470</v>
      </c>
      <c r="F259" s="564">
        <f t="shared" si="41"/>
        <v>0.50684931506849318</v>
      </c>
      <c r="G259" s="11">
        <v>25</v>
      </c>
      <c r="H259" s="564">
        <f t="shared" si="35"/>
        <v>-24.493150684931507</v>
      </c>
      <c r="I259" s="20">
        <f t="shared" si="36"/>
        <v>3.7999999999999999E-2</v>
      </c>
      <c r="J259" s="598">
        <v>935132</v>
      </c>
      <c r="K259" s="584">
        <v>0</v>
      </c>
      <c r="L259" s="35">
        <v>0</v>
      </c>
      <c r="M259" s="18">
        <f t="shared" si="37"/>
        <v>935132</v>
      </c>
      <c r="N259" s="18">
        <f t="shared" si="38"/>
        <v>18010.898520547944</v>
      </c>
      <c r="O259" s="21">
        <f t="shared" si="39"/>
        <v>917121.1014794521</v>
      </c>
      <c r="P259" s="560">
        <f t="shared" si="40"/>
        <v>825408.99133150687</v>
      </c>
      <c r="Q259" s="585"/>
    </row>
    <row r="260" spans="2:17">
      <c r="B260" s="54">
        <v>263</v>
      </c>
      <c r="C260" s="308" t="s">
        <v>392</v>
      </c>
      <c r="D260" s="660">
        <v>44285</v>
      </c>
      <c r="E260" s="19">
        <v>44470</v>
      </c>
      <c r="F260" s="564">
        <f t="shared" si="41"/>
        <v>0.50684931506849318</v>
      </c>
      <c r="G260" s="11">
        <v>8</v>
      </c>
      <c r="H260" s="564">
        <f t="shared" si="35"/>
        <v>-7.493150684931507</v>
      </c>
      <c r="I260" s="20">
        <f t="shared" si="36"/>
        <v>0.11874999999999999</v>
      </c>
      <c r="J260" s="598">
        <v>238053.6</v>
      </c>
      <c r="K260" s="584">
        <v>0</v>
      </c>
      <c r="L260" s="35">
        <v>0</v>
      </c>
      <c r="M260" s="18">
        <f t="shared" si="37"/>
        <v>238053.6</v>
      </c>
      <c r="N260" s="18">
        <f t="shared" si="38"/>
        <v>14328.054863013698</v>
      </c>
      <c r="O260" s="21">
        <f t="shared" si="39"/>
        <v>223725.5451369863</v>
      </c>
      <c r="P260" s="560">
        <f t="shared" si="40"/>
        <v>201352.99062328768</v>
      </c>
      <c r="Q260" s="585"/>
    </row>
    <row r="261" spans="2:17">
      <c r="B261" s="54">
        <v>264</v>
      </c>
      <c r="C261" s="308" t="s">
        <v>394</v>
      </c>
      <c r="D261" s="660">
        <v>44285</v>
      </c>
      <c r="E261" s="19">
        <v>44470</v>
      </c>
      <c r="F261" s="564">
        <f t="shared" si="41"/>
        <v>0.50684931506849318</v>
      </c>
      <c r="G261" s="11">
        <v>10</v>
      </c>
      <c r="H261" s="564">
        <f t="shared" si="35"/>
        <v>-9.493150684931507</v>
      </c>
      <c r="I261" s="20">
        <f t="shared" si="36"/>
        <v>9.5000000000000001E-2</v>
      </c>
      <c r="J261" s="598">
        <v>167040</v>
      </c>
      <c r="K261" s="584">
        <v>0</v>
      </c>
      <c r="L261" s="35">
        <v>0</v>
      </c>
      <c r="M261" s="18">
        <f t="shared" si="37"/>
        <v>167040</v>
      </c>
      <c r="N261" s="18">
        <f t="shared" si="38"/>
        <v>8043.0904109589046</v>
      </c>
      <c r="O261" s="21">
        <f t="shared" si="39"/>
        <v>158996.90958904108</v>
      </c>
      <c r="P261" s="560">
        <f t="shared" si="40"/>
        <v>143097.21863013698</v>
      </c>
      <c r="Q261" s="585"/>
    </row>
    <row r="262" spans="2:17">
      <c r="B262" s="54">
        <v>265</v>
      </c>
      <c r="C262" s="308" t="s">
        <v>396</v>
      </c>
      <c r="D262" s="660">
        <v>44285</v>
      </c>
      <c r="E262" s="19">
        <v>44470</v>
      </c>
      <c r="F262" s="564">
        <f t="shared" si="41"/>
        <v>0.50684931506849318</v>
      </c>
      <c r="G262" s="11">
        <v>8</v>
      </c>
      <c r="H262" s="564">
        <f t="shared" si="35"/>
        <v>-7.493150684931507</v>
      </c>
      <c r="I262" s="20">
        <f t="shared" si="36"/>
        <v>0.11874999999999999</v>
      </c>
      <c r="J262" s="598">
        <v>368790</v>
      </c>
      <c r="K262" s="584">
        <v>0</v>
      </c>
      <c r="L262" s="35">
        <v>0</v>
      </c>
      <c r="M262" s="18">
        <f t="shared" si="37"/>
        <v>368790</v>
      </c>
      <c r="N262" s="18">
        <f t="shared" si="38"/>
        <v>22196.863869863013</v>
      </c>
      <c r="O262" s="21">
        <f t="shared" si="39"/>
        <v>346593.13613013696</v>
      </c>
      <c r="P262" s="560">
        <f t="shared" si="40"/>
        <v>311933.82251712325</v>
      </c>
      <c r="Q262" s="585"/>
    </row>
    <row r="263" spans="2:17">
      <c r="B263" s="54">
        <v>266</v>
      </c>
      <c r="C263" s="308" t="s">
        <v>402</v>
      </c>
      <c r="D263" s="660">
        <v>44285</v>
      </c>
      <c r="E263" s="19">
        <v>44470</v>
      </c>
      <c r="F263" s="564">
        <f t="shared" si="41"/>
        <v>0.50684931506849318</v>
      </c>
      <c r="G263" s="11">
        <v>8</v>
      </c>
      <c r="H263" s="564">
        <f t="shared" si="35"/>
        <v>-7.493150684931507</v>
      </c>
      <c r="I263" s="20">
        <f t="shared" si="36"/>
        <v>0.11874999999999999</v>
      </c>
      <c r="J263" s="598">
        <v>90200</v>
      </c>
      <c r="K263" s="584">
        <v>0</v>
      </c>
      <c r="L263" s="35">
        <v>0</v>
      </c>
      <c r="M263" s="18">
        <f t="shared" si="37"/>
        <v>90200</v>
      </c>
      <c r="N263" s="18">
        <f t="shared" si="38"/>
        <v>5428.9897260273974</v>
      </c>
      <c r="O263" s="21">
        <f t="shared" si="39"/>
        <v>84771.010273972599</v>
      </c>
      <c r="P263" s="560">
        <f t="shared" si="40"/>
        <v>76293.909246575335</v>
      </c>
      <c r="Q263" s="585"/>
    </row>
    <row r="264" spans="2:17">
      <c r="B264" s="54">
        <v>267</v>
      </c>
      <c r="C264" s="308" t="s">
        <v>404</v>
      </c>
      <c r="D264" s="660">
        <v>44285</v>
      </c>
      <c r="E264" s="19">
        <v>44470</v>
      </c>
      <c r="F264" s="564">
        <f t="shared" si="41"/>
        <v>0.50684931506849318</v>
      </c>
      <c r="G264" s="11">
        <v>8</v>
      </c>
      <c r="H264" s="564">
        <f t="shared" si="35"/>
        <v>-7.493150684931507</v>
      </c>
      <c r="I264" s="20">
        <f t="shared" si="36"/>
        <v>0.11874999999999999</v>
      </c>
      <c r="J264" s="598">
        <v>78120</v>
      </c>
      <c r="K264" s="584">
        <v>0</v>
      </c>
      <c r="L264" s="35">
        <v>0</v>
      </c>
      <c r="M264" s="18">
        <f t="shared" si="37"/>
        <v>78120</v>
      </c>
      <c r="N264" s="18">
        <f t="shared" si="38"/>
        <v>4701.9143835616442</v>
      </c>
      <c r="O264" s="21">
        <f t="shared" si="39"/>
        <v>73418.085616438359</v>
      </c>
      <c r="P264" s="560">
        <f t="shared" si="40"/>
        <v>66076.277054794526</v>
      </c>
      <c r="Q264" s="585"/>
    </row>
    <row r="265" spans="2:17">
      <c r="B265" s="54">
        <v>268</v>
      </c>
      <c r="C265" s="308" t="s">
        <v>406</v>
      </c>
      <c r="D265" s="660">
        <v>44285</v>
      </c>
      <c r="E265" s="19">
        <v>44470</v>
      </c>
      <c r="F265" s="564">
        <f t="shared" si="41"/>
        <v>0.50684931506849318</v>
      </c>
      <c r="G265" s="11">
        <v>8</v>
      </c>
      <c r="H265" s="564">
        <f t="shared" si="35"/>
        <v>-7.493150684931507</v>
      </c>
      <c r="I265" s="20">
        <f t="shared" si="36"/>
        <v>0.11874999999999999</v>
      </c>
      <c r="J265" s="598">
        <v>45275</v>
      </c>
      <c r="K265" s="584">
        <v>0</v>
      </c>
      <c r="L265" s="35">
        <v>0</v>
      </c>
      <c r="M265" s="18">
        <f t="shared" si="37"/>
        <v>45275</v>
      </c>
      <c r="N265" s="18">
        <f t="shared" si="38"/>
        <v>2725.0278253424658</v>
      </c>
      <c r="O265" s="21">
        <f t="shared" si="39"/>
        <v>42549.972174657538</v>
      </c>
      <c r="P265" s="560">
        <f t="shared" si="40"/>
        <v>38294.974957191786</v>
      </c>
      <c r="Q265" s="585"/>
    </row>
    <row r="266" spans="2:17">
      <c r="B266" s="54">
        <v>269</v>
      </c>
      <c r="C266" s="308" t="s">
        <v>408</v>
      </c>
      <c r="D266" s="660">
        <v>44285</v>
      </c>
      <c r="E266" s="19">
        <v>44470</v>
      </c>
      <c r="F266" s="564">
        <f t="shared" si="41"/>
        <v>0.50684931506849318</v>
      </c>
      <c r="G266" s="11">
        <v>8</v>
      </c>
      <c r="H266" s="564">
        <f t="shared" si="35"/>
        <v>-7.493150684931507</v>
      </c>
      <c r="I266" s="20">
        <f t="shared" si="36"/>
        <v>0.11874999999999999</v>
      </c>
      <c r="J266" s="598">
        <f>73325</f>
        <v>73325</v>
      </c>
      <c r="K266" s="584">
        <v>0</v>
      </c>
      <c r="L266" s="35">
        <v>0</v>
      </c>
      <c r="M266" s="18">
        <f t="shared" si="37"/>
        <v>73325</v>
      </c>
      <c r="N266" s="18">
        <f t="shared" si="38"/>
        <v>4413.3112157534242</v>
      </c>
      <c r="O266" s="21">
        <f t="shared" si="39"/>
        <v>68911.68878424658</v>
      </c>
      <c r="P266" s="560">
        <f t="shared" si="40"/>
        <v>62020.519905821922</v>
      </c>
      <c r="Q266" s="585"/>
    </row>
    <row r="267" spans="2:17">
      <c r="B267" s="54">
        <v>270</v>
      </c>
      <c r="C267" s="308" t="s">
        <v>410</v>
      </c>
      <c r="D267" s="660">
        <v>44285</v>
      </c>
      <c r="E267" s="19">
        <v>44470</v>
      </c>
      <c r="F267" s="564">
        <f t="shared" si="41"/>
        <v>0.50684931506849318</v>
      </c>
      <c r="G267" s="11">
        <v>8</v>
      </c>
      <c r="H267" s="564">
        <f t="shared" si="35"/>
        <v>-7.493150684931507</v>
      </c>
      <c r="I267" s="20">
        <f t="shared" si="36"/>
        <v>0.11874999999999999</v>
      </c>
      <c r="J267" s="598">
        <f>37745+22518.4</f>
        <v>60263.4</v>
      </c>
      <c r="K267" s="584">
        <v>0</v>
      </c>
      <c r="L267" s="35">
        <v>0</v>
      </c>
      <c r="M267" s="18">
        <f t="shared" si="37"/>
        <v>60263.4</v>
      </c>
      <c r="N267" s="18">
        <f t="shared" si="38"/>
        <v>3627.1549828767124</v>
      </c>
      <c r="O267" s="21">
        <f t="shared" si="39"/>
        <v>56636.245017123292</v>
      </c>
      <c r="P267" s="560">
        <f t="shared" si="40"/>
        <v>50972.620515410963</v>
      </c>
      <c r="Q267" s="585"/>
    </row>
    <row r="268" spans="2:17">
      <c r="B268" s="54">
        <v>271</v>
      </c>
      <c r="C268" s="308" t="s">
        <v>412</v>
      </c>
      <c r="D268" s="660">
        <v>44285</v>
      </c>
      <c r="E268" s="19">
        <v>44470</v>
      </c>
      <c r="F268" s="564">
        <f t="shared" si="41"/>
        <v>0.50684931506849318</v>
      </c>
      <c r="G268" s="11">
        <v>8</v>
      </c>
      <c r="H268" s="564">
        <f t="shared" si="35"/>
        <v>-7.493150684931507</v>
      </c>
      <c r="I268" s="20">
        <f t="shared" si="36"/>
        <v>0.11874999999999999</v>
      </c>
      <c r="J268" s="598">
        <v>45000</v>
      </c>
      <c r="K268" s="584">
        <v>0</v>
      </c>
      <c r="L268" s="35">
        <v>0</v>
      </c>
      <c r="M268" s="18">
        <f t="shared" si="37"/>
        <v>45000</v>
      </c>
      <c r="N268" s="18">
        <f t="shared" si="38"/>
        <v>2708.4760273972602</v>
      </c>
      <c r="O268" s="21">
        <f t="shared" si="39"/>
        <v>42291.523972602743</v>
      </c>
      <c r="P268" s="560">
        <f t="shared" si="40"/>
        <v>38062.371575342469</v>
      </c>
      <c r="Q268" s="585"/>
    </row>
    <row r="269" spans="2:17">
      <c r="B269" s="54">
        <v>272</v>
      </c>
      <c r="C269" s="308" t="s">
        <v>414</v>
      </c>
      <c r="D269" s="660">
        <v>44285</v>
      </c>
      <c r="E269" s="19">
        <v>44470</v>
      </c>
      <c r="F269" s="564">
        <f t="shared" si="41"/>
        <v>0.50684931506849318</v>
      </c>
      <c r="G269" s="11">
        <v>8</v>
      </c>
      <c r="H269" s="564">
        <f t="shared" si="35"/>
        <v>-7.493150684931507</v>
      </c>
      <c r="I269" s="20">
        <f t="shared" si="36"/>
        <v>0.11874999999999999</v>
      </c>
      <c r="J269" s="598">
        <v>41197</v>
      </c>
      <c r="K269" s="584">
        <v>0</v>
      </c>
      <c r="L269" s="35">
        <v>0</v>
      </c>
      <c r="M269" s="18">
        <f t="shared" si="37"/>
        <v>41197</v>
      </c>
      <c r="N269" s="18">
        <f t="shared" si="38"/>
        <v>2479.5797089041093</v>
      </c>
      <c r="O269" s="21">
        <f t="shared" si="39"/>
        <v>38717.420291095892</v>
      </c>
      <c r="P269" s="560">
        <f t="shared" si="40"/>
        <v>34845.678261986301</v>
      </c>
      <c r="Q269" s="585"/>
    </row>
    <row r="270" spans="2:17">
      <c r="B270" s="54">
        <v>273</v>
      </c>
      <c r="C270" s="308" t="s">
        <v>416</v>
      </c>
      <c r="D270" s="660">
        <v>44285</v>
      </c>
      <c r="E270" s="19">
        <v>44470</v>
      </c>
      <c r="F270" s="564">
        <f t="shared" si="41"/>
        <v>0.50684931506849318</v>
      </c>
      <c r="G270" s="11">
        <v>8</v>
      </c>
      <c r="H270" s="564">
        <f t="shared" si="35"/>
        <v>-7.493150684931507</v>
      </c>
      <c r="I270" s="20">
        <f t="shared" si="36"/>
        <v>0.11874999999999999</v>
      </c>
      <c r="J270" s="598">
        <v>8515</v>
      </c>
      <c r="K270" s="584">
        <v>0</v>
      </c>
      <c r="L270" s="35">
        <v>0</v>
      </c>
      <c r="M270" s="18">
        <f t="shared" si="37"/>
        <v>8515</v>
      </c>
      <c r="N270" s="18">
        <f t="shared" si="38"/>
        <v>512.50385273972597</v>
      </c>
      <c r="O270" s="21">
        <f t="shared" si="39"/>
        <v>8002.4961472602736</v>
      </c>
      <c r="P270" s="560">
        <f t="shared" si="40"/>
        <v>7202.2465325342464</v>
      </c>
      <c r="Q270" s="585"/>
    </row>
    <row r="271" spans="2:17">
      <c r="B271" s="54">
        <v>274</v>
      </c>
      <c r="C271" s="308" t="s">
        <v>418</v>
      </c>
      <c r="D271" s="660">
        <v>44285</v>
      </c>
      <c r="E271" s="19">
        <v>44470</v>
      </c>
      <c r="F271" s="564">
        <f t="shared" si="41"/>
        <v>0.50684931506849318</v>
      </c>
      <c r="G271" s="11">
        <v>8</v>
      </c>
      <c r="H271" s="564">
        <f t="shared" si="35"/>
        <v>-7.493150684931507</v>
      </c>
      <c r="I271" s="20">
        <f t="shared" si="36"/>
        <v>0.11874999999999999</v>
      </c>
      <c r="J271" s="598">
        <v>39097</v>
      </c>
      <c r="K271" s="584">
        <v>0</v>
      </c>
      <c r="L271" s="35">
        <v>0</v>
      </c>
      <c r="M271" s="18">
        <f t="shared" si="37"/>
        <v>39097</v>
      </c>
      <c r="N271" s="18">
        <f t="shared" si="38"/>
        <v>2353.1841609589042</v>
      </c>
      <c r="O271" s="21">
        <f t="shared" si="39"/>
        <v>36743.815839041097</v>
      </c>
      <c r="P271" s="560">
        <f t="shared" si="40"/>
        <v>33069.434255136992</v>
      </c>
      <c r="Q271" s="585"/>
    </row>
    <row r="272" spans="2:17">
      <c r="B272" s="54">
        <v>275</v>
      </c>
      <c r="C272" s="319" t="s">
        <v>420</v>
      </c>
      <c r="D272" s="660">
        <v>44285</v>
      </c>
      <c r="E272" s="19">
        <v>44470</v>
      </c>
      <c r="F272" s="564">
        <f t="shared" si="41"/>
        <v>0.50684931506849318</v>
      </c>
      <c r="G272" s="11">
        <v>8</v>
      </c>
      <c r="H272" s="564">
        <f t="shared" si="35"/>
        <v>-7.493150684931507</v>
      </c>
      <c r="I272" s="20">
        <f t="shared" si="36"/>
        <v>0.11874999999999999</v>
      </c>
      <c r="J272" s="598">
        <v>36108</v>
      </c>
      <c r="K272" s="584">
        <v>0</v>
      </c>
      <c r="L272" s="35">
        <v>0</v>
      </c>
      <c r="M272" s="18">
        <f t="shared" si="37"/>
        <v>36108</v>
      </c>
      <c r="N272" s="18">
        <f t="shared" si="38"/>
        <v>2173.2811643835616</v>
      </c>
      <c r="O272" s="21">
        <f t="shared" si="39"/>
        <v>33934.718835616441</v>
      </c>
      <c r="P272" s="560">
        <f t="shared" si="40"/>
        <v>30541.246952054797</v>
      </c>
      <c r="Q272" s="585"/>
    </row>
    <row r="273" spans="2:17">
      <c r="B273" s="54">
        <v>276</v>
      </c>
      <c r="C273" s="308" t="s">
        <v>422</v>
      </c>
      <c r="D273" s="660">
        <v>44285</v>
      </c>
      <c r="E273" s="19">
        <v>44470</v>
      </c>
      <c r="F273" s="564">
        <f t="shared" si="41"/>
        <v>0.50684931506849318</v>
      </c>
      <c r="G273" s="11">
        <v>8</v>
      </c>
      <c r="H273" s="564">
        <f t="shared" si="35"/>
        <v>-7.493150684931507</v>
      </c>
      <c r="I273" s="20">
        <f t="shared" si="36"/>
        <v>0.11874999999999999</v>
      </c>
      <c r="J273" s="598">
        <v>68182</v>
      </c>
      <c r="K273" s="584">
        <v>0</v>
      </c>
      <c r="L273" s="35">
        <v>0</v>
      </c>
      <c r="M273" s="18">
        <f t="shared" si="37"/>
        <v>68182</v>
      </c>
      <c r="N273" s="18">
        <f t="shared" si="38"/>
        <v>4103.7624999999998</v>
      </c>
      <c r="O273" s="21">
        <f t="shared" si="39"/>
        <v>64078.237500000003</v>
      </c>
      <c r="P273" s="560">
        <f t="shared" si="40"/>
        <v>57670.413750000007</v>
      </c>
      <c r="Q273" s="585"/>
    </row>
    <row r="274" spans="2:17">
      <c r="B274" s="54">
        <v>277</v>
      </c>
      <c r="C274" s="308" t="s">
        <v>424</v>
      </c>
      <c r="D274" s="660">
        <v>44285</v>
      </c>
      <c r="E274" s="19">
        <v>44470</v>
      </c>
      <c r="F274" s="564">
        <f t="shared" si="41"/>
        <v>0.50684931506849318</v>
      </c>
      <c r="G274" s="11">
        <v>8</v>
      </c>
      <c r="H274" s="564">
        <f t="shared" si="35"/>
        <v>-7.493150684931507</v>
      </c>
      <c r="I274" s="20">
        <f t="shared" si="36"/>
        <v>0.11874999999999999</v>
      </c>
      <c r="J274" s="598">
        <v>2879</v>
      </c>
      <c r="K274" s="584">
        <v>0</v>
      </c>
      <c r="L274" s="35">
        <v>0</v>
      </c>
      <c r="M274" s="18">
        <f t="shared" si="37"/>
        <v>2879</v>
      </c>
      <c r="N274" s="18">
        <f t="shared" si="38"/>
        <v>173.28227739726026</v>
      </c>
      <c r="O274" s="21">
        <f t="shared" si="39"/>
        <v>2705.7177226027397</v>
      </c>
      <c r="P274" s="560">
        <f t="shared" si="40"/>
        <v>2435.1459503424658</v>
      </c>
      <c r="Q274" s="585"/>
    </row>
    <row r="275" spans="2:17">
      <c r="B275" s="54">
        <v>278</v>
      </c>
      <c r="C275" s="308" t="s">
        <v>426</v>
      </c>
      <c r="D275" s="660">
        <v>44285</v>
      </c>
      <c r="E275" s="19">
        <v>44470</v>
      </c>
      <c r="F275" s="564">
        <f t="shared" si="41"/>
        <v>0.50684931506849318</v>
      </c>
      <c r="G275" s="11">
        <v>10</v>
      </c>
      <c r="H275" s="564">
        <f t="shared" si="35"/>
        <v>-9.493150684931507</v>
      </c>
      <c r="I275" s="20">
        <f t="shared" si="36"/>
        <v>9.5000000000000001E-2</v>
      </c>
      <c r="J275" s="598">
        <f>1610000+48300</f>
        <v>1658300</v>
      </c>
      <c r="K275" s="584">
        <v>0</v>
      </c>
      <c r="L275" s="35">
        <v>0</v>
      </c>
      <c r="M275" s="18">
        <f t="shared" si="37"/>
        <v>1658300</v>
      </c>
      <c r="N275" s="18">
        <f t="shared" si="38"/>
        <v>79848.280821917811</v>
      </c>
      <c r="O275" s="21">
        <f t="shared" si="39"/>
        <v>1578451.7191780822</v>
      </c>
      <c r="P275" s="560">
        <f t="shared" si="40"/>
        <v>1420606.5472602739</v>
      </c>
      <c r="Q275" s="585"/>
    </row>
    <row r="276" spans="2:17">
      <c r="B276" s="54">
        <v>279</v>
      </c>
      <c r="C276" s="308" t="s">
        <v>428</v>
      </c>
      <c r="D276" s="660">
        <v>44285</v>
      </c>
      <c r="E276" s="19">
        <v>44470</v>
      </c>
      <c r="F276" s="564">
        <f t="shared" si="41"/>
        <v>0.50684931506849318</v>
      </c>
      <c r="G276" s="11">
        <v>10</v>
      </c>
      <c r="H276" s="564">
        <f t="shared" si="35"/>
        <v>-9.493150684931507</v>
      </c>
      <c r="I276" s="20">
        <f t="shared" si="36"/>
        <v>9.5000000000000001E-2</v>
      </c>
      <c r="J276" s="598">
        <v>500000</v>
      </c>
      <c r="K276" s="584">
        <v>0</v>
      </c>
      <c r="L276" s="35">
        <v>0</v>
      </c>
      <c r="M276" s="18">
        <f t="shared" si="37"/>
        <v>500000</v>
      </c>
      <c r="N276" s="18">
        <f t="shared" si="38"/>
        <v>24075.342465753423</v>
      </c>
      <c r="O276" s="21">
        <f t="shared" si="39"/>
        <v>475924.65753424657</v>
      </c>
      <c r="P276" s="560">
        <f t="shared" si="40"/>
        <v>428332.19178082194</v>
      </c>
      <c r="Q276" s="585"/>
    </row>
    <row r="277" spans="2:17">
      <c r="B277" s="54">
        <v>280</v>
      </c>
      <c r="C277" s="308" t="s">
        <v>430</v>
      </c>
      <c r="D277" s="660">
        <v>44285</v>
      </c>
      <c r="E277" s="19">
        <v>44470</v>
      </c>
      <c r="F277" s="564">
        <f t="shared" si="41"/>
        <v>0.50684931506849318</v>
      </c>
      <c r="G277" s="11">
        <v>5</v>
      </c>
      <c r="H277" s="564">
        <f t="shared" si="35"/>
        <v>-4.493150684931507</v>
      </c>
      <c r="I277" s="20">
        <f t="shared" si="36"/>
        <v>0.19</v>
      </c>
      <c r="J277" s="598">
        <v>179305</v>
      </c>
      <c r="K277" s="584">
        <v>0</v>
      </c>
      <c r="L277" s="35">
        <v>0</v>
      </c>
      <c r="M277" s="18">
        <f t="shared" si="37"/>
        <v>179305</v>
      </c>
      <c r="N277" s="18">
        <f t="shared" si="38"/>
        <v>17267.31712328767</v>
      </c>
      <c r="O277" s="21">
        <f t="shared" si="39"/>
        <v>162037.68287671232</v>
      </c>
      <c r="P277" s="560">
        <f t="shared" si="40"/>
        <v>145833.91458904109</v>
      </c>
      <c r="Q277" s="585"/>
    </row>
    <row r="278" spans="2:17">
      <c r="B278" s="54">
        <v>281</v>
      </c>
      <c r="C278" s="308" t="s">
        <v>432</v>
      </c>
      <c r="D278" s="660">
        <v>44285</v>
      </c>
      <c r="E278" s="19">
        <v>44470</v>
      </c>
      <c r="F278" s="564">
        <f t="shared" si="41"/>
        <v>0.50684931506849318</v>
      </c>
      <c r="G278" s="11">
        <v>8</v>
      </c>
      <c r="H278" s="564">
        <f t="shared" si="35"/>
        <v>-7.493150684931507</v>
      </c>
      <c r="I278" s="20">
        <f t="shared" si="36"/>
        <v>0.11874999999999999</v>
      </c>
      <c r="J278" s="598">
        <v>28161</v>
      </c>
      <c r="K278" s="584">
        <v>0</v>
      </c>
      <c r="L278" s="35">
        <v>0</v>
      </c>
      <c r="M278" s="18">
        <f t="shared" si="37"/>
        <v>28161</v>
      </c>
      <c r="N278" s="18">
        <f t="shared" si="38"/>
        <v>1694.9642979452055</v>
      </c>
      <c r="O278" s="21">
        <f t="shared" si="39"/>
        <v>26466.035702054796</v>
      </c>
      <c r="P278" s="560">
        <f t="shared" si="40"/>
        <v>23819.432131849317</v>
      </c>
      <c r="Q278" s="585"/>
    </row>
    <row r="279" spans="2:17">
      <c r="B279" s="54">
        <v>282</v>
      </c>
      <c r="C279" s="308" t="s">
        <v>436</v>
      </c>
      <c r="D279" s="660">
        <v>44285</v>
      </c>
      <c r="E279" s="19">
        <v>44470</v>
      </c>
      <c r="F279" s="564">
        <f t="shared" si="41"/>
        <v>0.50684931506849318</v>
      </c>
      <c r="G279" s="11">
        <v>8</v>
      </c>
      <c r="H279" s="564">
        <f t="shared" si="35"/>
        <v>-7.493150684931507</v>
      </c>
      <c r="I279" s="20">
        <f t="shared" si="36"/>
        <v>0.11874999999999999</v>
      </c>
      <c r="J279" s="598">
        <f>26600+189950</f>
        <v>216550</v>
      </c>
      <c r="K279" s="584">
        <v>0</v>
      </c>
      <c r="L279" s="35">
        <v>0</v>
      </c>
      <c r="M279" s="18">
        <f t="shared" si="37"/>
        <v>216550</v>
      </c>
      <c r="N279" s="18">
        <f t="shared" si="38"/>
        <v>13033.788527397261</v>
      </c>
      <c r="O279" s="21">
        <f t="shared" si="39"/>
        <v>203516.21147260274</v>
      </c>
      <c r="P279" s="560">
        <f t="shared" si="40"/>
        <v>183164.59032534246</v>
      </c>
      <c r="Q279" s="585"/>
    </row>
    <row r="280" spans="2:17">
      <c r="B280" s="54">
        <v>283</v>
      </c>
      <c r="C280" s="324" t="s">
        <v>438</v>
      </c>
      <c r="D280" s="660">
        <v>44285</v>
      </c>
      <c r="E280" s="19">
        <v>44470</v>
      </c>
      <c r="F280" s="564">
        <f t="shared" si="41"/>
        <v>0.50684931506849318</v>
      </c>
      <c r="G280" s="11">
        <v>25</v>
      </c>
      <c r="H280" s="564">
        <f t="shared" si="35"/>
        <v>-24.493150684931507</v>
      </c>
      <c r="I280" s="20">
        <f t="shared" si="36"/>
        <v>3.7999999999999999E-2</v>
      </c>
      <c r="J280" s="599">
        <v>1959010</v>
      </c>
      <c r="K280" s="584">
        <v>0</v>
      </c>
      <c r="L280" s="35">
        <v>0</v>
      </c>
      <c r="M280" s="18">
        <f t="shared" si="37"/>
        <v>1959010</v>
      </c>
      <c r="N280" s="18">
        <f t="shared" si="38"/>
        <v>37731.069315068489</v>
      </c>
      <c r="O280" s="21">
        <f t="shared" si="39"/>
        <v>1921278.9306849316</v>
      </c>
      <c r="P280" s="560">
        <f t="shared" si="40"/>
        <v>1729151.0376164385</v>
      </c>
      <c r="Q280" s="585"/>
    </row>
    <row r="281" spans="2:17">
      <c r="B281" s="54">
        <v>284</v>
      </c>
      <c r="C281" s="310" t="s">
        <v>440</v>
      </c>
      <c r="D281" s="660">
        <v>44285</v>
      </c>
      <c r="E281" s="19">
        <v>44470</v>
      </c>
      <c r="F281" s="564">
        <f t="shared" si="41"/>
        <v>0.50684931506849318</v>
      </c>
      <c r="G281" s="11">
        <v>8</v>
      </c>
      <c r="H281" s="564">
        <f t="shared" si="35"/>
        <v>-7.493150684931507</v>
      </c>
      <c r="I281" s="20">
        <f t="shared" si="36"/>
        <v>0.11874999999999999</v>
      </c>
      <c r="J281" s="598">
        <v>108330.5</v>
      </c>
      <c r="K281" s="584">
        <v>0</v>
      </c>
      <c r="L281" s="35">
        <v>0</v>
      </c>
      <c r="M281" s="18">
        <f t="shared" si="37"/>
        <v>108330.5</v>
      </c>
      <c r="N281" s="18">
        <f t="shared" si="38"/>
        <v>6520.2347174657534</v>
      </c>
      <c r="O281" s="21">
        <f t="shared" si="39"/>
        <v>101810.26528253425</v>
      </c>
      <c r="P281" s="560">
        <f t="shared" si="40"/>
        <v>91629.238754280828</v>
      </c>
      <c r="Q281" s="585"/>
    </row>
    <row r="282" spans="2:17">
      <c r="B282" s="54">
        <v>285</v>
      </c>
      <c r="C282" s="308" t="s">
        <v>442</v>
      </c>
      <c r="D282" s="660">
        <v>44285</v>
      </c>
      <c r="E282" s="19">
        <v>44470</v>
      </c>
      <c r="F282" s="564">
        <f t="shared" si="41"/>
        <v>0.50684931506849318</v>
      </c>
      <c r="G282" s="11">
        <v>25</v>
      </c>
      <c r="H282" s="564">
        <f t="shared" si="35"/>
        <v>-24.493150684931507</v>
      </c>
      <c r="I282" s="20">
        <f t="shared" si="36"/>
        <v>3.7999999999999999E-2</v>
      </c>
      <c r="J282" s="598">
        <v>216450</v>
      </c>
      <c r="K282" s="584">
        <v>0</v>
      </c>
      <c r="L282" s="35">
        <v>0</v>
      </c>
      <c r="M282" s="18">
        <f t="shared" si="37"/>
        <v>216450</v>
      </c>
      <c r="N282" s="18">
        <f t="shared" si="38"/>
        <v>4168.8863013698628</v>
      </c>
      <c r="O282" s="21">
        <f t="shared" si="39"/>
        <v>212281.11369863013</v>
      </c>
      <c r="P282" s="560">
        <f t="shared" si="40"/>
        <v>191053.00232876712</v>
      </c>
      <c r="Q282" s="585"/>
    </row>
    <row r="283" spans="2:17">
      <c r="B283" s="54">
        <v>286</v>
      </c>
      <c r="C283" s="308" t="s">
        <v>445</v>
      </c>
      <c r="D283" s="660">
        <v>44285</v>
      </c>
      <c r="E283" s="19">
        <v>44470</v>
      </c>
      <c r="F283" s="564">
        <f t="shared" si="41"/>
        <v>0.50684931506849318</v>
      </c>
      <c r="G283" s="11">
        <v>8</v>
      </c>
      <c r="H283" s="564">
        <f t="shared" si="35"/>
        <v>-7.493150684931507</v>
      </c>
      <c r="I283" s="20">
        <f t="shared" si="36"/>
        <v>0.11874999999999999</v>
      </c>
      <c r="J283" s="595">
        <f>85*60</f>
        <v>5100</v>
      </c>
      <c r="K283" s="584">
        <v>0</v>
      </c>
      <c r="L283" s="35">
        <v>0</v>
      </c>
      <c r="M283" s="18">
        <f t="shared" si="37"/>
        <v>5100</v>
      </c>
      <c r="N283" s="18">
        <f t="shared" si="38"/>
        <v>306.96061643835617</v>
      </c>
      <c r="O283" s="21">
        <f t="shared" si="39"/>
        <v>4793.0393835616442</v>
      </c>
      <c r="P283" s="560">
        <f t="shared" si="40"/>
        <v>4313.7354452054797</v>
      </c>
      <c r="Q283" s="585"/>
    </row>
    <row r="284" spans="2:17" s="7" customFormat="1">
      <c r="B284" s="54">
        <v>287</v>
      </c>
      <c r="C284" s="603" t="s">
        <v>447</v>
      </c>
      <c r="D284" s="660">
        <v>44285</v>
      </c>
      <c r="E284" s="19">
        <v>44470</v>
      </c>
      <c r="F284" s="564">
        <f t="shared" si="41"/>
        <v>0.50684931506849318</v>
      </c>
      <c r="G284" s="605">
        <v>5</v>
      </c>
      <c r="H284" s="564">
        <f t="shared" si="35"/>
        <v>-4.493150684931507</v>
      </c>
      <c r="I284" s="20">
        <f t="shared" si="36"/>
        <v>0.19</v>
      </c>
      <c r="J284" s="670">
        <v>300000</v>
      </c>
      <c r="K284" s="584">
        <v>0</v>
      </c>
      <c r="L284" s="35">
        <v>0</v>
      </c>
      <c r="M284" s="18">
        <f t="shared" si="37"/>
        <v>300000</v>
      </c>
      <c r="N284" s="18">
        <f t="shared" si="38"/>
        <v>28890.410958904111</v>
      </c>
      <c r="O284" s="21">
        <f t="shared" si="39"/>
        <v>271109.58904109587</v>
      </c>
      <c r="P284" s="560">
        <f t="shared" si="40"/>
        <v>243998.63013698629</v>
      </c>
      <c r="Q284" s="585"/>
    </row>
    <row r="285" spans="2:17">
      <c r="B285" s="54">
        <v>288</v>
      </c>
      <c r="C285" s="308" t="s">
        <v>110</v>
      </c>
      <c r="D285" s="660">
        <v>44285</v>
      </c>
      <c r="E285" s="19">
        <v>44470</v>
      </c>
      <c r="F285" s="564">
        <f t="shared" si="41"/>
        <v>0.50684931506849318</v>
      </c>
      <c r="G285" s="11">
        <v>8</v>
      </c>
      <c r="H285" s="564">
        <f t="shared" si="35"/>
        <v>-7.493150684931507</v>
      </c>
      <c r="I285" s="20">
        <f t="shared" si="36"/>
        <v>0.11874999999999999</v>
      </c>
      <c r="J285" s="595">
        <f>323124+8500</f>
        <v>331624</v>
      </c>
      <c r="K285" s="584">
        <v>0</v>
      </c>
      <c r="L285" s="35">
        <v>0</v>
      </c>
      <c r="M285" s="18">
        <f t="shared" si="37"/>
        <v>331624</v>
      </c>
      <c r="N285" s="18">
        <f t="shared" si="38"/>
        <v>19959.903424657536</v>
      </c>
      <c r="O285" s="21">
        <f t="shared" si="39"/>
        <v>311664.09657534247</v>
      </c>
      <c r="P285" s="560">
        <f t="shared" si="40"/>
        <v>280497.68691780826</v>
      </c>
      <c r="Q285" s="585"/>
    </row>
    <row r="286" spans="2:17">
      <c r="B286" s="54">
        <v>289</v>
      </c>
      <c r="C286" s="308" t="s">
        <v>450</v>
      </c>
      <c r="D286" s="660">
        <v>44285</v>
      </c>
      <c r="E286" s="19">
        <v>44470</v>
      </c>
      <c r="F286" s="564">
        <f t="shared" si="41"/>
        <v>0.50684931506849318</v>
      </c>
      <c r="G286" s="11">
        <v>25</v>
      </c>
      <c r="H286" s="564">
        <f t="shared" si="35"/>
        <v>-24.493150684931507</v>
      </c>
      <c r="I286" s="20">
        <f t="shared" si="36"/>
        <v>3.7999999999999999E-2</v>
      </c>
      <c r="J286" s="595">
        <v>217300</v>
      </c>
      <c r="K286" s="584">
        <v>0</v>
      </c>
      <c r="L286" s="35">
        <v>0</v>
      </c>
      <c r="M286" s="18">
        <f t="shared" si="37"/>
        <v>217300</v>
      </c>
      <c r="N286" s="18">
        <f t="shared" si="38"/>
        <v>4185.2575342465752</v>
      </c>
      <c r="O286" s="21">
        <f t="shared" si="39"/>
        <v>213114.74246575343</v>
      </c>
      <c r="P286" s="560">
        <f t="shared" si="40"/>
        <v>191803.26821917808</v>
      </c>
      <c r="Q286" s="585"/>
    </row>
    <row r="287" spans="2:17">
      <c r="B287" s="54">
        <v>290</v>
      </c>
      <c r="C287" s="308" t="s">
        <v>452</v>
      </c>
      <c r="D287" s="660">
        <v>44285</v>
      </c>
      <c r="E287" s="19">
        <v>44470</v>
      </c>
      <c r="F287" s="564">
        <f t="shared" si="41"/>
        <v>0.50684931506849318</v>
      </c>
      <c r="G287" s="11">
        <v>20</v>
      </c>
      <c r="H287" s="564">
        <f t="shared" si="35"/>
        <v>-19.493150684931507</v>
      </c>
      <c r="I287" s="20">
        <f t="shared" si="36"/>
        <v>4.7500000000000001E-2</v>
      </c>
      <c r="J287" s="595">
        <v>465212</v>
      </c>
      <c r="K287" s="584">
        <v>0</v>
      </c>
      <c r="L287" s="35">
        <v>0</v>
      </c>
      <c r="M287" s="18">
        <f t="shared" si="37"/>
        <v>465212</v>
      </c>
      <c r="N287" s="18">
        <f t="shared" si="38"/>
        <v>11200.138219178083</v>
      </c>
      <c r="O287" s="21">
        <f t="shared" si="39"/>
        <v>454011.86178082193</v>
      </c>
      <c r="P287" s="560">
        <f t="shared" si="40"/>
        <v>408610.67560273974</v>
      </c>
      <c r="Q287" s="585"/>
    </row>
    <row r="288" spans="2:17">
      <c r="B288" s="54">
        <v>291</v>
      </c>
      <c r="C288" s="308" t="s">
        <v>454</v>
      </c>
      <c r="D288" s="660">
        <v>44285</v>
      </c>
      <c r="E288" s="19">
        <v>44470</v>
      </c>
      <c r="F288" s="564">
        <f t="shared" si="41"/>
        <v>0.50684931506849318</v>
      </c>
      <c r="G288" s="11">
        <v>3</v>
      </c>
      <c r="H288" s="564">
        <f t="shared" si="35"/>
        <v>-2.493150684931507</v>
      </c>
      <c r="I288" s="20">
        <f t="shared" si="36"/>
        <v>0.31666666666666665</v>
      </c>
      <c r="J288" s="595">
        <v>95464</v>
      </c>
      <c r="K288" s="584">
        <v>0</v>
      </c>
      <c r="L288" s="35">
        <v>0</v>
      </c>
      <c r="M288" s="18">
        <f t="shared" si="37"/>
        <v>95464</v>
      </c>
      <c r="N288" s="18">
        <f t="shared" si="38"/>
        <v>15322.189954337899</v>
      </c>
      <c r="O288" s="21">
        <f t="shared" si="39"/>
        <v>80141.810045662103</v>
      </c>
      <c r="P288" s="560">
        <f t="shared" si="40"/>
        <v>72127.62904109589</v>
      </c>
      <c r="Q288" s="585"/>
    </row>
    <row r="289" spans="2:17">
      <c r="B289" s="54">
        <v>292</v>
      </c>
      <c r="C289" s="675" t="s">
        <v>456</v>
      </c>
      <c r="D289" s="660">
        <v>44285</v>
      </c>
      <c r="E289" s="19">
        <v>44470</v>
      </c>
      <c r="F289" s="564">
        <f t="shared" si="41"/>
        <v>0.50684931506849318</v>
      </c>
      <c r="G289" s="11">
        <v>5</v>
      </c>
      <c r="H289" s="564">
        <f t="shared" si="35"/>
        <v>-4.493150684931507</v>
      </c>
      <c r="I289" s="20">
        <f t="shared" si="36"/>
        <v>0.19</v>
      </c>
      <c r="J289" s="595">
        <v>6256</v>
      </c>
      <c r="K289" s="584">
        <v>0</v>
      </c>
      <c r="L289" s="35">
        <v>0</v>
      </c>
      <c r="M289" s="18">
        <f t="shared" si="37"/>
        <v>6256</v>
      </c>
      <c r="N289" s="18">
        <f t="shared" si="38"/>
        <v>602.46136986301372</v>
      </c>
      <c r="O289" s="21">
        <f t="shared" si="39"/>
        <v>5653.5386301369863</v>
      </c>
      <c r="P289" s="560">
        <f t="shared" si="40"/>
        <v>5088.1847671232881</v>
      </c>
      <c r="Q289" s="585"/>
    </row>
    <row r="290" spans="2:17">
      <c r="B290" s="54">
        <v>293</v>
      </c>
      <c r="C290" s="308" t="s">
        <v>454</v>
      </c>
      <c r="D290" s="660">
        <v>44285</v>
      </c>
      <c r="E290" s="19">
        <v>44470</v>
      </c>
      <c r="F290" s="564">
        <f t="shared" si="41"/>
        <v>0.50684931506849318</v>
      </c>
      <c r="G290" s="11">
        <v>3</v>
      </c>
      <c r="H290" s="564">
        <f t="shared" si="35"/>
        <v>-2.493150684931507</v>
      </c>
      <c r="I290" s="20">
        <f t="shared" si="36"/>
        <v>0.31666666666666665</v>
      </c>
      <c r="J290" s="595">
        <v>55932</v>
      </c>
      <c r="K290" s="584">
        <v>0</v>
      </c>
      <c r="L290" s="35">
        <v>0</v>
      </c>
      <c r="M290" s="18">
        <f t="shared" si="37"/>
        <v>55932</v>
      </c>
      <c r="N290" s="18">
        <f t="shared" si="38"/>
        <v>8977.2136986301357</v>
      </c>
      <c r="O290" s="21">
        <f t="shared" si="39"/>
        <v>46954.786301369866</v>
      </c>
      <c r="P290" s="560">
        <f t="shared" si="40"/>
        <v>42259.307671232884</v>
      </c>
      <c r="Q290" s="585"/>
    </row>
    <row r="291" spans="2:17">
      <c r="B291" s="54">
        <v>294</v>
      </c>
      <c r="C291" s="308" t="s">
        <v>459</v>
      </c>
      <c r="D291" s="660">
        <v>44285</v>
      </c>
      <c r="E291" s="19">
        <v>44470</v>
      </c>
      <c r="F291" s="564">
        <f t="shared" si="41"/>
        <v>0.50684931506849318</v>
      </c>
      <c r="G291" s="11">
        <v>2</v>
      </c>
      <c r="H291" s="564">
        <f t="shared" si="35"/>
        <v>-1.4931506849315068</v>
      </c>
      <c r="I291" s="20">
        <f t="shared" si="36"/>
        <v>0.47499999999999998</v>
      </c>
      <c r="J291" s="595">
        <v>515959</v>
      </c>
      <c r="K291" s="584">
        <v>0</v>
      </c>
      <c r="L291" s="35">
        <v>0</v>
      </c>
      <c r="M291" s="18">
        <f t="shared" si="37"/>
        <v>515959</v>
      </c>
      <c r="N291" s="18">
        <f t="shared" si="38"/>
        <v>124218.89623287671</v>
      </c>
      <c r="O291" s="21">
        <f t="shared" si="39"/>
        <v>391740.10376712331</v>
      </c>
      <c r="P291" s="560">
        <f t="shared" si="40"/>
        <v>352566.093390411</v>
      </c>
      <c r="Q291" s="585"/>
    </row>
    <row r="292" spans="2:17">
      <c r="B292" s="54">
        <v>295</v>
      </c>
      <c r="C292" s="308" t="s">
        <v>461</v>
      </c>
      <c r="D292" s="660">
        <v>44285</v>
      </c>
      <c r="E292" s="19">
        <v>44470</v>
      </c>
      <c r="F292" s="564">
        <f t="shared" si="41"/>
        <v>0.50684931506849318</v>
      </c>
      <c r="G292" s="11">
        <v>15</v>
      </c>
      <c r="H292" s="564">
        <f t="shared" si="35"/>
        <v>-14.493150684931507</v>
      </c>
      <c r="I292" s="20">
        <f t="shared" si="36"/>
        <v>6.3333333333333325E-2</v>
      </c>
      <c r="J292" s="595">
        <v>439070</v>
      </c>
      <c r="K292" s="584">
        <v>0</v>
      </c>
      <c r="L292" s="35">
        <v>0</v>
      </c>
      <c r="M292" s="18">
        <f t="shared" si="37"/>
        <v>439070</v>
      </c>
      <c r="N292" s="18">
        <f t="shared" si="38"/>
        <v>14094.347488584475</v>
      </c>
      <c r="O292" s="21">
        <f t="shared" si="39"/>
        <v>424975.65251141554</v>
      </c>
      <c r="P292" s="560">
        <f t="shared" si="40"/>
        <v>382478.08726027398</v>
      </c>
      <c r="Q292" s="585"/>
    </row>
    <row r="293" spans="2:17">
      <c r="B293" s="54">
        <v>296</v>
      </c>
      <c r="C293" s="308" t="s">
        <v>463</v>
      </c>
      <c r="D293" s="660">
        <v>44285</v>
      </c>
      <c r="E293" s="19">
        <v>44470</v>
      </c>
      <c r="F293" s="564">
        <f t="shared" si="41"/>
        <v>0.50684931506849318</v>
      </c>
      <c r="G293" s="11">
        <v>8</v>
      </c>
      <c r="H293" s="564">
        <f t="shared" si="35"/>
        <v>-7.493150684931507</v>
      </c>
      <c r="I293" s="20">
        <f t="shared" si="36"/>
        <v>0.11874999999999999</v>
      </c>
      <c r="J293" s="595">
        <v>241600</v>
      </c>
      <c r="K293" s="584">
        <v>0</v>
      </c>
      <c r="L293" s="35">
        <v>0</v>
      </c>
      <c r="M293" s="18">
        <f t="shared" si="37"/>
        <v>241600</v>
      </c>
      <c r="N293" s="18">
        <f t="shared" si="38"/>
        <v>14541.506849315068</v>
      </c>
      <c r="O293" s="21">
        <f t="shared" si="39"/>
        <v>227058.49315068492</v>
      </c>
      <c r="P293" s="560">
        <f t="shared" si="40"/>
        <v>204352.64383561644</v>
      </c>
      <c r="Q293" s="585"/>
    </row>
    <row r="294" spans="2:17">
      <c r="B294" s="54">
        <v>297</v>
      </c>
      <c r="C294" s="308" t="s">
        <v>465</v>
      </c>
      <c r="D294" s="660">
        <v>44285</v>
      </c>
      <c r="E294" s="19">
        <v>44470</v>
      </c>
      <c r="F294" s="564">
        <f t="shared" si="41"/>
        <v>0.50684931506849318</v>
      </c>
      <c r="G294" s="11">
        <v>8</v>
      </c>
      <c r="H294" s="564">
        <f t="shared" si="35"/>
        <v>-7.493150684931507</v>
      </c>
      <c r="I294" s="20">
        <f t="shared" si="36"/>
        <v>0.11874999999999999</v>
      </c>
      <c r="J294" s="595">
        <v>70000</v>
      </c>
      <c r="K294" s="584">
        <v>0</v>
      </c>
      <c r="L294" s="35">
        <v>0</v>
      </c>
      <c r="M294" s="18">
        <f t="shared" si="37"/>
        <v>70000</v>
      </c>
      <c r="N294" s="18">
        <f t="shared" si="38"/>
        <v>4213.1849315068494</v>
      </c>
      <c r="O294" s="21">
        <f t="shared" si="39"/>
        <v>65786.815068493146</v>
      </c>
      <c r="P294" s="560">
        <f t="shared" si="40"/>
        <v>59208.13356164383</v>
      </c>
      <c r="Q294" s="585"/>
    </row>
    <row r="295" spans="2:17">
      <c r="B295" s="54">
        <v>298</v>
      </c>
      <c r="C295" s="308" t="s">
        <v>467</v>
      </c>
      <c r="D295" s="660">
        <v>44285</v>
      </c>
      <c r="E295" s="19">
        <v>44470</v>
      </c>
      <c r="F295" s="564">
        <f t="shared" si="41"/>
        <v>0.50684931506849318</v>
      </c>
      <c r="G295" s="11">
        <v>10</v>
      </c>
      <c r="H295" s="564">
        <f t="shared" si="35"/>
        <v>-9.493150684931507</v>
      </c>
      <c r="I295" s="20">
        <f t="shared" si="36"/>
        <v>9.5000000000000001E-2</v>
      </c>
      <c r="J295" s="595">
        <v>86000</v>
      </c>
      <c r="K295" s="584">
        <v>0</v>
      </c>
      <c r="L295" s="35">
        <v>0</v>
      </c>
      <c r="M295" s="18">
        <f t="shared" si="37"/>
        <v>86000</v>
      </c>
      <c r="N295" s="18">
        <f t="shared" si="38"/>
        <v>4140.9589041095887</v>
      </c>
      <c r="O295" s="21">
        <f t="shared" si="39"/>
        <v>81859.04109589041</v>
      </c>
      <c r="P295" s="560">
        <f t="shared" si="40"/>
        <v>73673.136986301368</v>
      </c>
      <c r="Q295" s="585"/>
    </row>
    <row r="296" spans="2:17">
      <c r="B296" s="54">
        <v>299</v>
      </c>
      <c r="C296" s="308" t="s">
        <v>470</v>
      </c>
      <c r="D296" s="660">
        <v>44285</v>
      </c>
      <c r="E296" s="19">
        <v>44470</v>
      </c>
      <c r="F296" s="564">
        <f t="shared" si="41"/>
        <v>0.50684931506849318</v>
      </c>
      <c r="G296" s="11">
        <v>25</v>
      </c>
      <c r="H296" s="564">
        <f t="shared" si="35"/>
        <v>-24.493150684931507</v>
      </c>
      <c r="I296" s="20">
        <f t="shared" si="36"/>
        <v>3.7999999999999999E-2</v>
      </c>
      <c r="J296" s="595">
        <v>487459</v>
      </c>
      <c r="K296" s="584">
        <v>0</v>
      </c>
      <c r="L296" s="35">
        <v>0</v>
      </c>
      <c r="M296" s="18">
        <f t="shared" si="37"/>
        <v>487459</v>
      </c>
      <c r="N296" s="18">
        <f t="shared" si="38"/>
        <v>9388.5938904109589</v>
      </c>
      <c r="O296" s="21">
        <f t="shared" si="39"/>
        <v>478070.40610958904</v>
      </c>
      <c r="P296" s="560">
        <f t="shared" si="40"/>
        <v>430263.36549863016</v>
      </c>
      <c r="Q296" s="585"/>
    </row>
    <row r="297" spans="2:17">
      <c r="B297" s="54">
        <v>300</v>
      </c>
      <c r="C297" s="340" t="s">
        <v>317</v>
      </c>
      <c r="D297" s="660">
        <v>44285</v>
      </c>
      <c r="E297" s="19">
        <v>44470</v>
      </c>
      <c r="F297" s="564">
        <f t="shared" si="41"/>
        <v>0.50684931506849318</v>
      </c>
      <c r="G297" s="11">
        <v>10</v>
      </c>
      <c r="H297" s="564">
        <f t="shared" si="35"/>
        <v>-9.493150684931507</v>
      </c>
      <c r="I297" s="20">
        <f t="shared" si="36"/>
        <v>9.5000000000000001E-2</v>
      </c>
      <c r="J297" s="600">
        <v>613850</v>
      </c>
      <c r="K297" s="584">
        <v>0</v>
      </c>
      <c r="L297" s="35">
        <v>0</v>
      </c>
      <c r="M297" s="18">
        <f t="shared" si="37"/>
        <v>613850</v>
      </c>
      <c r="N297" s="18">
        <f t="shared" si="38"/>
        <v>29557.297945205479</v>
      </c>
      <c r="O297" s="21">
        <f t="shared" si="39"/>
        <v>584292.70205479453</v>
      </c>
      <c r="P297" s="560">
        <f t="shared" si="40"/>
        <v>525863.43184931506</v>
      </c>
      <c r="Q297" s="585"/>
    </row>
    <row r="298" spans="2:17">
      <c r="B298" s="54">
        <v>301</v>
      </c>
      <c r="C298" s="308" t="s">
        <v>473</v>
      </c>
      <c r="D298" s="660">
        <v>44285</v>
      </c>
      <c r="E298" s="19">
        <v>44470</v>
      </c>
      <c r="F298" s="564">
        <f t="shared" si="41"/>
        <v>0.50684931506849318</v>
      </c>
      <c r="G298" s="11">
        <v>8</v>
      </c>
      <c r="H298" s="564">
        <f t="shared" si="35"/>
        <v>-7.493150684931507</v>
      </c>
      <c r="I298" s="20">
        <f t="shared" si="36"/>
        <v>0.11874999999999999</v>
      </c>
      <c r="J298" s="595">
        <v>62100</v>
      </c>
      <c r="K298" s="584">
        <v>0</v>
      </c>
      <c r="L298" s="35">
        <v>0</v>
      </c>
      <c r="M298" s="18">
        <f t="shared" si="37"/>
        <v>62100</v>
      </c>
      <c r="N298" s="18">
        <f t="shared" si="38"/>
        <v>3737.696917808219</v>
      </c>
      <c r="O298" s="21">
        <f t="shared" si="39"/>
        <v>58362.303082191778</v>
      </c>
      <c r="P298" s="560">
        <f t="shared" si="40"/>
        <v>52526.072773972599</v>
      </c>
      <c r="Q298" s="585"/>
    </row>
    <row r="299" spans="2:17">
      <c r="B299" s="54">
        <v>302</v>
      </c>
      <c r="C299" s="345" t="s">
        <v>475</v>
      </c>
      <c r="D299" s="660">
        <v>44285</v>
      </c>
      <c r="E299" s="19">
        <v>44470</v>
      </c>
      <c r="F299" s="564">
        <f t="shared" si="41"/>
        <v>0.50684931506849318</v>
      </c>
      <c r="G299" s="11">
        <v>8</v>
      </c>
      <c r="H299" s="564">
        <f t="shared" si="35"/>
        <v>-7.493150684931507</v>
      </c>
      <c r="I299" s="20">
        <f t="shared" si="36"/>
        <v>0.11874999999999999</v>
      </c>
      <c r="J299" s="601">
        <v>557600</v>
      </c>
      <c r="K299" s="584">
        <v>0</v>
      </c>
      <c r="L299" s="35">
        <v>0</v>
      </c>
      <c r="M299" s="18">
        <f t="shared" si="37"/>
        <v>557600</v>
      </c>
      <c r="N299" s="18">
        <f t="shared" si="38"/>
        <v>33561.027397260274</v>
      </c>
      <c r="O299" s="21">
        <f t="shared" si="39"/>
        <v>524038.9726027397</v>
      </c>
      <c r="P299" s="560">
        <f t="shared" si="40"/>
        <v>471635.07534246572</v>
      </c>
      <c r="Q299" s="585"/>
    </row>
    <row r="300" spans="2:17">
      <c r="B300" s="54">
        <v>303</v>
      </c>
      <c r="C300" s="308" t="s">
        <v>477</v>
      </c>
      <c r="D300" s="660">
        <v>44285</v>
      </c>
      <c r="E300" s="19">
        <v>44470</v>
      </c>
      <c r="F300" s="564">
        <f t="shared" si="41"/>
        <v>0.50684931506849318</v>
      </c>
      <c r="G300" s="11">
        <v>25</v>
      </c>
      <c r="H300" s="564">
        <f t="shared" si="35"/>
        <v>-24.493150684931507</v>
      </c>
      <c r="I300" s="20">
        <f t="shared" si="36"/>
        <v>3.7999999999999999E-2</v>
      </c>
      <c r="J300" s="595">
        <v>3127461</v>
      </c>
      <c r="K300" s="584">
        <v>0</v>
      </c>
      <c r="L300" s="35">
        <v>0</v>
      </c>
      <c r="M300" s="18">
        <f t="shared" si="37"/>
        <v>3127461</v>
      </c>
      <c r="N300" s="18">
        <f t="shared" si="38"/>
        <v>60235.755698630135</v>
      </c>
      <c r="O300" s="21">
        <f t="shared" si="39"/>
        <v>3067225.2443013699</v>
      </c>
      <c r="P300" s="560">
        <f t="shared" si="40"/>
        <v>2760502.7198712328</v>
      </c>
      <c r="Q300" s="585"/>
    </row>
    <row r="301" spans="2:17">
      <c r="B301" s="54">
        <v>304</v>
      </c>
      <c r="C301" s="310" t="s">
        <v>479</v>
      </c>
      <c r="D301" s="660">
        <v>44285</v>
      </c>
      <c r="E301" s="19">
        <v>44470</v>
      </c>
      <c r="F301" s="564">
        <f t="shared" si="41"/>
        <v>0.50684931506849318</v>
      </c>
      <c r="G301" s="11">
        <v>25</v>
      </c>
      <c r="H301" s="564">
        <f t="shared" si="35"/>
        <v>-24.493150684931507</v>
      </c>
      <c r="I301" s="20">
        <f t="shared" si="36"/>
        <v>3.7999999999999999E-2</v>
      </c>
      <c r="J301" s="598">
        <v>660875</v>
      </c>
      <c r="K301" s="584">
        <v>0</v>
      </c>
      <c r="L301" s="35">
        <v>0</v>
      </c>
      <c r="M301" s="18">
        <f t="shared" si="37"/>
        <v>660875</v>
      </c>
      <c r="N301" s="18">
        <f t="shared" si="38"/>
        <v>12728.633561643835</v>
      </c>
      <c r="O301" s="21">
        <f t="shared" si="39"/>
        <v>648146.36643835611</v>
      </c>
      <c r="P301" s="560">
        <f t="shared" si="40"/>
        <v>583331.72979452054</v>
      </c>
      <c r="Q301" s="585"/>
    </row>
    <row r="302" spans="2:17">
      <c r="B302" s="54">
        <v>305</v>
      </c>
      <c r="C302" s="310" t="s">
        <v>480</v>
      </c>
      <c r="D302" s="660">
        <v>44285</v>
      </c>
      <c r="E302" s="19">
        <v>44470</v>
      </c>
      <c r="F302" s="564">
        <f t="shared" si="41"/>
        <v>0.50684931506849318</v>
      </c>
      <c r="G302" s="11">
        <v>25</v>
      </c>
      <c r="H302" s="564">
        <f t="shared" si="35"/>
        <v>-24.493150684931507</v>
      </c>
      <c r="I302" s="20">
        <f t="shared" si="36"/>
        <v>3.7999999999999999E-2</v>
      </c>
      <c r="J302" s="598">
        <f>1052983+1027050-J301</f>
        <v>1419158</v>
      </c>
      <c r="K302" s="584">
        <v>0</v>
      </c>
      <c r="L302" s="35">
        <v>0</v>
      </c>
      <c r="M302" s="18">
        <f t="shared" si="37"/>
        <v>1419158</v>
      </c>
      <c r="N302" s="18">
        <f t="shared" si="38"/>
        <v>27333.371890410959</v>
      </c>
      <c r="O302" s="21">
        <f t="shared" si="39"/>
        <v>1391824.628109589</v>
      </c>
      <c r="P302" s="560">
        <f t="shared" si="40"/>
        <v>1252642.16529863</v>
      </c>
      <c r="Q302" s="585"/>
    </row>
    <row r="303" spans="2:17">
      <c r="B303" s="54">
        <v>306</v>
      </c>
      <c r="C303" s="310" t="s">
        <v>480</v>
      </c>
      <c r="D303" s="660">
        <v>44285</v>
      </c>
      <c r="E303" s="19">
        <v>44470</v>
      </c>
      <c r="F303" s="564">
        <f t="shared" si="41"/>
        <v>0.50684931506849318</v>
      </c>
      <c r="G303" s="11">
        <v>25</v>
      </c>
      <c r="H303" s="564">
        <f t="shared" ref="H303:H308" si="42">F303-G303</f>
        <v>-24.493150684931507</v>
      </c>
      <c r="I303" s="20">
        <f t="shared" ref="I303:I308" si="43">(95/G303/100)</f>
        <v>3.7999999999999999E-2</v>
      </c>
      <c r="J303" s="598">
        <f>1988177-232695+5305533</f>
        <v>7061015</v>
      </c>
      <c r="K303" s="584">
        <v>0</v>
      </c>
      <c r="L303" s="35">
        <v>0</v>
      </c>
      <c r="M303" s="18">
        <f t="shared" ref="M303:M308" si="44">J303*(1+L303)</f>
        <v>7061015</v>
      </c>
      <c r="N303" s="18">
        <f t="shared" ref="N303:N308" si="45">F303*I303*M303</f>
        <v>135997.08342465753</v>
      </c>
      <c r="O303" s="21">
        <f t="shared" ref="O303:O308" si="46">IF(M303-N303&lt;=0,5%*M303,M303-N303)</f>
        <v>6925017.9165753424</v>
      </c>
      <c r="P303" s="560">
        <f t="shared" ref="P303:P308" si="47">IF(O303=M303*5%,O303,O303*0.9)</f>
        <v>6232516.124917808</v>
      </c>
      <c r="Q303" s="585"/>
    </row>
    <row r="304" spans="2:17">
      <c r="B304" s="54">
        <v>307</v>
      </c>
      <c r="C304" s="310" t="s">
        <v>480</v>
      </c>
      <c r="D304" s="660">
        <v>44285</v>
      </c>
      <c r="E304" s="19">
        <v>44470</v>
      </c>
      <c r="F304" s="564">
        <f t="shared" si="41"/>
        <v>0.50684931506849318</v>
      </c>
      <c r="G304" s="11">
        <v>25</v>
      </c>
      <c r="H304" s="564">
        <f t="shared" si="42"/>
        <v>-24.493150684931507</v>
      </c>
      <c r="I304" s="20">
        <f t="shared" si="43"/>
        <v>3.7999999999999999E-2</v>
      </c>
      <c r="J304" s="598">
        <f>250099/1.18</f>
        <v>211948.30508474578</v>
      </c>
      <c r="K304" s="584">
        <v>0</v>
      </c>
      <c r="L304" s="35">
        <v>0</v>
      </c>
      <c r="M304" s="18">
        <f t="shared" si="44"/>
        <v>211948.30508474578</v>
      </c>
      <c r="N304" s="18">
        <f t="shared" si="45"/>
        <v>4082.1824239609941</v>
      </c>
      <c r="O304" s="21">
        <f t="shared" si="46"/>
        <v>207866.12266078478</v>
      </c>
      <c r="P304" s="560">
        <f t="shared" si="47"/>
        <v>187079.5103947063</v>
      </c>
      <c r="Q304" s="585"/>
    </row>
    <row r="305" spans="2:17">
      <c r="B305" s="54">
        <v>308</v>
      </c>
      <c r="C305" s="310" t="s">
        <v>480</v>
      </c>
      <c r="D305" s="660">
        <v>44285</v>
      </c>
      <c r="E305" s="19">
        <v>44470</v>
      </c>
      <c r="F305" s="564">
        <f t="shared" si="41"/>
        <v>0.50684931506849318</v>
      </c>
      <c r="G305" s="11">
        <v>25</v>
      </c>
      <c r="H305" s="564">
        <f t="shared" si="42"/>
        <v>-24.493150684931507</v>
      </c>
      <c r="I305" s="20">
        <f t="shared" si="43"/>
        <v>3.7999999999999999E-2</v>
      </c>
      <c r="J305" s="598">
        <f>151200+339407</f>
        <v>490607</v>
      </c>
      <c r="K305" s="584">
        <v>0</v>
      </c>
      <c r="L305" s="35">
        <v>0</v>
      </c>
      <c r="M305" s="18">
        <f t="shared" si="44"/>
        <v>490607</v>
      </c>
      <c r="N305" s="18">
        <f t="shared" si="45"/>
        <v>9449.2252328767117</v>
      </c>
      <c r="O305" s="21">
        <f t="shared" si="46"/>
        <v>481157.77476712328</v>
      </c>
      <c r="P305" s="560">
        <f t="shared" si="47"/>
        <v>433041.99729041097</v>
      </c>
      <c r="Q305" s="585"/>
    </row>
    <row r="306" spans="2:17">
      <c r="B306" s="54">
        <v>309</v>
      </c>
      <c r="C306" s="310" t="s">
        <v>480</v>
      </c>
      <c r="D306" s="660">
        <v>44285</v>
      </c>
      <c r="E306" s="19">
        <v>44470</v>
      </c>
      <c r="F306" s="564">
        <f t="shared" si="41"/>
        <v>0.50684931506849318</v>
      </c>
      <c r="G306" s="11">
        <v>25</v>
      </c>
      <c r="H306" s="564">
        <f t="shared" si="42"/>
        <v>-24.493150684931507</v>
      </c>
      <c r="I306" s="20">
        <f t="shared" si="43"/>
        <v>3.7999999999999999E-2</v>
      </c>
      <c r="J306" s="598">
        <v>765385</v>
      </c>
      <c r="K306" s="584">
        <v>0</v>
      </c>
      <c r="L306" s="35">
        <v>0</v>
      </c>
      <c r="M306" s="18">
        <f t="shared" si="44"/>
        <v>765385</v>
      </c>
      <c r="N306" s="18">
        <f t="shared" si="45"/>
        <v>14741.524794520548</v>
      </c>
      <c r="O306" s="21">
        <f t="shared" si="46"/>
        <v>750643.47520547942</v>
      </c>
      <c r="P306" s="560">
        <f t="shared" si="47"/>
        <v>675579.1276849315</v>
      </c>
      <c r="Q306" s="585"/>
    </row>
    <row r="307" spans="2:17">
      <c r="B307" s="54">
        <v>310</v>
      </c>
      <c r="C307" s="310" t="s">
        <v>480</v>
      </c>
      <c r="D307" s="660">
        <v>44285</v>
      </c>
      <c r="E307" s="19">
        <v>44470</v>
      </c>
      <c r="F307" s="564">
        <f t="shared" si="41"/>
        <v>0.50684931506849318</v>
      </c>
      <c r="G307" s="11">
        <v>25</v>
      </c>
      <c r="H307" s="564">
        <f t="shared" si="42"/>
        <v>-24.493150684931507</v>
      </c>
      <c r="I307" s="20">
        <f t="shared" si="43"/>
        <v>3.7999999999999999E-2</v>
      </c>
      <c r="J307" s="595">
        <f>1948089+3965644</f>
        <v>5913733</v>
      </c>
      <c r="K307" s="584">
        <v>0</v>
      </c>
      <c r="L307" s="35">
        <v>0</v>
      </c>
      <c r="M307" s="18">
        <f t="shared" si="44"/>
        <v>5913733</v>
      </c>
      <c r="N307" s="18">
        <f t="shared" si="45"/>
        <v>113900.11778082192</v>
      </c>
      <c r="O307" s="21">
        <f t="shared" si="46"/>
        <v>5799832.8822191777</v>
      </c>
      <c r="P307" s="560">
        <f t="shared" si="47"/>
        <v>5219849.5939972596</v>
      </c>
      <c r="Q307" s="585"/>
    </row>
    <row r="308" spans="2:17">
      <c r="B308" s="54">
        <v>311</v>
      </c>
      <c r="C308" s="310" t="s">
        <v>480</v>
      </c>
      <c r="D308" s="660">
        <v>44285</v>
      </c>
      <c r="E308" s="19">
        <v>44470</v>
      </c>
      <c r="F308" s="564">
        <f t="shared" si="41"/>
        <v>0.50684931506849318</v>
      </c>
      <c r="G308" s="11">
        <v>25</v>
      </c>
      <c r="H308" s="564">
        <f t="shared" si="42"/>
        <v>-24.493150684931507</v>
      </c>
      <c r="I308" s="20">
        <f t="shared" si="43"/>
        <v>3.7999999999999999E-2</v>
      </c>
      <c r="J308" s="595">
        <v>1079023</v>
      </c>
      <c r="K308" s="584">
        <v>0</v>
      </c>
      <c r="L308" s="35">
        <v>0</v>
      </c>
      <c r="M308" s="18">
        <f t="shared" si="44"/>
        <v>1079023</v>
      </c>
      <c r="N308" s="18">
        <f t="shared" si="45"/>
        <v>20782.278602739727</v>
      </c>
      <c r="O308" s="21">
        <f t="shared" si="46"/>
        <v>1058240.7213972602</v>
      </c>
      <c r="P308" s="560">
        <f t="shared" si="47"/>
        <v>952416.64925753418</v>
      </c>
      <c r="Q308" s="585"/>
    </row>
    <row r="309" spans="2:17" s="23" customFormat="1">
      <c r="B309" s="685" t="s">
        <v>13</v>
      </c>
      <c r="C309" s="686"/>
      <c r="D309" s="686"/>
      <c r="E309" s="686"/>
      <c r="F309" s="686"/>
      <c r="G309" s="686"/>
      <c r="H309" s="686"/>
      <c r="I309" s="687"/>
      <c r="J309" s="602">
        <f>SUM(J5:J308)</f>
        <v>492893839.27627105</v>
      </c>
      <c r="K309" s="602">
        <f>SUM(K5:K308)</f>
        <v>188643338.42427394</v>
      </c>
      <c r="L309" s="559"/>
      <c r="M309" s="558">
        <f>SUM(M5:M308)</f>
        <v>504045978.89467108</v>
      </c>
      <c r="N309" s="558"/>
      <c r="O309" s="558"/>
      <c r="P309" s="558">
        <f>SUM(P5:P308)</f>
        <v>284910540.90151888</v>
      </c>
    </row>
    <row r="310" spans="2:17">
      <c r="G310" s="22"/>
      <c r="H310" s="63"/>
    </row>
  </sheetData>
  <autoFilter ref="B4:Q309"/>
  <mergeCells count="2">
    <mergeCell ref="B309:I309"/>
    <mergeCell ref="B3:P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495"/>
  <sheetViews>
    <sheetView topLeftCell="C1" zoomScaleNormal="100" workbookViewId="0">
      <pane ySplit="5" topLeftCell="A15" activePane="bottomLeft" state="frozen"/>
      <selection activeCell="B1" sqref="B1"/>
      <selection pane="bottomLeft" activeCell="O29" sqref="O29"/>
    </sheetView>
  </sheetViews>
  <sheetFormatPr defaultRowHeight="15"/>
  <cols>
    <col min="2" max="2" width="6.85546875" customWidth="1"/>
    <col min="3" max="3" width="31.42578125" customWidth="1"/>
    <col min="4" max="4" width="10.85546875" customWidth="1"/>
    <col min="5" max="5" width="14.140625" bestFit="1" customWidth="1"/>
    <col min="6" max="6" width="15" bestFit="1" customWidth="1"/>
    <col min="7" max="7" width="13.140625" bestFit="1" customWidth="1"/>
    <col min="8" max="8" width="14.7109375" bestFit="1" customWidth="1"/>
    <col min="9" max="9" width="16.140625" style="13" bestFit="1" customWidth="1"/>
    <col min="10" max="10" width="14.42578125" style="13" bestFit="1" customWidth="1"/>
    <col min="11" max="11" width="9.140625" style="37"/>
    <col min="12" max="12" width="18.42578125" customWidth="1"/>
    <col min="13" max="13" width="13.28515625" bestFit="1" customWidth="1"/>
    <col min="14" max="14" width="13" customWidth="1"/>
    <col min="15" max="15" width="12.42578125" customWidth="1"/>
  </cols>
  <sheetData>
    <row r="4" spans="2:15">
      <c r="B4" s="692" t="s">
        <v>656</v>
      </c>
      <c r="C4" s="692"/>
      <c r="D4" s="692"/>
      <c r="E4" s="693"/>
      <c r="F4" s="693"/>
      <c r="G4" s="693"/>
      <c r="H4" s="693"/>
      <c r="I4" s="693"/>
      <c r="J4" s="693"/>
      <c r="K4" s="694"/>
      <c r="L4" s="692"/>
      <c r="M4" s="692"/>
      <c r="N4" s="692"/>
      <c r="O4" s="692"/>
    </row>
    <row r="5" spans="2:15" ht="60" customHeight="1">
      <c r="B5" s="40" t="s">
        <v>1</v>
      </c>
      <c r="C5" s="40" t="s">
        <v>2</v>
      </c>
      <c r="D5" s="40" t="s">
        <v>12</v>
      </c>
      <c r="E5" s="40" t="s">
        <v>3</v>
      </c>
      <c r="F5" s="40" t="s">
        <v>27</v>
      </c>
      <c r="G5" s="40" t="s">
        <v>28</v>
      </c>
      <c r="H5" s="40" t="s">
        <v>4</v>
      </c>
      <c r="I5" s="40" t="s">
        <v>5</v>
      </c>
      <c r="J5" s="40" t="s">
        <v>11</v>
      </c>
      <c r="K5" s="42" t="s">
        <v>6</v>
      </c>
      <c r="L5" s="41" t="s">
        <v>7</v>
      </c>
      <c r="M5" s="41" t="s">
        <v>8</v>
      </c>
      <c r="N5" s="41" t="s">
        <v>9</v>
      </c>
      <c r="O5" s="41" t="s">
        <v>10</v>
      </c>
    </row>
    <row r="6" spans="2:15" ht="15.75">
      <c r="B6" s="54">
        <v>1</v>
      </c>
      <c r="C6" s="547" t="s">
        <v>155</v>
      </c>
      <c r="D6" s="552">
        <v>38479</v>
      </c>
      <c r="E6" s="19">
        <v>44470</v>
      </c>
      <c r="F6" s="564">
        <f>(E6-D6)/365</f>
        <v>16.413698630136988</v>
      </c>
      <c r="G6" s="11">
        <v>7</v>
      </c>
      <c r="H6" s="676">
        <f>(95/G6/100)</f>
        <v>0.1357142857142857</v>
      </c>
      <c r="I6" s="566">
        <v>11600</v>
      </c>
      <c r="J6" s="21"/>
      <c r="K6" s="58">
        <v>0</v>
      </c>
      <c r="L6" s="55">
        <f>I6*(1+K6)</f>
        <v>11600</v>
      </c>
      <c r="M6" s="55">
        <f>F6*H6*L6</f>
        <v>25839.851272015654</v>
      </c>
      <c r="N6" s="56">
        <f t="shared" ref="N6" si="0">IF(L6-M6&lt;=0,5%*L6,L6-M6)</f>
        <v>580</v>
      </c>
      <c r="O6" s="57">
        <v>0</v>
      </c>
    </row>
    <row r="7" spans="2:15" ht="15.75">
      <c r="B7" s="54">
        <v>2</v>
      </c>
      <c r="C7" s="547" t="s">
        <v>155</v>
      </c>
      <c r="D7" s="552">
        <v>38796</v>
      </c>
      <c r="E7" s="19">
        <v>44470</v>
      </c>
      <c r="F7" s="564">
        <f t="shared" ref="F7:F27" si="1">(E7-D7)/365</f>
        <v>15.545205479452054</v>
      </c>
      <c r="G7" s="11">
        <v>7</v>
      </c>
      <c r="H7" s="676">
        <f t="shared" ref="H7:H27" si="2">(95/G7/100)</f>
        <v>0.1357142857142857</v>
      </c>
      <c r="I7" s="566">
        <v>8600</v>
      </c>
      <c r="J7" s="21">
        <v>364.98999999999978</v>
      </c>
      <c r="K7" s="58">
        <v>0</v>
      </c>
      <c r="L7" s="55">
        <f t="shared" ref="L7:L27" si="3">I7*(1+K7)</f>
        <v>8600</v>
      </c>
      <c r="M7" s="55">
        <f t="shared" ref="M7:M27" si="4">F7*H7*L7</f>
        <v>18143.475538160466</v>
      </c>
      <c r="N7" s="56">
        <f t="shared" ref="N7:N27" si="5">IF(L7-M7&lt;=0,5%*L7,L7-M7)</f>
        <v>430</v>
      </c>
      <c r="O7" s="57">
        <f t="shared" ref="O7:O27" si="6">IF(N7=L7*5%,N7,N7*0.9)</f>
        <v>430</v>
      </c>
    </row>
    <row r="8" spans="2:15" ht="15.75">
      <c r="B8" s="54">
        <v>3</v>
      </c>
      <c r="C8" s="547" t="s">
        <v>155</v>
      </c>
      <c r="D8" s="552">
        <v>39081</v>
      </c>
      <c r="E8" s="19">
        <v>44470</v>
      </c>
      <c r="F8" s="564">
        <f t="shared" si="1"/>
        <v>14.764383561643836</v>
      </c>
      <c r="G8" s="11">
        <v>7</v>
      </c>
      <c r="H8" s="676">
        <f t="shared" si="2"/>
        <v>0.1357142857142857</v>
      </c>
      <c r="I8" s="566">
        <v>2600</v>
      </c>
      <c r="J8" s="21">
        <v>9.8499999999999091</v>
      </c>
      <c r="K8" s="58">
        <v>0</v>
      </c>
      <c r="L8" s="55">
        <f t="shared" si="3"/>
        <v>2600</v>
      </c>
      <c r="M8" s="55">
        <f t="shared" si="4"/>
        <v>5209.7181996086101</v>
      </c>
      <c r="N8" s="56">
        <f t="shared" si="5"/>
        <v>130</v>
      </c>
      <c r="O8" s="57">
        <f t="shared" si="6"/>
        <v>130</v>
      </c>
    </row>
    <row r="9" spans="2:15" ht="15.75">
      <c r="B9" s="54">
        <v>4</v>
      </c>
      <c r="C9" s="547" t="s">
        <v>155</v>
      </c>
      <c r="D9" s="552">
        <v>39148</v>
      </c>
      <c r="E9" s="19">
        <v>44470</v>
      </c>
      <c r="F9" s="564">
        <f t="shared" si="1"/>
        <v>14.580821917808219</v>
      </c>
      <c r="G9" s="11">
        <v>7</v>
      </c>
      <c r="H9" s="676">
        <f t="shared" si="2"/>
        <v>0.1357142857142857</v>
      </c>
      <c r="I9" s="566">
        <v>9300</v>
      </c>
      <c r="J9" s="21">
        <v>347</v>
      </c>
      <c r="K9" s="58">
        <v>0</v>
      </c>
      <c r="L9" s="55">
        <f t="shared" si="3"/>
        <v>9300</v>
      </c>
      <c r="M9" s="55">
        <f t="shared" si="4"/>
        <v>18403.080234833658</v>
      </c>
      <c r="N9" s="56">
        <f t="shared" si="5"/>
        <v>465</v>
      </c>
      <c r="O9" s="57">
        <f t="shared" si="6"/>
        <v>465</v>
      </c>
    </row>
    <row r="10" spans="2:15" ht="15.75">
      <c r="B10" s="54">
        <v>5</v>
      </c>
      <c r="C10" s="547" t="s">
        <v>155</v>
      </c>
      <c r="D10" s="552">
        <v>39156</v>
      </c>
      <c r="E10" s="19">
        <v>44470</v>
      </c>
      <c r="F10" s="564">
        <f t="shared" si="1"/>
        <v>14.558904109589042</v>
      </c>
      <c r="G10" s="605">
        <v>7</v>
      </c>
      <c r="H10" s="676">
        <f t="shared" si="2"/>
        <v>0.1357142857142857</v>
      </c>
      <c r="I10" s="566">
        <v>390</v>
      </c>
      <c r="J10" s="21">
        <v>17</v>
      </c>
      <c r="K10" s="58">
        <v>0</v>
      </c>
      <c r="L10" s="55">
        <f t="shared" si="3"/>
        <v>390</v>
      </c>
      <c r="M10" s="55">
        <f t="shared" si="4"/>
        <v>770.58199608610573</v>
      </c>
      <c r="N10" s="56">
        <f t="shared" si="5"/>
        <v>19.5</v>
      </c>
      <c r="O10" s="57">
        <f t="shared" si="6"/>
        <v>19.5</v>
      </c>
    </row>
    <row r="11" spans="2:15" ht="15.75">
      <c r="B11" s="54">
        <v>6</v>
      </c>
      <c r="C11" s="547" t="s">
        <v>155</v>
      </c>
      <c r="D11" s="552">
        <v>39330</v>
      </c>
      <c r="E11" s="19">
        <v>44470</v>
      </c>
      <c r="F11" s="564">
        <f t="shared" si="1"/>
        <v>14.082191780821917</v>
      </c>
      <c r="G11" s="605">
        <v>7</v>
      </c>
      <c r="H11" s="676">
        <f t="shared" si="2"/>
        <v>0.1357142857142857</v>
      </c>
      <c r="I11" s="566">
        <v>5600</v>
      </c>
      <c r="J11" s="21">
        <v>280</v>
      </c>
      <c r="K11" s="58">
        <v>0</v>
      </c>
      <c r="L11" s="55">
        <f t="shared" si="3"/>
        <v>5600</v>
      </c>
      <c r="M11" s="55">
        <f t="shared" si="4"/>
        <v>10702.465753424656</v>
      </c>
      <c r="N11" s="56">
        <f t="shared" si="5"/>
        <v>280</v>
      </c>
      <c r="O11" s="57">
        <f t="shared" si="6"/>
        <v>280</v>
      </c>
    </row>
    <row r="12" spans="2:15">
      <c r="B12" s="54">
        <v>7</v>
      </c>
      <c r="C12" s="551" t="s">
        <v>156</v>
      </c>
      <c r="D12" s="570">
        <v>43314</v>
      </c>
      <c r="E12" s="19">
        <v>44470</v>
      </c>
      <c r="F12" s="564">
        <f t="shared" si="1"/>
        <v>3.1671232876712327</v>
      </c>
      <c r="G12" s="11">
        <v>5</v>
      </c>
      <c r="H12" s="11">
        <f t="shared" si="2"/>
        <v>0.19</v>
      </c>
      <c r="I12" s="568">
        <v>28500</v>
      </c>
      <c r="J12" s="21">
        <v>21297.31</v>
      </c>
      <c r="K12" s="58">
        <v>0</v>
      </c>
      <c r="L12" s="55">
        <f t="shared" si="3"/>
        <v>28500</v>
      </c>
      <c r="M12" s="55">
        <f t="shared" si="4"/>
        <v>17149.972602739726</v>
      </c>
      <c r="N12" s="56">
        <f t="shared" si="5"/>
        <v>11350.027397260274</v>
      </c>
      <c r="O12" s="57">
        <f t="shared" si="6"/>
        <v>10215.024657534246</v>
      </c>
    </row>
    <row r="13" spans="2:15">
      <c r="B13" s="54">
        <v>8</v>
      </c>
      <c r="C13" s="551" t="s">
        <v>156</v>
      </c>
      <c r="D13" s="570">
        <v>43518</v>
      </c>
      <c r="E13" s="19">
        <v>44470</v>
      </c>
      <c r="F13" s="564">
        <f t="shared" si="1"/>
        <v>2.6082191780821917</v>
      </c>
      <c r="G13" s="11">
        <v>5</v>
      </c>
      <c r="H13" s="11">
        <f t="shared" si="2"/>
        <v>0.19</v>
      </c>
      <c r="I13" s="568">
        <v>24152.53</v>
      </c>
      <c r="J13" s="21">
        <v>19330.959649999997</v>
      </c>
      <c r="K13" s="58">
        <v>0</v>
      </c>
      <c r="L13" s="55">
        <f t="shared" si="3"/>
        <v>24152.53</v>
      </c>
      <c r="M13" s="55">
        <f t="shared" si="4"/>
        <v>11969.067469589041</v>
      </c>
      <c r="N13" s="56">
        <f t="shared" si="5"/>
        <v>12183.462530410958</v>
      </c>
      <c r="O13" s="57">
        <f t="shared" si="6"/>
        <v>10965.116277369862</v>
      </c>
    </row>
    <row r="14" spans="2:15">
      <c r="B14" s="54">
        <v>9</v>
      </c>
      <c r="C14" s="551" t="s">
        <v>157</v>
      </c>
      <c r="D14" s="570">
        <v>43314</v>
      </c>
      <c r="E14" s="19">
        <v>44470</v>
      </c>
      <c r="F14" s="564">
        <f t="shared" si="1"/>
        <v>3.1671232876712327</v>
      </c>
      <c r="G14" s="11">
        <v>5</v>
      </c>
      <c r="H14" s="11">
        <f t="shared" si="2"/>
        <v>0.19</v>
      </c>
      <c r="I14" s="568">
        <v>7500</v>
      </c>
      <c r="J14" s="21">
        <v>5605</v>
      </c>
      <c r="K14" s="58">
        <v>0</v>
      </c>
      <c r="L14" s="55">
        <f t="shared" si="3"/>
        <v>7500</v>
      </c>
      <c r="M14" s="55">
        <f t="shared" si="4"/>
        <v>4513.1506849315065</v>
      </c>
      <c r="N14" s="56">
        <f t="shared" si="5"/>
        <v>2986.8493150684935</v>
      </c>
      <c r="O14" s="57">
        <f t="shared" si="6"/>
        <v>2688.1643835616442</v>
      </c>
    </row>
    <row r="15" spans="2:15">
      <c r="B15" s="54">
        <v>10</v>
      </c>
      <c r="C15" s="551" t="s">
        <v>157</v>
      </c>
      <c r="D15" s="570">
        <v>43516</v>
      </c>
      <c r="E15" s="19">
        <v>44470</v>
      </c>
      <c r="F15" s="564">
        <f t="shared" si="1"/>
        <v>2.6136986301369864</v>
      </c>
      <c r="G15" s="11">
        <v>5</v>
      </c>
      <c r="H15" s="11">
        <f t="shared" si="2"/>
        <v>0.19</v>
      </c>
      <c r="I15" s="568">
        <v>90000</v>
      </c>
      <c r="J15" s="21">
        <v>71986.44</v>
      </c>
      <c r="K15" s="58">
        <v>0</v>
      </c>
      <c r="L15" s="55">
        <f t="shared" si="3"/>
        <v>90000</v>
      </c>
      <c r="M15" s="55">
        <f t="shared" si="4"/>
        <v>44694.246575342469</v>
      </c>
      <c r="N15" s="56">
        <f t="shared" si="5"/>
        <v>45305.753424657531</v>
      </c>
      <c r="O15" s="57">
        <f t="shared" si="6"/>
        <v>40775.178082191778</v>
      </c>
    </row>
    <row r="16" spans="2:15">
      <c r="B16" s="54">
        <v>11</v>
      </c>
      <c r="C16" s="562" t="s">
        <v>158</v>
      </c>
      <c r="D16" s="563">
        <v>43668</v>
      </c>
      <c r="E16" s="19">
        <v>44470</v>
      </c>
      <c r="F16" s="564">
        <f t="shared" si="1"/>
        <v>2.1972602739726028</v>
      </c>
      <c r="G16" s="605">
        <v>7</v>
      </c>
      <c r="H16" s="676">
        <f t="shared" si="2"/>
        <v>0.1357142857142857</v>
      </c>
      <c r="I16" s="569">
        <v>30000</v>
      </c>
      <c r="J16" s="21">
        <v>25172.13</v>
      </c>
      <c r="K16" s="58">
        <v>0</v>
      </c>
      <c r="L16" s="55">
        <f t="shared" si="3"/>
        <v>30000</v>
      </c>
      <c r="M16" s="55">
        <f t="shared" si="4"/>
        <v>8945.9882583170256</v>
      </c>
      <c r="N16" s="56">
        <f t="shared" si="5"/>
        <v>21054.011741682974</v>
      </c>
      <c r="O16" s="57">
        <f t="shared" si="6"/>
        <v>18948.610567514679</v>
      </c>
    </row>
    <row r="17" spans="2:15">
      <c r="B17" s="54">
        <v>12</v>
      </c>
      <c r="C17" s="562" t="s">
        <v>159</v>
      </c>
      <c r="D17" s="563">
        <v>43799</v>
      </c>
      <c r="E17" s="19">
        <v>44470</v>
      </c>
      <c r="F17" s="564">
        <f t="shared" si="1"/>
        <v>1.8383561643835618</v>
      </c>
      <c r="G17" s="605">
        <v>7</v>
      </c>
      <c r="H17" s="676">
        <f t="shared" si="2"/>
        <v>0.1357142857142857</v>
      </c>
      <c r="I17" s="569">
        <v>18000</v>
      </c>
      <c r="J17" s="21">
        <v>15715.330000000002</v>
      </c>
      <c r="K17" s="58">
        <v>0</v>
      </c>
      <c r="L17" s="55">
        <f t="shared" si="3"/>
        <v>18000</v>
      </c>
      <c r="M17" s="55">
        <f t="shared" si="4"/>
        <v>4490.841487279843</v>
      </c>
      <c r="N17" s="56">
        <f t="shared" si="5"/>
        <v>13509.158512720158</v>
      </c>
      <c r="O17" s="57">
        <f t="shared" si="6"/>
        <v>12158.242661448143</v>
      </c>
    </row>
    <row r="18" spans="2:15">
      <c r="B18" s="54">
        <v>13</v>
      </c>
      <c r="C18" s="562" t="s">
        <v>160</v>
      </c>
      <c r="D18" s="563">
        <v>43819</v>
      </c>
      <c r="E18" s="19">
        <v>44470</v>
      </c>
      <c r="F18" s="564">
        <f t="shared" si="1"/>
        <v>1.7835616438356163</v>
      </c>
      <c r="G18" s="605">
        <v>7</v>
      </c>
      <c r="H18" s="676">
        <f t="shared" si="2"/>
        <v>0.1357142857142857</v>
      </c>
      <c r="I18" s="569">
        <v>5500</v>
      </c>
      <c r="J18" s="21">
        <v>4830.46</v>
      </c>
      <c r="K18" s="58">
        <v>0</v>
      </c>
      <c r="L18" s="55">
        <f t="shared" si="3"/>
        <v>5500</v>
      </c>
      <c r="M18" s="55">
        <f t="shared" si="4"/>
        <v>1331.3013698630134</v>
      </c>
      <c r="N18" s="56">
        <f t="shared" si="5"/>
        <v>4168.698630136987</v>
      </c>
      <c r="O18" s="57">
        <f t="shared" si="6"/>
        <v>3751.8287671232883</v>
      </c>
    </row>
    <row r="19" spans="2:15">
      <c r="B19" s="54">
        <v>14</v>
      </c>
      <c r="C19" s="562" t="s">
        <v>161</v>
      </c>
      <c r="D19" s="563">
        <v>43819</v>
      </c>
      <c r="E19" s="19">
        <v>44470</v>
      </c>
      <c r="F19" s="564">
        <f t="shared" si="1"/>
        <v>1.7835616438356163</v>
      </c>
      <c r="G19" s="605">
        <v>7</v>
      </c>
      <c r="H19" s="676">
        <f t="shared" si="2"/>
        <v>0.1357142857142857</v>
      </c>
      <c r="I19" s="569">
        <v>5500</v>
      </c>
      <c r="J19" s="21">
        <v>4830.46</v>
      </c>
      <c r="K19" s="58">
        <v>0</v>
      </c>
      <c r="L19" s="55">
        <f t="shared" si="3"/>
        <v>5500</v>
      </c>
      <c r="M19" s="55">
        <f t="shared" si="4"/>
        <v>1331.3013698630134</v>
      </c>
      <c r="N19" s="56">
        <f t="shared" si="5"/>
        <v>4168.698630136987</v>
      </c>
      <c r="O19" s="57">
        <f t="shared" si="6"/>
        <v>3751.8287671232883</v>
      </c>
    </row>
    <row r="20" spans="2:15">
      <c r="B20" s="54">
        <v>15</v>
      </c>
      <c r="C20" s="562" t="s">
        <v>162</v>
      </c>
      <c r="D20" s="563">
        <v>43819</v>
      </c>
      <c r="E20" s="19">
        <v>44470</v>
      </c>
      <c r="F20" s="564">
        <f t="shared" si="1"/>
        <v>1.7835616438356163</v>
      </c>
      <c r="G20" s="605">
        <v>7</v>
      </c>
      <c r="H20" s="676">
        <f t="shared" si="2"/>
        <v>0.1357142857142857</v>
      </c>
      <c r="I20" s="569">
        <v>5500</v>
      </c>
      <c r="J20" s="21">
        <v>4830.46</v>
      </c>
      <c r="K20" s="58">
        <v>0</v>
      </c>
      <c r="L20" s="55">
        <f t="shared" si="3"/>
        <v>5500</v>
      </c>
      <c r="M20" s="55">
        <f t="shared" si="4"/>
        <v>1331.3013698630134</v>
      </c>
      <c r="N20" s="56">
        <f t="shared" si="5"/>
        <v>4168.698630136987</v>
      </c>
      <c r="O20" s="57">
        <f t="shared" si="6"/>
        <v>3751.8287671232883</v>
      </c>
    </row>
    <row r="21" spans="2:15">
      <c r="B21" s="54">
        <v>16</v>
      </c>
      <c r="C21" s="562" t="s">
        <v>163</v>
      </c>
      <c r="D21" s="563">
        <v>43819</v>
      </c>
      <c r="E21" s="19">
        <v>44470</v>
      </c>
      <c r="F21" s="564">
        <f t="shared" si="1"/>
        <v>1.7835616438356163</v>
      </c>
      <c r="G21" s="605">
        <v>7</v>
      </c>
      <c r="H21" s="676">
        <f t="shared" si="2"/>
        <v>0.1357142857142857</v>
      </c>
      <c r="I21" s="569">
        <v>5500</v>
      </c>
      <c r="J21" s="21">
        <v>4830.46</v>
      </c>
      <c r="K21" s="58">
        <v>0</v>
      </c>
      <c r="L21" s="55">
        <f t="shared" si="3"/>
        <v>5500</v>
      </c>
      <c r="M21" s="55">
        <f t="shared" si="4"/>
        <v>1331.3013698630134</v>
      </c>
      <c r="N21" s="56">
        <f t="shared" si="5"/>
        <v>4168.698630136987</v>
      </c>
      <c r="O21" s="57">
        <f t="shared" si="6"/>
        <v>3751.8287671232883</v>
      </c>
    </row>
    <row r="22" spans="2:15">
      <c r="B22" s="54">
        <v>17</v>
      </c>
      <c r="C22" s="562" t="s">
        <v>164</v>
      </c>
      <c r="D22" s="563">
        <v>43855</v>
      </c>
      <c r="E22" s="19">
        <v>44470</v>
      </c>
      <c r="F22" s="564">
        <f t="shared" si="1"/>
        <v>1.6849315068493151</v>
      </c>
      <c r="G22" s="605">
        <v>7</v>
      </c>
      <c r="H22" s="676">
        <f t="shared" si="2"/>
        <v>0.1357142857142857</v>
      </c>
      <c r="I22" s="569">
        <v>3950</v>
      </c>
      <c r="J22" s="21">
        <v>3506.06</v>
      </c>
      <c r="K22" s="58">
        <v>0</v>
      </c>
      <c r="L22" s="55">
        <f t="shared" si="3"/>
        <v>3950</v>
      </c>
      <c r="M22" s="55">
        <f t="shared" si="4"/>
        <v>903.24363992172209</v>
      </c>
      <c r="N22" s="56">
        <f t="shared" si="5"/>
        <v>3046.7563600782778</v>
      </c>
      <c r="O22" s="57">
        <f t="shared" si="6"/>
        <v>2742.0807240704503</v>
      </c>
    </row>
    <row r="23" spans="2:15">
      <c r="B23" s="54">
        <v>18</v>
      </c>
      <c r="C23" s="562" t="s">
        <v>165</v>
      </c>
      <c r="D23" s="563">
        <v>43855</v>
      </c>
      <c r="E23" s="19">
        <v>44470</v>
      </c>
      <c r="F23" s="564">
        <f t="shared" si="1"/>
        <v>1.6849315068493151</v>
      </c>
      <c r="G23" s="605">
        <v>7</v>
      </c>
      <c r="H23" s="676">
        <f t="shared" si="2"/>
        <v>0.1357142857142857</v>
      </c>
      <c r="I23" s="569">
        <v>3950</v>
      </c>
      <c r="J23" s="21">
        <v>3506.06</v>
      </c>
      <c r="K23" s="58">
        <v>0</v>
      </c>
      <c r="L23" s="55">
        <f t="shared" si="3"/>
        <v>3950</v>
      </c>
      <c r="M23" s="55">
        <f t="shared" si="4"/>
        <v>903.24363992172209</v>
      </c>
      <c r="N23" s="56">
        <f t="shared" si="5"/>
        <v>3046.7563600782778</v>
      </c>
      <c r="O23" s="57">
        <f t="shared" si="6"/>
        <v>2742.0807240704503</v>
      </c>
    </row>
    <row r="24" spans="2:15">
      <c r="B24" s="54">
        <v>19</v>
      </c>
      <c r="C24" s="562" t="s">
        <v>166</v>
      </c>
      <c r="D24" s="563">
        <v>43890</v>
      </c>
      <c r="E24" s="19">
        <v>44470</v>
      </c>
      <c r="F24" s="564">
        <f t="shared" si="1"/>
        <v>1.5890410958904109</v>
      </c>
      <c r="G24" s="605">
        <v>7</v>
      </c>
      <c r="H24" s="676">
        <f t="shared" si="2"/>
        <v>0.1357142857142857</v>
      </c>
      <c r="I24" s="569">
        <v>12000</v>
      </c>
      <c r="J24" s="21">
        <v>10760.33</v>
      </c>
      <c r="K24" s="58">
        <v>0</v>
      </c>
      <c r="L24" s="55">
        <f t="shared" si="3"/>
        <v>12000</v>
      </c>
      <c r="M24" s="55">
        <f t="shared" si="4"/>
        <v>2587.8669275929547</v>
      </c>
      <c r="N24" s="56">
        <f t="shared" si="5"/>
        <v>9412.1330724070449</v>
      </c>
      <c r="O24" s="57">
        <f t="shared" si="6"/>
        <v>8470.9197651663399</v>
      </c>
    </row>
    <row r="25" spans="2:15">
      <c r="B25" s="54">
        <v>20</v>
      </c>
      <c r="C25" s="562" t="s">
        <v>167</v>
      </c>
      <c r="D25" s="563">
        <v>43890</v>
      </c>
      <c r="E25" s="19">
        <v>44470</v>
      </c>
      <c r="F25" s="564">
        <f t="shared" si="1"/>
        <v>1.5890410958904109</v>
      </c>
      <c r="G25" s="605">
        <v>7</v>
      </c>
      <c r="H25" s="676">
        <f t="shared" si="2"/>
        <v>0.1357142857142857</v>
      </c>
      <c r="I25" s="569">
        <v>14000</v>
      </c>
      <c r="J25" s="21">
        <v>12553.72</v>
      </c>
      <c r="K25" s="58">
        <v>0</v>
      </c>
      <c r="L25" s="55">
        <f t="shared" si="3"/>
        <v>14000</v>
      </c>
      <c r="M25" s="55">
        <f t="shared" si="4"/>
        <v>3019.1780821917805</v>
      </c>
      <c r="N25" s="56">
        <f t="shared" si="5"/>
        <v>10980.82191780822</v>
      </c>
      <c r="O25" s="57">
        <f t="shared" si="6"/>
        <v>9882.7397260273974</v>
      </c>
    </row>
    <row r="26" spans="2:15">
      <c r="B26" s="54">
        <v>21</v>
      </c>
      <c r="C26" s="562" t="s">
        <v>168</v>
      </c>
      <c r="D26" s="563">
        <v>43890</v>
      </c>
      <c r="E26" s="19">
        <v>44470</v>
      </c>
      <c r="F26" s="564">
        <f t="shared" si="1"/>
        <v>1.5890410958904109</v>
      </c>
      <c r="G26" s="11">
        <v>5</v>
      </c>
      <c r="H26" s="11">
        <f t="shared" si="2"/>
        <v>0.19</v>
      </c>
      <c r="I26" s="569">
        <v>3814</v>
      </c>
      <c r="J26" s="21">
        <v>3419.9900000000002</v>
      </c>
      <c r="K26" s="58">
        <v>0</v>
      </c>
      <c r="L26" s="55">
        <f t="shared" si="3"/>
        <v>3814</v>
      </c>
      <c r="M26" s="55">
        <f t="shared" si="4"/>
        <v>1151.5145205479453</v>
      </c>
      <c r="N26" s="56">
        <f t="shared" si="5"/>
        <v>2662.4854794520547</v>
      </c>
      <c r="O26" s="57">
        <f t="shared" si="6"/>
        <v>2396.2369315068495</v>
      </c>
    </row>
    <row r="27" spans="2:15">
      <c r="B27" s="54">
        <v>22</v>
      </c>
      <c r="C27" s="562" t="s">
        <v>169</v>
      </c>
      <c r="D27" s="563">
        <v>43890</v>
      </c>
      <c r="E27" s="19">
        <v>44470</v>
      </c>
      <c r="F27" s="564">
        <f t="shared" si="1"/>
        <v>1.5890410958904109</v>
      </c>
      <c r="G27" s="11">
        <v>5</v>
      </c>
      <c r="H27" s="11">
        <f t="shared" si="2"/>
        <v>0.19</v>
      </c>
      <c r="I27" s="569">
        <v>5796</v>
      </c>
      <c r="J27" s="21">
        <v>5197.24</v>
      </c>
      <c r="K27" s="58">
        <v>0</v>
      </c>
      <c r="L27" s="55">
        <f t="shared" si="3"/>
        <v>5796</v>
      </c>
      <c r="M27" s="55">
        <f t="shared" si="4"/>
        <v>1749.9156164383562</v>
      </c>
      <c r="N27" s="56">
        <f t="shared" si="5"/>
        <v>4046.0843835616438</v>
      </c>
      <c r="O27" s="57">
        <f t="shared" si="6"/>
        <v>3641.4759452054795</v>
      </c>
    </row>
    <row r="28" spans="2:15">
      <c r="B28" s="691" t="s">
        <v>13</v>
      </c>
      <c r="C28" s="691"/>
      <c r="D28" s="691"/>
      <c r="E28" s="691"/>
      <c r="F28" s="691"/>
      <c r="G28" s="691"/>
      <c r="H28" s="691"/>
      <c r="I28" s="24">
        <f>SUM(I6:I27)</f>
        <v>301752.53000000003</v>
      </c>
      <c r="J28" s="24">
        <f>SUM(J7:J27)</f>
        <v>218391.24964999995</v>
      </c>
      <c r="K28" s="2"/>
      <c r="L28" s="24">
        <f>SUM(L6:L27)</f>
        <v>301752.53000000003</v>
      </c>
      <c r="M28" s="24">
        <f>SUM(M6:M27)</f>
        <v>186472.60797839524</v>
      </c>
      <c r="N28" s="24">
        <f>SUM(N6:N27)</f>
        <v>158163.59501573388</v>
      </c>
      <c r="O28" s="24">
        <f>SUM(O6:O27)</f>
        <v>141957.68551416043</v>
      </c>
    </row>
    <row r="29" spans="2:15">
      <c r="C29" s="8"/>
      <c r="D29" s="8"/>
      <c r="I29" s="15"/>
      <c r="J29" s="15"/>
    </row>
    <row r="30" spans="2:15">
      <c r="C30" s="3"/>
      <c r="D30" s="3"/>
      <c r="I30" s="16"/>
      <c r="J30" s="16"/>
    </row>
    <row r="31" spans="2:15">
      <c r="C31" s="3"/>
      <c r="D31" s="3"/>
      <c r="I31" s="16"/>
      <c r="J31" s="16"/>
    </row>
    <row r="32" spans="2:15">
      <c r="C32" s="3"/>
      <c r="D32" s="3"/>
      <c r="I32" s="16"/>
      <c r="J32" s="16"/>
    </row>
    <row r="33" spans="3:10">
      <c r="C33" s="3"/>
      <c r="D33" s="3"/>
      <c r="I33" s="16"/>
      <c r="J33" s="16"/>
    </row>
    <row r="34" spans="3:10">
      <c r="C34" s="3"/>
      <c r="D34" s="3"/>
      <c r="I34" s="16"/>
      <c r="J34" s="16"/>
    </row>
    <row r="35" spans="3:10">
      <c r="C35" s="3"/>
      <c r="D35" s="3"/>
      <c r="I35" s="16"/>
      <c r="J35" s="16"/>
    </row>
    <row r="36" spans="3:10">
      <c r="C36" s="3"/>
      <c r="D36" s="3"/>
      <c r="I36" s="16"/>
      <c r="J36" s="16"/>
    </row>
    <row r="37" spans="3:10">
      <c r="C37" s="3"/>
      <c r="D37" s="3"/>
      <c r="I37" s="16"/>
      <c r="J37" s="16"/>
    </row>
    <row r="38" spans="3:10">
      <c r="C38" s="3"/>
      <c r="D38" s="3"/>
      <c r="I38" s="16"/>
      <c r="J38" s="16"/>
    </row>
    <row r="39" spans="3:10">
      <c r="C39" s="3"/>
      <c r="D39" s="3"/>
      <c r="I39" s="16"/>
      <c r="J39" s="16"/>
    </row>
    <row r="40" spans="3:10">
      <c r="C40" s="3"/>
      <c r="D40" s="3"/>
      <c r="I40" s="16"/>
      <c r="J40" s="16"/>
    </row>
    <row r="41" spans="3:10">
      <c r="C41" s="3"/>
      <c r="D41" s="3"/>
      <c r="I41" s="16"/>
      <c r="J41" s="16"/>
    </row>
    <row r="42" spans="3:10">
      <c r="C42" s="3"/>
      <c r="D42" s="3"/>
      <c r="I42" s="16"/>
      <c r="J42" s="16"/>
    </row>
    <row r="43" spans="3:10">
      <c r="C43" s="3"/>
      <c r="D43" s="3"/>
      <c r="I43" s="16"/>
      <c r="J43" s="16"/>
    </row>
    <row r="44" spans="3:10">
      <c r="C44" s="3"/>
      <c r="D44" s="3"/>
      <c r="I44" s="16"/>
      <c r="J44" s="16"/>
    </row>
    <row r="45" spans="3:10">
      <c r="C45" s="3"/>
      <c r="D45" s="3"/>
      <c r="I45" s="16"/>
      <c r="J45" s="16"/>
    </row>
    <row r="46" spans="3:10">
      <c r="C46" s="3"/>
      <c r="D46" s="3"/>
      <c r="I46" s="16"/>
      <c r="J46" s="16"/>
    </row>
    <row r="47" spans="3:10">
      <c r="C47" s="3"/>
      <c r="D47" s="3"/>
      <c r="I47" s="16"/>
      <c r="J47" s="16"/>
    </row>
    <row r="48" spans="3:10">
      <c r="C48" s="3"/>
      <c r="D48" s="3"/>
      <c r="I48" s="16"/>
      <c r="J48" s="16"/>
    </row>
    <row r="49" spans="3:10">
      <c r="C49" s="3"/>
      <c r="D49" s="3"/>
      <c r="I49" s="16"/>
      <c r="J49" s="16"/>
    </row>
    <row r="50" spans="3:10">
      <c r="C50" s="3"/>
      <c r="D50" s="3"/>
      <c r="I50" s="16"/>
      <c r="J50" s="16"/>
    </row>
    <row r="51" spans="3:10">
      <c r="C51" s="3"/>
      <c r="D51" s="3"/>
      <c r="I51" s="16"/>
      <c r="J51" s="16"/>
    </row>
    <row r="52" spans="3:10">
      <c r="C52" s="3"/>
      <c r="D52" s="3"/>
      <c r="I52" s="16"/>
      <c r="J52" s="16"/>
    </row>
    <row r="53" spans="3:10">
      <c r="C53" s="3"/>
      <c r="D53" s="3"/>
      <c r="I53" s="16"/>
      <c r="J53" s="16"/>
    </row>
    <row r="54" spans="3:10">
      <c r="C54" s="3"/>
      <c r="D54" s="3"/>
      <c r="I54" s="16"/>
      <c r="J54" s="16"/>
    </row>
    <row r="55" spans="3:10">
      <c r="C55" s="3"/>
      <c r="D55" s="3"/>
      <c r="I55" s="16"/>
      <c r="J55" s="16"/>
    </row>
    <row r="56" spans="3:10">
      <c r="C56" s="3"/>
      <c r="D56" s="3"/>
      <c r="I56" s="16"/>
      <c r="J56" s="16"/>
    </row>
    <row r="57" spans="3:10">
      <c r="C57" s="3"/>
      <c r="D57" s="3"/>
      <c r="I57" s="16"/>
      <c r="J57" s="16"/>
    </row>
    <row r="58" spans="3:10">
      <c r="C58" s="3"/>
      <c r="D58" s="3"/>
      <c r="I58" s="16"/>
      <c r="J58" s="16"/>
    </row>
    <row r="59" spans="3:10">
      <c r="C59" s="3"/>
      <c r="D59" s="3"/>
      <c r="I59" s="16"/>
      <c r="J59" s="16"/>
    </row>
    <row r="60" spans="3:10">
      <c r="C60" s="3"/>
      <c r="D60" s="3"/>
      <c r="I60" s="16"/>
      <c r="J60" s="16"/>
    </row>
    <row r="61" spans="3:10">
      <c r="C61" s="3"/>
      <c r="D61" s="3"/>
      <c r="I61" s="16"/>
      <c r="J61" s="16"/>
    </row>
    <row r="62" spans="3:10">
      <c r="C62" s="3"/>
      <c r="D62" s="3"/>
      <c r="I62" s="16"/>
      <c r="J62" s="16"/>
    </row>
    <row r="63" spans="3:10">
      <c r="C63" s="3"/>
      <c r="D63" s="3"/>
      <c r="I63" s="16"/>
      <c r="J63" s="16"/>
    </row>
    <row r="64" spans="3:10">
      <c r="C64" s="3"/>
      <c r="D64" s="3"/>
      <c r="I64" s="16"/>
      <c r="J64" s="16"/>
    </row>
    <row r="65" spans="3:10">
      <c r="C65" s="3"/>
      <c r="D65" s="3"/>
      <c r="I65" s="16"/>
      <c r="J65" s="16"/>
    </row>
    <row r="66" spans="3:10">
      <c r="C66" s="3"/>
      <c r="D66" s="3"/>
      <c r="I66" s="16"/>
      <c r="J66" s="16"/>
    </row>
    <row r="67" spans="3:10">
      <c r="C67" s="3"/>
      <c r="D67" s="3"/>
      <c r="I67" s="16"/>
      <c r="J67" s="16"/>
    </row>
    <row r="68" spans="3:10">
      <c r="C68" s="3"/>
      <c r="D68" s="3"/>
      <c r="I68" s="16"/>
      <c r="J68" s="16"/>
    </row>
    <row r="69" spans="3:10">
      <c r="C69" s="3"/>
      <c r="D69" s="3"/>
      <c r="I69" s="16"/>
      <c r="J69" s="16"/>
    </row>
    <row r="70" spans="3:10">
      <c r="C70" s="3"/>
      <c r="D70" s="3"/>
      <c r="I70" s="16"/>
      <c r="J70" s="16"/>
    </row>
    <row r="71" spans="3:10">
      <c r="C71" s="3"/>
      <c r="D71" s="3"/>
      <c r="I71" s="16"/>
      <c r="J71" s="16"/>
    </row>
    <row r="72" spans="3:10">
      <c r="C72" s="3"/>
      <c r="D72" s="3"/>
      <c r="I72" s="16"/>
      <c r="J72" s="16"/>
    </row>
    <row r="73" spans="3:10">
      <c r="C73" s="3"/>
      <c r="D73" s="3"/>
      <c r="I73" s="16"/>
      <c r="J73" s="16"/>
    </row>
    <row r="74" spans="3:10">
      <c r="C74" s="3"/>
      <c r="D74" s="3"/>
      <c r="I74" s="16"/>
      <c r="J74" s="16"/>
    </row>
    <row r="75" spans="3:10">
      <c r="C75" s="3"/>
      <c r="D75" s="3"/>
      <c r="I75" s="16"/>
      <c r="J75" s="16"/>
    </row>
    <row r="76" spans="3:10">
      <c r="C76" s="3"/>
      <c r="D76" s="3"/>
      <c r="I76" s="16"/>
      <c r="J76" s="16"/>
    </row>
    <row r="77" spans="3:10">
      <c r="C77" s="3"/>
      <c r="D77" s="3"/>
      <c r="I77" s="16"/>
      <c r="J77" s="16"/>
    </row>
    <row r="78" spans="3:10">
      <c r="C78" s="3"/>
      <c r="D78" s="3"/>
      <c r="I78" s="16"/>
      <c r="J78" s="16"/>
    </row>
    <row r="79" spans="3:10">
      <c r="C79" s="3"/>
      <c r="D79" s="3"/>
      <c r="I79" s="16"/>
      <c r="J79" s="16"/>
    </row>
    <row r="80" spans="3:10">
      <c r="C80" s="3"/>
      <c r="D80" s="3"/>
      <c r="I80" s="16"/>
      <c r="J80" s="16"/>
    </row>
    <row r="81" spans="3:10">
      <c r="C81" s="3"/>
      <c r="D81" s="3"/>
      <c r="I81" s="16"/>
      <c r="J81" s="16"/>
    </row>
    <row r="82" spans="3:10">
      <c r="C82" s="3"/>
      <c r="D82" s="3"/>
      <c r="I82" s="16"/>
      <c r="J82" s="16"/>
    </row>
    <row r="83" spans="3:10">
      <c r="C83" s="3"/>
      <c r="D83" s="3"/>
      <c r="I83" s="16"/>
      <c r="J83" s="16"/>
    </row>
    <row r="84" spans="3:10">
      <c r="C84" s="3"/>
      <c r="D84" s="3"/>
      <c r="I84" s="16"/>
      <c r="J84" s="16"/>
    </row>
    <row r="85" spans="3:10">
      <c r="C85" s="3"/>
      <c r="D85" s="3"/>
      <c r="I85" s="16"/>
      <c r="J85" s="16"/>
    </row>
    <row r="86" spans="3:10">
      <c r="C86" s="3"/>
      <c r="D86" s="3"/>
      <c r="I86" s="16"/>
      <c r="J86" s="16"/>
    </row>
    <row r="87" spans="3:10">
      <c r="C87" s="3"/>
      <c r="D87" s="3"/>
      <c r="I87" s="16"/>
      <c r="J87" s="16"/>
    </row>
    <row r="88" spans="3:10">
      <c r="C88" s="3"/>
      <c r="D88" s="3"/>
      <c r="I88" s="16"/>
      <c r="J88" s="16"/>
    </row>
    <row r="89" spans="3:10">
      <c r="C89" s="3"/>
      <c r="D89" s="3"/>
      <c r="I89" s="16"/>
      <c r="J89" s="16"/>
    </row>
    <row r="90" spans="3:10">
      <c r="C90" s="3"/>
      <c r="D90" s="3"/>
      <c r="I90" s="16"/>
      <c r="J90" s="16"/>
    </row>
    <row r="91" spans="3:10">
      <c r="C91" s="3"/>
      <c r="D91" s="3"/>
      <c r="I91" s="16"/>
      <c r="J91" s="16"/>
    </row>
    <row r="92" spans="3:10">
      <c r="C92" s="3"/>
      <c r="D92" s="3"/>
      <c r="I92" s="16"/>
      <c r="J92" s="16"/>
    </row>
    <row r="93" spans="3:10">
      <c r="C93" s="3"/>
      <c r="D93" s="3"/>
      <c r="I93" s="16"/>
      <c r="J93" s="16"/>
    </row>
    <row r="94" spans="3:10">
      <c r="C94" s="3"/>
      <c r="D94" s="3"/>
      <c r="I94" s="16"/>
      <c r="J94" s="16"/>
    </row>
    <row r="95" spans="3:10">
      <c r="C95" s="3"/>
      <c r="D95" s="3"/>
      <c r="I95" s="16"/>
      <c r="J95" s="16"/>
    </row>
    <row r="96" spans="3:10">
      <c r="C96" s="3"/>
      <c r="D96" s="3"/>
      <c r="I96" s="16"/>
      <c r="J96" s="16"/>
    </row>
    <row r="97" spans="3:10">
      <c r="C97" s="3"/>
      <c r="D97" s="3"/>
      <c r="I97" s="16"/>
      <c r="J97" s="16"/>
    </row>
    <row r="98" spans="3:10">
      <c r="C98" s="3"/>
      <c r="D98" s="3"/>
      <c r="I98" s="16"/>
      <c r="J98" s="16"/>
    </row>
    <row r="99" spans="3:10">
      <c r="C99" s="3"/>
      <c r="D99" s="3"/>
      <c r="I99" s="16"/>
      <c r="J99" s="16"/>
    </row>
    <row r="100" spans="3:10">
      <c r="C100" s="3"/>
      <c r="D100" s="3"/>
      <c r="I100" s="16"/>
      <c r="J100" s="16"/>
    </row>
    <row r="101" spans="3:10">
      <c r="C101" s="3"/>
      <c r="D101" s="3"/>
      <c r="I101" s="16"/>
      <c r="J101" s="16"/>
    </row>
    <row r="102" spans="3:10">
      <c r="C102" s="3"/>
      <c r="D102" s="3"/>
      <c r="I102" s="16"/>
      <c r="J102" s="16"/>
    </row>
    <row r="103" spans="3:10">
      <c r="C103" s="3"/>
      <c r="D103" s="3"/>
      <c r="I103" s="16"/>
      <c r="J103" s="16"/>
    </row>
    <row r="104" spans="3:10">
      <c r="C104" s="3"/>
      <c r="D104" s="3"/>
      <c r="I104" s="16"/>
      <c r="J104" s="16"/>
    </row>
    <row r="105" spans="3:10">
      <c r="C105" s="3"/>
      <c r="D105" s="3"/>
      <c r="I105" s="16"/>
      <c r="J105" s="16"/>
    </row>
    <row r="106" spans="3:10">
      <c r="C106" s="3"/>
      <c r="D106" s="3"/>
      <c r="I106" s="16"/>
      <c r="J106" s="16"/>
    </row>
    <row r="107" spans="3:10">
      <c r="C107" s="3"/>
      <c r="D107" s="3"/>
      <c r="I107" s="16"/>
      <c r="J107" s="16"/>
    </row>
    <row r="108" spans="3:10">
      <c r="C108" s="3"/>
      <c r="D108" s="3"/>
      <c r="I108" s="16"/>
      <c r="J108" s="16"/>
    </row>
    <row r="109" spans="3:10">
      <c r="C109" s="3"/>
      <c r="D109" s="3"/>
      <c r="I109" s="16"/>
      <c r="J109" s="16"/>
    </row>
    <row r="110" spans="3:10">
      <c r="C110" s="3"/>
      <c r="D110" s="3"/>
      <c r="I110" s="16"/>
      <c r="J110" s="16"/>
    </row>
    <row r="111" spans="3:10">
      <c r="C111" s="3"/>
      <c r="D111" s="3"/>
      <c r="I111" s="16"/>
      <c r="J111" s="16"/>
    </row>
    <row r="112" spans="3:10">
      <c r="C112" s="3"/>
      <c r="D112" s="3"/>
      <c r="I112" s="16"/>
      <c r="J112" s="16"/>
    </row>
    <row r="113" spans="3:10">
      <c r="C113" s="3"/>
      <c r="D113" s="3"/>
      <c r="I113" s="16"/>
      <c r="J113" s="16"/>
    </row>
    <row r="114" spans="3:10">
      <c r="C114" s="3"/>
      <c r="D114" s="3"/>
      <c r="I114" s="16"/>
      <c r="J114" s="16"/>
    </row>
    <row r="115" spans="3:10">
      <c r="C115" s="3"/>
      <c r="D115" s="3"/>
      <c r="I115" s="16"/>
      <c r="J115" s="16"/>
    </row>
    <row r="116" spans="3:10">
      <c r="C116" s="3"/>
      <c r="D116" s="3"/>
      <c r="I116" s="16"/>
      <c r="J116" s="16"/>
    </row>
    <row r="117" spans="3:10">
      <c r="C117" s="3"/>
      <c r="D117" s="3"/>
      <c r="I117" s="16"/>
      <c r="J117" s="16"/>
    </row>
    <row r="118" spans="3:10">
      <c r="C118" s="3"/>
      <c r="D118" s="3"/>
      <c r="I118" s="16"/>
      <c r="J118" s="16"/>
    </row>
    <row r="119" spans="3:10">
      <c r="C119" s="3"/>
      <c r="D119" s="3"/>
      <c r="I119" s="16"/>
      <c r="J119" s="16"/>
    </row>
    <row r="120" spans="3:10">
      <c r="C120" s="3"/>
      <c r="D120" s="3"/>
      <c r="I120" s="16"/>
      <c r="J120" s="16"/>
    </row>
    <row r="121" spans="3:10">
      <c r="C121" s="3"/>
      <c r="D121" s="3"/>
      <c r="I121" s="16"/>
      <c r="J121" s="16"/>
    </row>
    <row r="122" spans="3:10">
      <c r="C122" s="3"/>
      <c r="D122" s="3"/>
      <c r="I122" s="16"/>
      <c r="J122" s="16"/>
    </row>
    <row r="123" spans="3:10">
      <c r="C123" s="3"/>
      <c r="D123" s="3"/>
      <c r="I123" s="16"/>
      <c r="J123" s="16"/>
    </row>
    <row r="124" spans="3:10">
      <c r="C124" s="3"/>
      <c r="D124" s="3"/>
      <c r="I124" s="16"/>
      <c r="J124" s="16"/>
    </row>
    <row r="125" spans="3:10">
      <c r="C125" s="3"/>
      <c r="D125" s="3"/>
      <c r="I125" s="16"/>
      <c r="J125" s="16"/>
    </row>
    <row r="126" spans="3:10">
      <c r="C126" s="3"/>
      <c r="D126" s="3"/>
      <c r="I126" s="16"/>
      <c r="J126" s="16"/>
    </row>
    <row r="127" spans="3:10">
      <c r="C127" s="3"/>
      <c r="D127" s="3"/>
      <c r="I127" s="16"/>
      <c r="J127" s="16"/>
    </row>
    <row r="128" spans="3:10">
      <c r="C128" s="3"/>
      <c r="D128" s="3"/>
      <c r="I128" s="16"/>
      <c r="J128" s="16"/>
    </row>
    <row r="129" spans="3:10">
      <c r="C129" s="3"/>
      <c r="D129" s="3"/>
      <c r="I129" s="16"/>
      <c r="J129" s="16"/>
    </row>
    <row r="130" spans="3:10">
      <c r="C130" s="3"/>
      <c r="D130" s="3"/>
      <c r="I130" s="16"/>
      <c r="J130" s="16"/>
    </row>
    <row r="131" spans="3:10">
      <c r="C131" s="3"/>
      <c r="D131" s="3"/>
      <c r="I131" s="16"/>
      <c r="J131" s="16"/>
    </row>
    <row r="132" spans="3:10">
      <c r="C132" s="3"/>
      <c r="D132" s="3"/>
      <c r="I132" s="16"/>
      <c r="J132" s="16"/>
    </row>
    <row r="133" spans="3:10">
      <c r="C133" s="3"/>
      <c r="D133" s="3"/>
      <c r="I133" s="16"/>
      <c r="J133" s="16"/>
    </row>
    <row r="134" spans="3:10">
      <c r="C134" s="3"/>
      <c r="D134" s="3"/>
      <c r="I134" s="16"/>
      <c r="J134" s="16"/>
    </row>
    <row r="135" spans="3:10">
      <c r="C135" s="3"/>
      <c r="D135" s="3"/>
      <c r="I135" s="16"/>
      <c r="J135" s="16"/>
    </row>
    <row r="136" spans="3:10">
      <c r="C136" s="3"/>
      <c r="D136" s="3"/>
      <c r="I136" s="16"/>
      <c r="J136" s="16"/>
    </row>
    <row r="137" spans="3:10">
      <c r="C137" s="3"/>
      <c r="D137" s="3"/>
      <c r="I137" s="16"/>
      <c r="J137" s="16"/>
    </row>
    <row r="138" spans="3:10">
      <c r="C138" s="3"/>
      <c r="D138" s="3"/>
      <c r="I138" s="16"/>
      <c r="J138" s="16"/>
    </row>
    <row r="139" spans="3:10">
      <c r="C139" s="3"/>
      <c r="D139" s="3"/>
      <c r="I139" s="16"/>
      <c r="J139" s="16"/>
    </row>
    <row r="140" spans="3:10">
      <c r="C140" s="3"/>
      <c r="D140" s="3"/>
      <c r="I140" s="16"/>
      <c r="J140" s="16"/>
    </row>
    <row r="141" spans="3:10">
      <c r="C141" s="3"/>
      <c r="D141" s="3"/>
      <c r="I141" s="16"/>
      <c r="J141" s="16"/>
    </row>
    <row r="142" spans="3:10">
      <c r="C142" s="3"/>
      <c r="D142" s="3"/>
      <c r="I142" s="16"/>
      <c r="J142" s="16"/>
    </row>
    <row r="143" spans="3:10">
      <c r="C143" s="3"/>
      <c r="D143" s="3"/>
      <c r="I143" s="16"/>
      <c r="J143" s="16"/>
    </row>
    <row r="144" spans="3:10">
      <c r="C144" s="3"/>
      <c r="D144" s="3"/>
      <c r="I144" s="16"/>
      <c r="J144" s="16"/>
    </row>
    <row r="145" spans="3:10">
      <c r="C145" s="3"/>
      <c r="D145" s="3"/>
      <c r="I145" s="16"/>
      <c r="J145" s="16"/>
    </row>
    <row r="146" spans="3:10">
      <c r="C146" s="3"/>
      <c r="D146" s="3"/>
      <c r="I146" s="16"/>
      <c r="J146" s="16"/>
    </row>
    <row r="147" spans="3:10">
      <c r="C147" s="3"/>
      <c r="D147" s="3"/>
      <c r="I147" s="16"/>
      <c r="J147" s="16"/>
    </row>
    <row r="148" spans="3:10">
      <c r="C148" s="3"/>
      <c r="D148" s="3"/>
      <c r="I148" s="16"/>
      <c r="J148" s="16"/>
    </row>
    <row r="149" spans="3:10">
      <c r="C149" s="3"/>
      <c r="D149" s="3"/>
      <c r="I149" s="16"/>
      <c r="J149" s="16"/>
    </row>
    <row r="150" spans="3:10">
      <c r="C150" s="3"/>
      <c r="D150" s="3"/>
      <c r="I150" s="16"/>
      <c r="J150" s="16"/>
    </row>
    <row r="151" spans="3:10">
      <c r="C151" s="3"/>
      <c r="D151" s="3"/>
      <c r="I151" s="16"/>
      <c r="J151" s="16"/>
    </row>
    <row r="152" spans="3:10">
      <c r="C152" s="3"/>
      <c r="D152" s="3"/>
      <c r="I152" s="16"/>
      <c r="J152" s="16"/>
    </row>
    <row r="153" spans="3:10">
      <c r="C153" s="3"/>
      <c r="D153" s="3"/>
      <c r="I153" s="16"/>
      <c r="J153" s="16"/>
    </row>
    <row r="154" spans="3:10">
      <c r="C154" s="3"/>
      <c r="D154" s="3"/>
      <c r="I154" s="16"/>
      <c r="J154" s="16"/>
    </row>
    <row r="155" spans="3:10">
      <c r="C155" s="3"/>
      <c r="D155" s="3"/>
      <c r="I155" s="16"/>
      <c r="J155" s="16"/>
    </row>
    <row r="156" spans="3:10">
      <c r="C156" s="3"/>
      <c r="D156" s="3"/>
      <c r="I156" s="16"/>
      <c r="J156" s="16"/>
    </row>
    <row r="157" spans="3:10">
      <c r="C157" s="3"/>
      <c r="D157" s="3"/>
      <c r="I157" s="16"/>
      <c r="J157" s="16"/>
    </row>
    <row r="158" spans="3:10">
      <c r="C158" s="3"/>
      <c r="D158" s="3"/>
      <c r="I158" s="16"/>
      <c r="J158" s="16"/>
    </row>
    <row r="159" spans="3:10">
      <c r="C159" s="3"/>
      <c r="D159" s="3"/>
      <c r="I159" s="16"/>
      <c r="J159" s="16"/>
    </row>
    <row r="160" spans="3:10">
      <c r="C160" s="3"/>
      <c r="D160" s="3"/>
      <c r="I160" s="16"/>
      <c r="J160" s="16"/>
    </row>
    <row r="161" spans="3:10">
      <c r="C161" s="3"/>
      <c r="D161" s="3"/>
      <c r="I161" s="16"/>
      <c r="J161" s="16"/>
    </row>
    <row r="162" spans="3:10">
      <c r="C162" s="3"/>
      <c r="D162" s="3"/>
      <c r="I162" s="16"/>
      <c r="J162" s="16"/>
    </row>
    <row r="163" spans="3:10">
      <c r="C163" s="3"/>
      <c r="D163" s="3"/>
      <c r="I163" s="16"/>
      <c r="J163" s="16"/>
    </row>
    <row r="164" spans="3:10">
      <c r="C164" s="3"/>
      <c r="D164" s="3"/>
      <c r="I164" s="16"/>
      <c r="J164" s="16"/>
    </row>
    <row r="165" spans="3:10">
      <c r="C165" s="3"/>
      <c r="D165" s="3"/>
      <c r="I165" s="16"/>
      <c r="J165" s="16"/>
    </row>
    <row r="166" spans="3:10">
      <c r="C166" s="3"/>
      <c r="D166" s="3"/>
      <c r="I166" s="16"/>
      <c r="J166" s="16"/>
    </row>
    <row r="167" spans="3:10">
      <c r="C167" s="3"/>
      <c r="D167" s="3"/>
      <c r="I167" s="16"/>
      <c r="J167" s="16"/>
    </row>
    <row r="168" spans="3:10">
      <c r="C168" s="3"/>
      <c r="D168" s="3"/>
      <c r="I168" s="16"/>
      <c r="J168" s="16"/>
    </row>
    <row r="169" spans="3:10">
      <c r="C169" s="3"/>
      <c r="D169" s="3"/>
      <c r="I169" s="16"/>
      <c r="J169" s="16"/>
    </row>
    <row r="170" spans="3:10">
      <c r="C170" s="3"/>
      <c r="D170" s="3"/>
      <c r="I170" s="16"/>
      <c r="J170" s="16"/>
    </row>
    <row r="171" spans="3:10">
      <c r="C171" s="3"/>
      <c r="D171" s="3"/>
      <c r="I171" s="16"/>
      <c r="J171" s="16"/>
    </row>
    <row r="172" spans="3:10">
      <c r="C172" s="3"/>
      <c r="D172" s="3"/>
      <c r="I172" s="16"/>
      <c r="J172" s="16"/>
    </row>
    <row r="173" spans="3:10">
      <c r="C173" s="3"/>
      <c r="D173" s="3"/>
      <c r="I173" s="16"/>
      <c r="J173" s="16"/>
    </row>
    <row r="174" spans="3:10">
      <c r="C174" s="3"/>
      <c r="D174" s="3"/>
      <c r="I174" s="16"/>
      <c r="J174" s="16"/>
    </row>
    <row r="175" spans="3:10">
      <c r="C175" s="3"/>
      <c r="D175" s="3"/>
      <c r="I175" s="16"/>
      <c r="J175" s="16"/>
    </row>
    <row r="176" spans="3:10">
      <c r="C176" s="3"/>
      <c r="D176" s="3"/>
      <c r="I176" s="16"/>
      <c r="J176" s="16"/>
    </row>
    <row r="177" spans="3:10">
      <c r="C177" s="3"/>
      <c r="D177" s="3"/>
      <c r="I177" s="16"/>
      <c r="J177" s="16"/>
    </row>
    <row r="178" spans="3:10">
      <c r="C178" s="3"/>
      <c r="D178" s="3"/>
      <c r="I178" s="16"/>
      <c r="J178" s="16"/>
    </row>
    <row r="179" spans="3:10">
      <c r="C179" s="3"/>
      <c r="D179" s="3"/>
      <c r="I179" s="16"/>
      <c r="J179" s="16"/>
    </row>
    <row r="180" spans="3:10">
      <c r="C180" s="3"/>
      <c r="D180" s="3"/>
      <c r="I180" s="16"/>
      <c r="J180" s="16"/>
    </row>
    <row r="181" spans="3:10">
      <c r="C181" s="3"/>
      <c r="D181" s="3"/>
      <c r="I181" s="16"/>
      <c r="J181" s="16"/>
    </row>
    <row r="182" spans="3:10">
      <c r="C182" s="3"/>
      <c r="D182" s="3"/>
      <c r="I182" s="16"/>
      <c r="J182" s="16"/>
    </row>
    <row r="183" spans="3:10">
      <c r="C183" s="3"/>
      <c r="D183" s="3"/>
      <c r="I183" s="16"/>
      <c r="J183" s="16"/>
    </row>
    <row r="184" spans="3:10">
      <c r="C184" s="3"/>
      <c r="D184" s="3"/>
      <c r="I184" s="16"/>
      <c r="J184" s="16"/>
    </row>
    <row r="185" spans="3:10">
      <c r="C185" s="3"/>
      <c r="D185" s="3"/>
      <c r="I185" s="16"/>
      <c r="J185" s="16"/>
    </row>
    <row r="186" spans="3:10">
      <c r="C186" s="3"/>
      <c r="D186" s="3"/>
      <c r="I186" s="16"/>
      <c r="J186" s="16"/>
    </row>
    <row r="187" spans="3:10">
      <c r="C187" s="3"/>
      <c r="D187" s="3"/>
      <c r="I187" s="16"/>
      <c r="J187" s="16"/>
    </row>
    <row r="188" spans="3:10">
      <c r="C188" s="3"/>
      <c r="D188" s="3"/>
      <c r="I188" s="16"/>
      <c r="J188" s="16"/>
    </row>
    <row r="189" spans="3:10">
      <c r="C189" s="3"/>
      <c r="D189" s="3"/>
      <c r="I189" s="16"/>
      <c r="J189" s="16"/>
    </row>
    <row r="190" spans="3:10">
      <c r="C190" s="3"/>
      <c r="D190" s="3"/>
      <c r="I190" s="16"/>
      <c r="J190" s="16"/>
    </row>
    <row r="191" spans="3:10">
      <c r="C191" s="3"/>
      <c r="D191" s="3"/>
      <c r="I191" s="16"/>
      <c r="J191" s="16"/>
    </row>
    <row r="192" spans="3:10">
      <c r="C192" s="3"/>
      <c r="D192" s="3"/>
      <c r="I192" s="16"/>
      <c r="J192" s="16"/>
    </row>
    <row r="193" spans="3:10">
      <c r="C193" s="3"/>
      <c r="D193" s="3"/>
      <c r="I193" s="16"/>
      <c r="J193" s="16"/>
    </row>
    <row r="194" spans="3:10">
      <c r="C194" s="3"/>
      <c r="D194" s="3"/>
      <c r="I194" s="16"/>
      <c r="J194" s="16"/>
    </row>
    <row r="195" spans="3:10">
      <c r="C195" s="3"/>
      <c r="D195" s="3"/>
      <c r="I195" s="16"/>
      <c r="J195" s="16"/>
    </row>
    <row r="196" spans="3:10">
      <c r="C196" s="3"/>
      <c r="D196" s="3"/>
      <c r="I196" s="16"/>
      <c r="J196" s="16"/>
    </row>
    <row r="197" spans="3:10">
      <c r="C197" s="3"/>
      <c r="D197" s="3"/>
      <c r="I197" s="16"/>
      <c r="J197" s="16"/>
    </row>
    <row r="198" spans="3:10">
      <c r="C198" s="3"/>
      <c r="D198" s="3"/>
      <c r="I198" s="16"/>
      <c r="J198" s="16"/>
    </row>
    <row r="199" spans="3:10">
      <c r="C199" s="3"/>
      <c r="D199" s="3"/>
      <c r="I199" s="16"/>
      <c r="J199" s="16"/>
    </row>
    <row r="200" spans="3:10">
      <c r="C200" s="3"/>
      <c r="D200" s="3"/>
      <c r="I200" s="16"/>
      <c r="J200" s="16"/>
    </row>
    <row r="201" spans="3:10">
      <c r="C201" s="3"/>
      <c r="D201" s="3"/>
      <c r="I201" s="16"/>
      <c r="J201" s="16"/>
    </row>
    <row r="202" spans="3:10">
      <c r="C202" s="3"/>
      <c r="D202" s="3"/>
      <c r="I202" s="16"/>
      <c r="J202" s="16"/>
    </row>
    <row r="203" spans="3:10">
      <c r="C203" s="3"/>
      <c r="D203" s="3"/>
      <c r="I203" s="16"/>
      <c r="J203" s="16"/>
    </row>
    <row r="204" spans="3:10">
      <c r="C204" s="3"/>
      <c r="D204" s="3"/>
      <c r="I204" s="16"/>
      <c r="J204" s="16"/>
    </row>
    <row r="205" spans="3:10">
      <c r="C205" s="3"/>
      <c r="D205" s="3"/>
      <c r="I205" s="16"/>
      <c r="J205" s="16"/>
    </row>
    <row r="206" spans="3:10">
      <c r="C206" s="3"/>
      <c r="D206" s="3"/>
      <c r="I206" s="16"/>
      <c r="J206" s="16"/>
    </row>
    <row r="207" spans="3:10">
      <c r="C207" s="3"/>
      <c r="D207" s="3"/>
      <c r="I207" s="16"/>
      <c r="J207" s="16"/>
    </row>
    <row r="208" spans="3:10">
      <c r="C208" s="3"/>
      <c r="D208" s="3"/>
      <c r="I208" s="16"/>
      <c r="J208" s="16"/>
    </row>
    <row r="209" spans="3:10">
      <c r="C209" s="3"/>
      <c r="D209" s="3"/>
      <c r="I209" s="16"/>
      <c r="J209" s="16"/>
    </row>
    <row r="210" spans="3:10">
      <c r="C210" s="3"/>
      <c r="D210" s="3"/>
      <c r="I210" s="16"/>
      <c r="J210" s="16"/>
    </row>
    <row r="211" spans="3:10">
      <c r="C211" s="3"/>
      <c r="D211" s="3"/>
      <c r="I211" s="16"/>
      <c r="J211" s="16"/>
    </row>
    <row r="212" spans="3:10">
      <c r="C212" s="3"/>
      <c r="D212" s="3"/>
      <c r="I212" s="16"/>
      <c r="J212" s="16"/>
    </row>
    <row r="213" spans="3:10">
      <c r="C213" s="3"/>
      <c r="D213" s="3"/>
      <c r="I213" s="16"/>
      <c r="J213" s="16"/>
    </row>
    <row r="214" spans="3:10">
      <c r="C214" s="3"/>
      <c r="D214" s="3"/>
      <c r="I214" s="16"/>
      <c r="J214" s="16"/>
    </row>
    <row r="215" spans="3:10">
      <c r="C215" s="3"/>
      <c r="D215" s="3"/>
      <c r="I215" s="16"/>
      <c r="J215" s="16"/>
    </row>
    <row r="216" spans="3:10">
      <c r="C216" s="3"/>
      <c r="D216" s="3"/>
      <c r="I216" s="16"/>
      <c r="J216" s="16"/>
    </row>
    <row r="217" spans="3:10">
      <c r="C217" s="3"/>
      <c r="D217" s="3"/>
      <c r="I217" s="16"/>
      <c r="J217" s="16"/>
    </row>
    <row r="218" spans="3:10">
      <c r="C218" s="3"/>
      <c r="D218" s="3"/>
      <c r="I218" s="16"/>
      <c r="J218" s="16"/>
    </row>
    <row r="219" spans="3:10">
      <c r="C219" s="3"/>
      <c r="D219" s="3"/>
      <c r="I219" s="16"/>
      <c r="J219" s="16"/>
    </row>
    <row r="220" spans="3:10">
      <c r="C220" s="3"/>
      <c r="D220" s="3"/>
      <c r="I220" s="16"/>
      <c r="J220" s="16"/>
    </row>
    <row r="221" spans="3:10">
      <c r="C221" s="3"/>
      <c r="D221" s="3"/>
      <c r="I221" s="16"/>
      <c r="J221" s="16"/>
    </row>
    <row r="222" spans="3:10">
      <c r="C222" s="3"/>
      <c r="D222" s="3"/>
      <c r="I222" s="16"/>
      <c r="J222" s="16"/>
    </row>
    <row r="223" spans="3:10">
      <c r="C223" s="3"/>
      <c r="D223" s="3"/>
      <c r="I223" s="16"/>
      <c r="J223" s="16"/>
    </row>
    <row r="224" spans="3:10">
      <c r="C224" s="3"/>
      <c r="D224" s="3"/>
      <c r="I224" s="16"/>
      <c r="J224" s="16"/>
    </row>
    <row r="225" spans="3:10">
      <c r="C225" s="3"/>
      <c r="D225" s="3"/>
      <c r="I225" s="16"/>
      <c r="J225" s="16"/>
    </row>
    <row r="226" spans="3:10">
      <c r="C226" s="3"/>
      <c r="D226" s="3"/>
      <c r="I226" s="16"/>
      <c r="J226" s="16"/>
    </row>
    <row r="227" spans="3:10">
      <c r="C227" s="3"/>
      <c r="D227" s="3"/>
      <c r="I227" s="16"/>
      <c r="J227" s="16"/>
    </row>
    <row r="228" spans="3:10">
      <c r="C228" s="3"/>
      <c r="D228" s="3"/>
      <c r="I228" s="16"/>
      <c r="J228" s="16"/>
    </row>
    <row r="229" spans="3:10">
      <c r="C229" s="3"/>
      <c r="D229" s="3"/>
      <c r="I229" s="16"/>
      <c r="J229" s="16"/>
    </row>
    <row r="230" spans="3:10">
      <c r="C230" s="3"/>
      <c r="D230" s="3"/>
      <c r="I230" s="16"/>
      <c r="J230" s="16"/>
    </row>
    <row r="231" spans="3:10">
      <c r="C231" s="3"/>
      <c r="D231" s="3"/>
      <c r="I231" s="16"/>
      <c r="J231" s="16"/>
    </row>
    <row r="232" spans="3:10">
      <c r="C232" s="3"/>
      <c r="D232" s="3"/>
      <c r="I232" s="16"/>
      <c r="J232" s="16"/>
    </row>
    <row r="233" spans="3:10">
      <c r="C233" s="3"/>
      <c r="D233" s="3"/>
      <c r="I233" s="16"/>
      <c r="J233" s="16"/>
    </row>
    <row r="234" spans="3:10">
      <c r="C234" s="3"/>
      <c r="D234" s="3"/>
      <c r="I234" s="16"/>
      <c r="J234" s="16"/>
    </row>
    <row r="235" spans="3:10">
      <c r="C235" s="3"/>
      <c r="D235" s="3"/>
      <c r="I235" s="16"/>
      <c r="J235" s="16"/>
    </row>
    <row r="236" spans="3:10">
      <c r="C236" s="3"/>
      <c r="D236" s="3"/>
      <c r="I236" s="16"/>
      <c r="J236" s="16"/>
    </row>
    <row r="237" spans="3:10">
      <c r="C237" s="3"/>
      <c r="D237" s="3"/>
      <c r="I237" s="16"/>
      <c r="J237" s="16"/>
    </row>
    <row r="238" spans="3:10">
      <c r="C238" s="3"/>
      <c r="D238" s="3"/>
      <c r="I238" s="16"/>
      <c r="J238" s="16"/>
    </row>
    <row r="239" spans="3:10">
      <c r="C239" s="3"/>
      <c r="D239" s="3"/>
      <c r="I239" s="16"/>
      <c r="J239" s="16"/>
    </row>
    <row r="240" spans="3:10">
      <c r="C240" s="3"/>
      <c r="D240" s="3"/>
      <c r="I240" s="16"/>
      <c r="J240" s="16"/>
    </row>
    <row r="241" spans="3:10">
      <c r="C241" s="3"/>
      <c r="D241" s="3"/>
      <c r="I241" s="16"/>
      <c r="J241" s="16"/>
    </row>
    <row r="242" spans="3:10">
      <c r="C242" s="3"/>
      <c r="D242" s="3"/>
      <c r="I242" s="16"/>
      <c r="J242" s="16"/>
    </row>
    <row r="243" spans="3:10">
      <c r="C243" s="3"/>
      <c r="D243" s="3"/>
      <c r="I243" s="16"/>
      <c r="J243" s="16"/>
    </row>
    <row r="244" spans="3:10">
      <c r="C244" s="3"/>
      <c r="D244" s="3"/>
      <c r="I244" s="16"/>
      <c r="J244" s="16"/>
    </row>
    <row r="245" spans="3:10">
      <c r="C245" s="3"/>
      <c r="D245" s="3"/>
      <c r="I245" s="16"/>
      <c r="J245" s="16"/>
    </row>
    <row r="246" spans="3:10">
      <c r="C246" s="3"/>
      <c r="D246" s="3"/>
      <c r="I246" s="16"/>
      <c r="J246" s="16"/>
    </row>
    <row r="247" spans="3:10">
      <c r="C247" s="3"/>
      <c r="D247" s="3"/>
      <c r="I247" s="16"/>
      <c r="J247" s="16"/>
    </row>
    <row r="248" spans="3:10">
      <c r="C248" s="3"/>
      <c r="D248" s="3"/>
      <c r="I248" s="16"/>
      <c r="J248" s="16"/>
    </row>
    <row r="249" spans="3:10">
      <c r="C249" s="3"/>
      <c r="D249" s="3"/>
      <c r="I249" s="16"/>
      <c r="J249" s="16"/>
    </row>
    <row r="250" spans="3:10">
      <c r="C250" s="3"/>
      <c r="D250" s="3"/>
      <c r="I250" s="16"/>
      <c r="J250" s="16"/>
    </row>
    <row r="251" spans="3:10">
      <c r="C251" s="3"/>
      <c r="D251" s="3"/>
      <c r="I251" s="16"/>
      <c r="J251" s="16"/>
    </row>
    <row r="252" spans="3:10">
      <c r="C252" s="3"/>
      <c r="D252" s="3"/>
      <c r="I252" s="16"/>
      <c r="J252" s="16"/>
    </row>
    <row r="253" spans="3:10">
      <c r="C253" s="3"/>
      <c r="D253" s="3"/>
      <c r="I253" s="16"/>
      <c r="J253" s="16"/>
    </row>
    <row r="254" spans="3:10">
      <c r="C254" s="3"/>
      <c r="D254" s="3"/>
      <c r="I254" s="16"/>
      <c r="J254" s="16"/>
    </row>
    <row r="255" spans="3:10">
      <c r="C255" s="3"/>
      <c r="D255" s="3"/>
      <c r="I255" s="16"/>
      <c r="J255" s="16"/>
    </row>
    <row r="256" spans="3:10">
      <c r="C256" s="3"/>
      <c r="D256" s="3"/>
      <c r="I256" s="16"/>
      <c r="J256" s="16"/>
    </row>
    <row r="257" spans="3:10">
      <c r="C257" s="3"/>
      <c r="D257" s="3"/>
      <c r="I257" s="16"/>
      <c r="J257" s="16"/>
    </row>
    <row r="258" spans="3:10">
      <c r="C258" s="3"/>
      <c r="D258" s="3"/>
      <c r="I258" s="16"/>
      <c r="J258" s="16"/>
    </row>
    <row r="259" spans="3:10">
      <c r="C259" s="3"/>
      <c r="D259" s="3"/>
      <c r="I259" s="16"/>
      <c r="J259" s="16"/>
    </row>
    <row r="260" spans="3:10">
      <c r="C260" s="3"/>
      <c r="D260" s="3"/>
      <c r="I260" s="16"/>
      <c r="J260" s="16"/>
    </row>
    <row r="261" spans="3:10">
      <c r="C261" s="3"/>
      <c r="D261" s="3"/>
      <c r="I261" s="16"/>
      <c r="J261" s="16"/>
    </row>
    <row r="262" spans="3:10">
      <c r="C262" s="3"/>
      <c r="D262" s="3"/>
      <c r="I262" s="16"/>
      <c r="J262" s="16"/>
    </row>
    <row r="263" spans="3:10">
      <c r="C263" s="3"/>
      <c r="D263" s="3"/>
      <c r="I263" s="16"/>
      <c r="J263" s="16"/>
    </row>
    <row r="264" spans="3:10">
      <c r="C264" s="3"/>
      <c r="D264" s="3"/>
      <c r="I264" s="16"/>
      <c r="J264" s="16"/>
    </row>
    <row r="265" spans="3:10">
      <c r="C265" s="3"/>
      <c r="D265" s="3"/>
      <c r="I265" s="16"/>
      <c r="J265" s="16"/>
    </row>
    <row r="266" spans="3:10">
      <c r="C266" s="3"/>
      <c r="D266" s="3"/>
      <c r="I266" s="16"/>
      <c r="J266" s="16"/>
    </row>
    <row r="267" spans="3:10">
      <c r="C267" s="3"/>
      <c r="D267" s="3"/>
      <c r="I267" s="16"/>
      <c r="J267" s="16"/>
    </row>
    <row r="268" spans="3:10">
      <c r="C268" s="3"/>
      <c r="D268" s="3"/>
      <c r="I268" s="16"/>
      <c r="J268" s="16"/>
    </row>
    <row r="269" spans="3:10">
      <c r="C269" s="3"/>
      <c r="D269" s="3"/>
      <c r="I269" s="16"/>
      <c r="J269" s="16"/>
    </row>
    <row r="270" spans="3:10">
      <c r="C270" s="3"/>
      <c r="D270" s="3"/>
      <c r="I270" s="16"/>
      <c r="J270" s="16"/>
    </row>
    <row r="271" spans="3:10">
      <c r="C271" s="3"/>
      <c r="D271" s="3"/>
      <c r="I271" s="16"/>
      <c r="J271" s="16"/>
    </row>
    <row r="272" spans="3:10">
      <c r="C272" s="3"/>
      <c r="D272" s="3"/>
      <c r="I272" s="16"/>
      <c r="J272" s="16"/>
    </row>
    <row r="273" spans="3:10">
      <c r="C273" s="3"/>
      <c r="D273" s="3"/>
      <c r="I273" s="16"/>
      <c r="J273" s="16"/>
    </row>
    <row r="274" spans="3:10">
      <c r="C274" s="3"/>
      <c r="D274" s="3"/>
      <c r="I274" s="16"/>
      <c r="J274" s="16"/>
    </row>
    <row r="275" spans="3:10">
      <c r="C275" s="3"/>
      <c r="D275" s="3"/>
      <c r="I275" s="16"/>
      <c r="J275" s="16"/>
    </row>
    <row r="276" spans="3:10">
      <c r="C276" s="3"/>
      <c r="D276" s="3"/>
      <c r="I276" s="16"/>
      <c r="J276" s="16"/>
    </row>
    <row r="277" spans="3:10">
      <c r="C277" s="3"/>
      <c r="D277" s="3"/>
      <c r="I277" s="16"/>
      <c r="J277" s="16"/>
    </row>
    <row r="278" spans="3:10">
      <c r="C278" s="3"/>
      <c r="D278" s="3"/>
      <c r="I278" s="16"/>
      <c r="J278" s="16"/>
    </row>
    <row r="279" spans="3:10">
      <c r="C279" s="3"/>
      <c r="D279" s="3"/>
      <c r="I279" s="16"/>
      <c r="J279" s="16"/>
    </row>
    <row r="280" spans="3:10">
      <c r="C280" s="3"/>
      <c r="D280" s="3"/>
      <c r="I280" s="16"/>
      <c r="J280" s="16"/>
    </row>
    <row r="281" spans="3:10">
      <c r="C281" s="3"/>
      <c r="D281" s="3"/>
      <c r="I281" s="16"/>
      <c r="J281" s="16"/>
    </row>
    <row r="282" spans="3:10">
      <c r="C282" s="3"/>
      <c r="D282" s="3"/>
      <c r="I282" s="16"/>
      <c r="J282" s="16"/>
    </row>
    <row r="283" spans="3:10">
      <c r="C283" s="3"/>
      <c r="D283" s="3"/>
      <c r="I283" s="16"/>
      <c r="J283" s="16"/>
    </row>
    <row r="284" spans="3:10">
      <c r="C284" s="3"/>
      <c r="D284" s="3"/>
      <c r="I284" s="16"/>
      <c r="J284" s="16"/>
    </row>
    <row r="285" spans="3:10">
      <c r="C285" s="3"/>
      <c r="D285" s="3"/>
      <c r="I285" s="16"/>
      <c r="J285" s="16"/>
    </row>
    <row r="286" spans="3:10">
      <c r="C286" s="3"/>
      <c r="D286" s="3"/>
      <c r="I286" s="16"/>
      <c r="J286" s="16"/>
    </row>
    <row r="287" spans="3:10">
      <c r="C287" s="3"/>
      <c r="D287" s="3"/>
      <c r="I287" s="16"/>
      <c r="J287" s="16"/>
    </row>
    <row r="288" spans="3:10">
      <c r="C288" s="3"/>
      <c r="D288" s="3"/>
      <c r="I288" s="16"/>
      <c r="J288" s="16"/>
    </row>
    <row r="289" spans="3:10">
      <c r="C289" s="3"/>
      <c r="D289" s="3"/>
      <c r="I289" s="16"/>
      <c r="J289" s="16"/>
    </row>
    <row r="290" spans="3:10">
      <c r="C290" s="3"/>
      <c r="D290" s="3"/>
      <c r="I290" s="16"/>
      <c r="J290" s="16"/>
    </row>
    <row r="291" spans="3:10">
      <c r="C291" s="3"/>
      <c r="D291" s="3"/>
      <c r="I291" s="16"/>
      <c r="J291" s="16"/>
    </row>
    <row r="292" spans="3:10">
      <c r="C292" s="3"/>
      <c r="D292" s="3"/>
      <c r="I292" s="16"/>
      <c r="J292" s="16"/>
    </row>
    <row r="293" spans="3:10">
      <c r="C293" s="3"/>
      <c r="D293" s="3"/>
      <c r="I293" s="16"/>
      <c r="J293" s="16"/>
    </row>
    <row r="294" spans="3:10">
      <c r="C294" s="3"/>
      <c r="D294" s="3"/>
      <c r="I294" s="16"/>
      <c r="J294" s="16"/>
    </row>
    <row r="295" spans="3:10">
      <c r="C295" s="3"/>
      <c r="D295" s="3"/>
      <c r="I295" s="16"/>
      <c r="J295" s="16"/>
    </row>
    <row r="296" spans="3:10">
      <c r="C296" s="3"/>
      <c r="D296" s="3"/>
      <c r="I296" s="16"/>
      <c r="J296" s="16"/>
    </row>
    <row r="297" spans="3:10">
      <c r="C297" s="3"/>
      <c r="D297" s="3"/>
      <c r="I297" s="16"/>
      <c r="J297" s="16"/>
    </row>
    <row r="298" spans="3:10">
      <c r="C298" s="3"/>
      <c r="D298" s="3"/>
      <c r="I298" s="16"/>
      <c r="J298" s="16"/>
    </row>
    <row r="299" spans="3:10">
      <c r="C299" s="3"/>
      <c r="D299" s="3"/>
      <c r="I299" s="16"/>
      <c r="J299" s="16"/>
    </row>
    <row r="300" spans="3:10">
      <c r="C300" s="3"/>
      <c r="D300" s="3"/>
      <c r="I300" s="16"/>
      <c r="J300" s="16"/>
    </row>
    <row r="301" spans="3:10">
      <c r="C301" s="3"/>
      <c r="D301" s="3"/>
      <c r="I301" s="16"/>
      <c r="J301" s="16"/>
    </row>
    <row r="302" spans="3:10">
      <c r="C302" s="3"/>
      <c r="D302" s="3"/>
      <c r="I302" s="16"/>
      <c r="J302" s="16"/>
    </row>
    <row r="303" spans="3:10">
      <c r="C303" s="3"/>
      <c r="D303" s="3"/>
      <c r="I303" s="16"/>
      <c r="J303" s="16"/>
    </row>
    <row r="304" spans="3:10">
      <c r="C304" s="3"/>
      <c r="D304" s="3"/>
      <c r="I304" s="16"/>
      <c r="J304" s="16"/>
    </row>
    <row r="305" spans="3:10">
      <c r="C305" s="3"/>
      <c r="D305" s="3"/>
      <c r="I305" s="16"/>
      <c r="J305" s="16"/>
    </row>
    <row r="306" spans="3:10">
      <c r="C306" s="3"/>
      <c r="D306" s="3"/>
      <c r="I306" s="16"/>
      <c r="J306" s="16"/>
    </row>
    <row r="307" spans="3:10">
      <c r="C307" s="3"/>
      <c r="D307" s="3"/>
      <c r="I307" s="16"/>
      <c r="J307" s="16"/>
    </row>
    <row r="308" spans="3:10">
      <c r="C308" s="3"/>
      <c r="D308" s="3"/>
      <c r="I308" s="16"/>
      <c r="J308" s="16"/>
    </row>
    <row r="309" spans="3:10">
      <c r="C309" s="3"/>
      <c r="D309" s="3"/>
      <c r="I309" s="16"/>
      <c r="J309" s="16"/>
    </row>
    <row r="310" spans="3:10">
      <c r="C310" s="3"/>
      <c r="D310" s="3"/>
      <c r="I310" s="16"/>
      <c r="J310" s="16"/>
    </row>
    <row r="311" spans="3:10">
      <c r="C311" s="3"/>
      <c r="D311" s="3"/>
      <c r="I311" s="16"/>
      <c r="J311" s="16"/>
    </row>
    <row r="312" spans="3:10">
      <c r="C312" s="3"/>
      <c r="D312" s="3"/>
      <c r="I312" s="16"/>
      <c r="J312" s="16"/>
    </row>
    <row r="313" spans="3:10">
      <c r="C313" s="3"/>
      <c r="D313" s="3"/>
      <c r="I313" s="16"/>
      <c r="J313" s="16"/>
    </row>
    <row r="314" spans="3:10">
      <c r="C314" s="3"/>
      <c r="D314" s="3"/>
      <c r="I314" s="16"/>
      <c r="J314" s="16"/>
    </row>
    <row r="315" spans="3:10">
      <c r="C315" s="3"/>
      <c r="D315" s="3"/>
      <c r="I315" s="16"/>
      <c r="J315" s="16"/>
    </row>
    <row r="316" spans="3:10">
      <c r="C316" s="3"/>
      <c r="D316" s="3"/>
      <c r="I316" s="16"/>
      <c r="J316" s="16"/>
    </row>
    <row r="317" spans="3:10">
      <c r="C317" s="3"/>
      <c r="D317" s="3"/>
      <c r="I317" s="16"/>
      <c r="J317" s="16"/>
    </row>
    <row r="318" spans="3:10">
      <c r="C318" s="3"/>
      <c r="D318" s="3"/>
      <c r="I318" s="16"/>
      <c r="J318" s="16"/>
    </row>
    <row r="319" spans="3:10">
      <c r="C319" s="3"/>
      <c r="D319" s="3"/>
      <c r="I319" s="16"/>
      <c r="J319" s="16"/>
    </row>
    <row r="320" spans="3:10">
      <c r="C320" s="3"/>
      <c r="D320" s="3"/>
      <c r="I320" s="16"/>
      <c r="J320" s="16"/>
    </row>
    <row r="321" spans="3:10">
      <c r="C321" s="3"/>
      <c r="D321" s="3"/>
      <c r="I321" s="16"/>
      <c r="J321" s="16"/>
    </row>
    <row r="322" spans="3:10">
      <c r="C322" s="3"/>
      <c r="D322" s="3"/>
      <c r="I322" s="16"/>
      <c r="J322" s="16"/>
    </row>
    <row r="323" spans="3:10">
      <c r="C323" s="3"/>
      <c r="D323" s="3"/>
      <c r="I323" s="16"/>
      <c r="J323" s="16"/>
    </row>
    <row r="324" spans="3:10">
      <c r="C324" s="3"/>
      <c r="D324" s="3"/>
      <c r="I324" s="16"/>
      <c r="J324" s="16"/>
    </row>
    <row r="325" spans="3:10">
      <c r="C325" s="3"/>
      <c r="D325" s="3"/>
      <c r="I325" s="16"/>
      <c r="J325" s="16"/>
    </row>
    <row r="326" spans="3:10">
      <c r="C326" s="3"/>
      <c r="D326" s="3"/>
      <c r="I326" s="16"/>
      <c r="J326" s="16"/>
    </row>
    <row r="327" spans="3:10">
      <c r="C327" s="3"/>
      <c r="D327" s="3"/>
      <c r="I327" s="16"/>
      <c r="J327" s="16"/>
    </row>
    <row r="328" spans="3:10">
      <c r="C328" s="3"/>
      <c r="D328" s="3"/>
      <c r="I328" s="16"/>
      <c r="J328" s="16"/>
    </row>
    <row r="329" spans="3:10">
      <c r="C329" s="3"/>
      <c r="D329" s="3"/>
      <c r="I329" s="16"/>
      <c r="J329" s="16"/>
    </row>
    <row r="330" spans="3:10">
      <c r="C330" s="3"/>
      <c r="D330" s="3"/>
      <c r="I330" s="16"/>
      <c r="J330" s="16"/>
    </row>
    <row r="331" spans="3:10">
      <c r="C331" s="3"/>
      <c r="D331" s="3"/>
      <c r="I331" s="16"/>
      <c r="J331" s="16"/>
    </row>
    <row r="332" spans="3:10">
      <c r="C332" s="3"/>
      <c r="D332" s="3"/>
      <c r="I332" s="16"/>
      <c r="J332" s="16"/>
    </row>
    <row r="333" spans="3:10">
      <c r="C333" s="3"/>
      <c r="D333" s="3"/>
      <c r="I333" s="16"/>
      <c r="J333" s="16"/>
    </row>
    <row r="334" spans="3:10">
      <c r="C334" s="3"/>
      <c r="D334" s="3"/>
      <c r="I334" s="16"/>
      <c r="J334" s="16"/>
    </row>
    <row r="335" spans="3:10">
      <c r="C335" s="3"/>
      <c r="D335" s="3"/>
      <c r="I335" s="16"/>
      <c r="J335" s="16"/>
    </row>
    <row r="336" spans="3:10">
      <c r="C336" s="3"/>
      <c r="D336" s="3"/>
      <c r="I336" s="16"/>
      <c r="J336" s="16"/>
    </row>
    <row r="337" spans="3:10">
      <c r="C337" s="3"/>
      <c r="D337" s="3"/>
      <c r="I337" s="16"/>
      <c r="J337" s="16"/>
    </row>
    <row r="338" spans="3:10">
      <c r="C338" s="3"/>
      <c r="D338" s="3"/>
      <c r="I338" s="16"/>
      <c r="J338" s="16"/>
    </row>
    <row r="339" spans="3:10">
      <c r="C339" s="3"/>
      <c r="D339" s="3"/>
      <c r="I339" s="16"/>
      <c r="J339" s="16"/>
    </row>
    <row r="340" spans="3:10">
      <c r="C340" s="3"/>
      <c r="D340" s="3"/>
      <c r="I340" s="16"/>
      <c r="J340" s="16"/>
    </row>
    <row r="341" spans="3:10">
      <c r="C341" s="3"/>
      <c r="D341" s="3"/>
      <c r="I341" s="16"/>
      <c r="J341" s="16"/>
    </row>
    <row r="342" spans="3:10">
      <c r="C342" s="3"/>
      <c r="D342" s="3"/>
      <c r="I342" s="16"/>
      <c r="J342" s="16"/>
    </row>
    <row r="343" spans="3:10">
      <c r="C343" s="3"/>
      <c r="D343" s="3"/>
      <c r="I343" s="16"/>
      <c r="J343" s="16"/>
    </row>
    <row r="344" spans="3:10">
      <c r="C344" s="3"/>
      <c r="D344" s="3"/>
      <c r="I344" s="16"/>
      <c r="J344" s="16"/>
    </row>
    <row r="345" spans="3:10">
      <c r="C345" s="3"/>
      <c r="D345" s="3"/>
      <c r="I345" s="16"/>
      <c r="J345" s="16"/>
    </row>
    <row r="346" spans="3:10">
      <c r="C346" s="3"/>
      <c r="D346" s="3"/>
      <c r="I346" s="16"/>
      <c r="J346" s="16"/>
    </row>
    <row r="347" spans="3:10">
      <c r="C347" s="3"/>
      <c r="D347" s="3"/>
      <c r="I347" s="16"/>
      <c r="J347" s="16"/>
    </row>
    <row r="348" spans="3:10">
      <c r="C348" s="3"/>
      <c r="D348" s="3"/>
      <c r="I348" s="16"/>
      <c r="J348" s="16"/>
    </row>
    <row r="349" spans="3:10">
      <c r="C349" s="3"/>
      <c r="D349" s="3"/>
      <c r="I349" s="16"/>
      <c r="J349" s="16"/>
    </row>
    <row r="350" spans="3:10">
      <c r="C350" s="3"/>
      <c r="D350" s="3"/>
      <c r="I350" s="16"/>
      <c r="J350" s="16"/>
    </row>
    <row r="351" spans="3:10">
      <c r="C351" s="3"/>
      <c r="D351" s="3"/>
      <c r="I351" s="16"/>
      <c r="J351" s="16"/>
    </row>
    <row r="352" spans="3:10">
      <c r="C352" s="3"/>
      <c r="D352" s="3"/>
      <c r="I352" s="16"/>
      <c r="J352" s="16"/>
    </row>
    <row r="353" spans="3:10">
      <c r="C353" s="3"/>
      <c r="D353" s="3"/>
      <c r="I353" s="16"/>
      <c r="J353" s="16"/>
    </row>
    <row r="354" spans="3:10">
      <c r="C354" s="3"/>
      <c r="D354" s="3"/>
      <c r="I354" s="16"/>
      <c r="J354" s="16"/>
    </row>
    <row r="355" spans="3:10">
      <c r="C355" s="3"/>
      <c r="D355" s="3"/>
      <c r="I355" s="16"/>
      <c r="J355" s="16"/>
    </row>
    <row r="356" spans="3:10">
      <c r="C356" s="3"/>
      <c r="D356" s="3"/>
      <c r="I356" s="16"/>
      <c r="J356" s="16"/>
    </row>
    <row r="357" spans="3:10">
      <c r="C357" s="3"/>
      <c r="D357" s="3"/>
      <c r="I357" s="16"/>
      <c r="J357" s="16"/>
    </row>
    <row r="358" spans="3:10">
      <c r="C358" s="3"/>
      <c r="D358" s="3"/>
      <c r="I358" s="16"/>
      <c r="J358" s="16"/>
    </row>
    <row r="359" spans="3:10">
      <c r="C359" s="3"/>
      <c r="D359" s="3"/>
      <c r="I359" s="16"/>
      <c r="J359" s="16"/>
    </row>
    <row r="360" spans="3:10">
      <c r="C360" s="3"/>
      <c r="D360" s="3"/>
      <c r="I360" s="16"/>
      <c r="J360" s="16"/>
    </row>
    <row r="361" spans="3:10">
      <c r="C361" s="3"/>
      <c r="D361" s="3"/>
      <c r="I361" s="16"/>
      <c r="J361" s="16"/>
    </row>
    <row r="362" spans="3:10">
      <c r="C362" s="3"/>
      <c r="D362" s="3"/>
      <c r="I362" s="16"/>
      <c r="J362" s="16"/>
    </row>
    <row r="363" spans="3:10">
      <c r="C363" s="3"/>
      <c r="D363" s="3"/>
      <c r="I363" s="16"/>
      <c r="J363" s="16"/>
    </row>
    <row r="364" spans="3:10">
      <c r="C364" s="3"/>
      <c r="D364" s="3"/>
      <c r="I364" s="16"/>
      <c r="J364" s="16"/>
    </row>
    <row r="365" spans="3:10">
      <c r="C365" s="3"/>
      <c r="D365" s="3"/>
      <c r="I365" s="16"/>
      <c r="J365" s="16"/>
    </row>
    <row r="366" spans="3:10">
      <c r="C366" s="3"/>
      <c r="D366" s="3"/>
      <c r="I366" s="16"/>
      <c r="J366" s="16"/>
    </row>
    <row r="367" spans="3:10">
      <c r="C367" s="3"/>
      <c r="D367" s="3"/>
      <c r="I367" s="16"/>
      <c r="J367" s="16"/>
    </row>
    <row r="368" spans="3:10">
      <c r="C368" s="3"/>
      <c r="D368" s="3"/>
      <c r="I368" s="16"/>
      <c r="J368" s="16"/>
    </row>
    <row r="369" spans="3:10">
      <c r="C369" s="3"/>
      <c r="D369" s="3"/>
      <c r="I369" s="16"/>
      <c r="J369" s="16"/>
    </row>
    <row r="370" spans="3:10">
      <c r="C370" s="3"/>
      <c r="D370" s="3"/>
      <c r="I370" s="16"/>
      <c r="J370" s="16"/>
    </row>
    <row r="371" spans="3:10">
      <c r="C371" s="3"/>
      <c r="D371" s="3"/>
      <c r="I371" s="16"/>
      <c r="J371" s="16"/>
    </row>
    <row r="372" spans="3:10">
      <c r="C372" s="3"/>
      <c r="D372" s="3"/>
      <c r="I372" s="16"/>
      <c r="J372" s="16"/>
    </row>
    <row r="373" spans="3:10">
      <c r="C373" s="3"/>
      <c r="D373" s="3"/>
      <c r="I373" s="16"/>
      <c r="J373" s="16"/>
    </row>
    <row r="374" spans="3:10">
      <c r="C374" s="3"/>
      <c r="D374" s="3"/>
      <c r="I374" s="16"/>
      <c r="J374" s="16"/>
    </row>
    <row r="375" spans="3:10">
      <c r="C375" s="3"/>
      <c r="D375" s="3"/>
      <c r="I375" s="16"/>
      <c r="J375" s="16"/>
    </row>
    <row r="376" spans="3:10">
      <c r="C376" s="3"/>
      <c r="D376" s="3"/>
      <c r="I376" s="16"/>
      <c r="J376" s="16"/>
    </row>
    <row r="377" spans="3:10">
      <c r="C377" s="3"/>
      <c r="D377" s="3"/>
      <c r="I377" s="16"/>
      <c r="J377" s="16"/>
    </row>
    <row r="378" spans="3:10">
      <c r="C378" s="3"/>
      <c r="D378" s="3"/>
      <c r="I378" s="16"/>
      <c r="J378" s="16"/>
    </row>
    <row r="379" spans="3:10">
      <c r="C379" s="3"/>
      <c r="D379" s="3"/>
      <c r="I379" s="16"/>
      <c r="J379" s="16"/>
    </row>
    <row r="380" spans="3:10">
      <c r="C380" s="3"/>
      <c r="D380" s="3"/>
      <c r="I380" s="16"/>
      <c r="J380" s="16"/>
    </row>
    <row r="381" spans="3:10">
      <c r="C381" s="3"/>
      <c r="D381" s="3"/>
      <c r="I381" s="16"/>
      <c r="J381" s="16"/>
    </row>
    <row r="382" spans="3:10">
      <c r="C382" s="3"/>
      <c r="D382" s="3"/>
      <c r="I382" s="16"/>
      <c r="J382" s="16"/>
    </row>
    <row r="383" spans="3:10">
      <c r="C383" s="3"/>
      <c r="D383" s="3"/>
      <c r="I383" s="16"/>
      <c r="J383" s="16"/>
    </row>
    <row r="384" spans="3:10">
      <c r="C384" s="3"/>
      <c r="D384" s="3"/>
      <c r="I384" s="16"/>
      <c r="J384" s="16"/>
    </row>
    <row r="385" spans="3:10">
      <c r="C385" s="3"/>
      <c r="D385" s="3"/>
      <c r="I385" s="16"/>
      <c r="J385" s="16"/>
    </row>
    <row r="386" spans="3:10">
      <c r="C386" s="3"/>
      <c r="D386" s="3"/>
      <c r="I386" s="16"/>
      <c r="J386" s="16"/>
    </row>
    <row r="387" spans="3:10">
      <c r="C387" s="3"/>
      <c r="D387" s="3"/>
      <c r="I387" s="16"/>
      <c r="J387" s="16"/>
    </row>
    <row r="388" spans="3:10">
      <c r="C388" s="3"/>
      <c r="D388" s="3"/>
      <c r="I388" s="16"/>
      <c r="J388" s="16"/>
    </row>
    <row r="389" spans="3:10">
      <c r="C389" s="3"/>
      <c r="D389" s="3"/>
      <c r="I389" s="16"/>
      <c r="J389" s="16"/>
    </row>
    <row r="390" spans="3:10">
      <c r="C390" s="3"/>
      <c r="D390" s="3"/>
      <c r="I390" s="16"/>
      <c r="J390" s="16"/>
    </row>
    <row r="391" spans="3:10">
      <c r="C391" s="3"/>
      <c r="D391" s="3"/>
      <c r="I391" s="16"/>
      <c r="J391" s="16"/>
    </row>
    <row r="392" spans="3:10">
      <c r="C392" s="3"/>
      <c r="D392" s="3"/>
      <c r="I392" s="16"/>
      <c r="J392" s="16"/>
    </row>
    <row r="393" spans="3:10">
      <c r="C393" s="3"/>
      <c r="D393" s="3"/>
      <c r="I393" s="16"/>
      <c r="J393" s="16"/>
    </row>
    <row r="394" spans="3:10">
      <c r="C394" s="3"/>
      <c r="D394" s="3"/>
      <c r="I394" s="16"/>
      <c r="J394" s="16"/>
    </row>
    <row r="395" spans="3:10">
      <c r="C395" s="3"/>
      <c r="D395" s="3"/>
      <c r="I395" s="16"/>
      <c r="J395" s="16"/>
    </row>
    <row r="396" spans="3:10">
      <c r="C396" s="3"/>
      <c r="D396" s="3"/>
      <c r="I396" s="16"/>
      <c r="J396" s="16"/>
    </row>
    <row r="397" spans="3:10">
      <c r="C397" s="3"/>
      <c r="D397" s="3"/>
      <c r="I397" s="16"/>
      <c r="J397" s="16"/>
    </row>
    <row r="398" spans="3:10">
      <c r="C398" s="3"/>
      <c r="D398" s="3"/>
      <c r="I398" s="16"/>
      <c r="J398" s="16"/>
    </row>
    <row r="399" spans="3:10">
      <c r="C399" s="3"/>
      <c r="D399" s="3"/>
      <c r="I399" s="16"/>
      <c r="J399" s="16"/>
    </row>
    <row r="400" spans="3:10">
      <c r="C400" s="3"/>
      <c r="D400" s="3"/>
      <c r="I400" s="16"/>
      <c r="J400" s="16"/>
    </row>
    <row r="401" spans="3:10">
      <c r="C401" s="3"/>
      <c r="D401" s="3"/>
      <c r="I401" s="16"/>
      <c r="J401" s="16"/>
    </row>
    <row r="402" spans="3:10">
      <c r="C402" s="3"/>
      <c r="D402" s="3"/>
      <c r="I402" s="16"/>
      <c r="J402" s="16"/>
    </row>
    <row r="403" spans="3:10">
      <c r="C403" s="3"/>
      <c r="D403" s="3"/>
      <c r="I403" s="16"/>
      <c r="J403" s="16"/>
    </row>
    <row r="404" spans="3:10">
      <c r="C404" s="3"/>
      <c r="D404" s="3"/>
      <c r="I404" s="16"/>
      <c r="J404" s="16"/>
    </row>
    <row r="405" spans="3:10">
      <c r="C405" s="3"/>
      <c r="D405" s="3"/>
      <c r="I405" s="16"/>
      <c r="J405" s="16"/>
    </row>
    <row r="406" spans="3:10">
      <c r="C406" s="3"/>
      <c r="D406" s="3"/>
      <c r="I406" s="16"/>
      <c r="J406" s="16"/>
    </row>
    <row r="407" spans="3:10">
      <c r="C407" s="3"/>
      <c r="D407" s="3"/>
      <c r="I407" s="16"/>
      <c r="J407" s="16"/>
    </row>
    <row r="408" spans="3:10">
      <c r="C408" s="3"/>
      <c r="D408" s="3"/>
      <c r="I408" s="16"/>
      <c r="J408" s="16"/>
    </row>
    <row r="409" spans="3:10">
      <c r="C409" s="3"/>
      <c r="D409" s="3"/>
      <c r="I409" s="16"/>
      <c r="J409" s="16"/>
    </row>
    <row r="410" spans="3:10">
      <c r="C410" s="3"/>
      <c r="D410" s="3"/>
      <c r="I410" s="16"/>
      <c r="J410" s="16"/>
    </row>
    <row r="411" spans="3:10">
      <c r="C411" s="3"/>
      <c r="D411" s="3"/>
      <c r="I411" s="16"/>
      <c r="J411" s="16"/>
    </row>
    <row r="412" spans="3:10">
      <c r="C412" s="3"/>
      <c r="D412" s="3"/>
      <c r="I412" s="16"/>
      <c r="J412" s="16"/>
    </row>
    <row r="413" spans="3:10">
      <c r="C413" s="3"/>
      <c r="D413" s="3"/>
      <c r="I413" s="16"/>
      <c r="J413" s="16"/>
    </row>
    <row r="414" spans="3:10">
      <c r="C414" s="3"/>
      <c r="D414" s="3"/>
      <c r="I414" s="16"/>
      <c r="J414" s="16"/>
    </row>
    <row r="415" spans="3:10">
      <c r="C415" s="3"/>
      <c r="D415" s="3"/>
      <c r="I415" s="16"/>
      <c r="J415" s="16"/>
    </row>
    <row r="416" spans="3:10">
      <c r="C416" s="3"/>
      <c r="D416" s="3"/>
      <c r="I416" s="16"/>
      <c r="J416" s="16"/>
    </row>
    <row r="417" spans="3:10">
      <c r="C417" s="3"/>
      <c r="D417" s="3"/>
      <c r="I417" s="16"/>
      <c r="J417" s="16"/>
    </row>
    <row r="418" spans="3:10">
      <c r="C418" s="3"/>
      <c r="D418" s="3"/>
      <c r="I418" s="16"/>
      <c r="J418" s="16"/>
    </row>
    <row r="419" spans="3:10">
      <c r="C419" s="3"/>
      <c r="D419" s="3"/>
      <c r="I419" s="16"/>
      <c r="J419" s="16"/>
    </row>
    <row r="420" spans="3:10">
      <c r="C420" s="3"/>
      <c r="D420" s="3"/>
      <c r="I420" s="16"/>
      <c r="J420" s="16"/>
    </row>
    <row r="421" spans="3:10">
      <c r="C421" s="3"/>
      <c r="D421" s="3"/>
      <c r="I421" s="16"/>
      <c r="J421" s="16"/>
    </row>
    <row r="422" spans="3:10">
      <c r="C422" s="3"/>
      <c r="D422" s="3"/>
      <c r="I422" s="16"/>
      <c r="J422" s="16"/>
    </row>
    <row r="423" spans="3:10">
      <c r="C423" s="3"/>
      <c r="D423" s="3"/>
      <c r="I423" s="16"/>
      <c r="J423" s="16"/>
    </row>
    <row r="424" spans="3:10">
      <c r="C424" s="3"/>
      <c r="D424" s="3"/>
      <c r="I424" s="16"/>
      <c r="J424" s="16"/>
    </row>
    <row r="425" spans="3:10">
      <c r="C425" s="3"/>
      <c r="D425" s="3"/>
      <c r="I425" s="16"/>
      <c r="J425" s="16"/>
    </row>
    <row r="426" spans="3:10">
      <c r="C426" s="3"/>
      <c r="D426" s="3"/>
      <c r="I426" s="16"/>
      <c r="J426" s="16"/>
    </row>
    <row r="427" spans="3:10">
      <c r="C427" s="3"/>
      <c r="D427" s="3"/>
      <c r="I427" s="16"/>
      <c r="J427" s="16"/>
    </row>
    <row r="428" spans="3:10">
      <c r="C428" s="3"/>
      <c r="D428" s="3"/>
      <c r="I428" s="16"/>
      <c r="J428" s="16"/>
    </row>
    <row r="429" spans="3:10">
      <c r="C429" s="3"/>
      <c r="D429" s="3"/>
      <c r="I429" s="16"/>
      <c r="J429" s="16"/>
    </row>
    <row r="430" spans="3:10">
      <c r="C430" s="3"/>
      <c r="D430" s="3"/>
      <c r="I430" s="16"/>
      <c r="J430" s="16"/>
    </row>
    <row r="431" spans="3:10">
      <c r="C431" s="3"/>
      <c r="D431" s="3"/>
      <c r="I431" s="16"/>
      <c r="J431" s="16"/>
    </row>
    <row r="432" spans="3:10">
      <c r="C432" s="3"/>
      <c r="D432" s="3"/>
      <c r="I432" s="16"/>
      <c r="J432" s="16"/>
    </row>
    <row r="433" spans="3:10">
      <c r="C433" s="3"/>
      <c r="D433" s="3"/>
      <c r="I433" s="16"/>
      <c r="J433" s="16"/>
    </row>
    <row r="434" spans="3:10">
      <c r="C434" s="3"/>
      <c r="D434" s="3"/>
      <c r="I434" s="16"/>
      <c r="J434" s="16"/>
    </row>
    <row r="435" spans="3:10">
      <c r="C435" s="3"/>
      <c r="D435" s="3"/>
      <c r="I435" s="16"/>
      <c r="J435" s="16"/>
    </row>
    <row r="436" spans="3:10">
      <c r="C436" s="3"/>
      <c r="D436" s="3"/>
      <c r="I436" s="16"/>
      <c r="J436" s="16"/>
    </row>
    <row r="437" spans="3:10">
      <c r="C437" s="3"/>
      <c r="D437" s="3"/>
      <c r="I437" s="16"/>
      <c r="J437" s="16"/>
    </row>
    <row r="438" spans="3:10">
      <c r="C438" s="3"/>
      <c r="D438" s="3"/>
      <c r="I438" s="16"/>
      <c r="J438" s="16"/>
    </row>
    <row r="439" spans="3:10">
      <c r="C439" s="3"/>
      <c r="D439" s="3"/>
      <c r="I439" s="16"/>
      <c r="J439" s="16"/>
    </row>
    <row r="440" spans="3:10">
      <c r="C440" s="3"/>
      <c r="D440" s="3"/>
      <c r="I440" s="16"/>
      <c r="J440" s="16"/>
    </row>
    <row r="441" spans="3:10">
      <c r="C441" s="3"/>
      <c r="D441" s="3"/>
      <c r="I441" s="16"/>
      <c r="J441" s="16"/>
    </row>
    <row r="442" spans="3:10">
      <c r="C442" s="3"/>
      <c r="D442" s="3"/>
      <c r="I442" s="16"/>
      <c r="J442" s="16"/>
    </row>
    <row r="443" spans="3:10">
      <c r="C443" s="3"/>
      <c r="D443" s="3"/>
      <c r="I443" s="16"/>
      <c r="J443" s="16"/>
    </row>
    <row r="444" spans="3:10">
      <c r="C444" s="3"/>
      <c r="D444" s="3"/>
      <c r="I444" s="16"/>
      <c r="J444" s="16"/>
    </row>
    <row r="445" spans="3:10">
      <c r="C445" s="3"/>
      <c r="D445" s="3"/>
      <c r="I445" s="16"/>
      <c r="J445" s="16"/>
    </row>
    <row r="446" spans="3:10">
      <c r="C446" s="3"/>
      <c r="D446" s="3"/>
      <c r="I446" s="16"/>
      <c r="J446" s="16"/>
    </row>
    <row r="447" spans="3:10">
      <c r="C447" s="3"/>
      <c r="D447" s="3"/>
      <c r="I447" s="16"/>
      <c r="J447" s="16"/>
    </row>
    <row r="448" spans="3:10">
      <c r="C448" s="3"/>
      <c r="D448" s="3"/>
      <c r="I448" s="16"/>
      <c r="J448" s="16"/>
    </row>
    <row r="449" spans="3:10">
      <c r="C449" s="3"/>
      <c r="D449" s="3"/>
      <c r="I449" s="16"/>
      <c r="J449" s="16"/>
    </row>
    <row r="450" spans="3:10">
      <c r="C450" s="3"/>
      <c r="D450" s="3"/>
      <c r="I450" s="16"/>
      <c r="J450" s="16"/>
    </row>
    <row r="451" spans="3:10">
      <c r="C451" s="3"/>
      <c r="D451" s="3"/>
      <c r="I451" s="16"/>
      <c r="J451" s="16"/>
    </row>
    <row r="452" spans="3:10">
      <c r="C452" s="3"/>
      <c r="D452" s="3"/>
      <c r="I452" s="16"/>
      <c r="J452" s="16"/>
    </row>
    <row r="453" spans="3:10">
      <c r="C453" s="3"/>
      <c r="D453" s="3"/>
      <c r="I453" s="16"/>
      <c r="J453" s="16"/>
    </row>
    <row r="454" spans="3:10">
      <c r="C454" s="3"/>
      <c r="D454" s="3"/>
      <c r="I454" s="16"/>
      <c r="J454" s="16"/>
    </row>
    <row r="455" spans="3:10">
      <c r="C455" s="3"/>
      <c r="D455" s="3"/>
      <c r="I455" s="16"/>
      <c r="J455" s="16"/>
    </row>
    <row r="456" spans="3:10">
      <c r="C456" s="3"/>
      <c r="D456" s="3"/>
      <c r="I456" s="16"/>
      <c r="J456" s="16"/>
    </row>
    <row r="457" spans="3:10">
      <c r="C457" s="3"/>
      <c r="D457" s="3"/>
      <c r="I457" s="16"/>
      <c r="J457" s="16"/>
    </row>
    <row r="458" spans="3:10">
      <c r="C458" s="3"/>
      <c r="D458" s="3"/>
      <c r="I458" s="16"/>
      <c r="J458" s="16"/>
    </row>
    <row r="459" spans="3:10">
      <c r="C459" s="3"/>
      <c r="D459" s="3"/>
      <c r="I459" s="16"/>
      <c r="J459" s="16"/>
    </row>
    <row r="460" spans="3:10">
      <c r="C460" s="3"/>
      <c r="D460" s="3"/>
      <c r="I460" s="16"/>
      <c r="J460" s="16"/>
    </row>
    <row r="461" spans="3:10">
      <c r="C461" s="3"/>
      <c r="D461" s="3"/>
      <c r="I461" s="16"/>
      <c r="J461" s="16"/>
    </row>
    <row r="462" spans="3:10">
      <c r="C462" s="3"/>
      <c r="D462" s="3"/>
      <c r="I462" s="16"/>
      <c r="J462" s="16"/>
    </row>
    <row r="463" spans="3:10">
      <c r="C463" s="3"/>
      <c r="D463" s="3"/>
      <c r="I463" s="16"/>
      <c r="J463" s="16"/>
    </row>
    <row r="464" spans="3:10">
      <c r="C464" s="3"/>
      <c r="D464" s="3"/>
      <c r="I464" s="16"/>
      <c r="J464" s="16"/>
    </row>
    <row r="465" spans="3:10">
      <c r="C465" s="3"/>
      <c r="D465" s="3"/>
      <c r="I465" s="16"/>
      <c r="J465" s="16"/>
    </row>
    <row r="466" spans="3:10">
      <c r="C466" s="3"/>
      <c r="D466" s="3"/>
      <c r="I466" s="16"/>
      <c r="J466" s="16"/>
    </row>
    <row r="467" spans="3:10">
      <c r="C467" s="3"/>
      <c r="D467" s="3"/>
      <c r="I467" s="16"/>
      <c r="J467" s="16"/>
    </row>
    <row r="468" spans="3:10">
      <c r="C468" s="3"/>
      <c r="D468" s="3"/>
      <c r="I468" s="16"/>
      <c r="J468" s="16"/>
    </row>
    <row r="469" spans="3:10">
      <c r="C469" s="3"/>
      <c r="D469" s="3"/>
      <c r="I469" s="16"/>
      <c r="J469" s="16"/>
    </row>
    <row r="470" spans="3:10">
      <c r="C470" s="3"/>
      <c r="D470" s="3"/>
      <c r="I470" s="16"/>
      <c r="J470" s="16"/>
    </row>
    <row r="471" spans="3:10">
      <c r="C471" s="3"/>
      <c r="D471" s="3"/>
      <c r="I471" s="16"/>
      <c r="J471" s="16"/>
    </row>
    <row r="472" spans="3:10">
      <c r="C472" s="3"/>
      <c r="D472" s="3"/>
      <c r="I472" s="16"/>
      <c r="J472" s="16"/>
    </row>
    <row r="473" spans="3:10">
      <c r="C473" s="3"/>
      <c r="D473" s="3"/>
      <c r="I473" s="16"/>
      <c r="J473" s="16"/>
    </row>
    <row r="474" spans="3:10">
      <c r="C474" s="3"/>
      <c r="D474" s="3"/>
      <c r="I474" s="16"/>
      <c r="J474" s="16"/>
    </row>
    <row r="475" spans="3:10">
      <c r="C475" s="3"/>
      <c r="D475" s="3"/>
      <c r="I475" s="16"/>
      <c r="J475" s="16"/>
    </row>
    <row r="476" spans="3:10">
      <c r="C476" s="3"/>
      <c r="D476" s="3"/>
      <c r="I476" s="16"/>
      <c r="J476" s="16"/>
    </row>
    <row r="477" spans="3:10">
      <c r="C477" s="3"/>
      <c r="D477" s="3"/>
      <c r="I477" s="16"/>
      <c r="J477" s="16"/>
    </row>
    <row r="478" spans="3:10">
      <c r="C478" s="3"/>
      <c r="D478" s="3"/>
      <c r="I478" s="16"/>
      <c r="J478" s="16"/>
    </row>
    <row r="479" spans="3:10">
      <c r="C479" s="3"/>
      <c r="D479" s="3"/>
      <c r="I479" s="16"/>
      <c r="J479" s="16"/>
    </row>
    <row r="480" spans="3:10">
      <c r="C480" s="3"/>
      <c r="D480" s="3"/>
      <c r="I480" s="16"/>
      <c r="J480" s="16"/>
    </row>
    <row r="481" spans="3:11">
      <c r="C481" s="3"/>
      <c r="D481" s="3"/>
      <c r="I481" s="16"/>
      <c r="J481" s="16"/>
    </row>
    <row r="482" spans="3:11">
      <c r="C482" s="3"/>
      <c r="D482" s="3"/>
      <c r="I482" s="16"/>
      <c r="J482" s="16"/>
    </row>
    <row r="483" spans="3:11">
      <c r="C483" s="3"/>
      <c r="D483" s="3"/>
      <c r="I483" s="16"/>
      <c r="J483" s="16"/>
    </row>
    <row r="484" spans="3:11">
      <c r="C484" s="3"/>
      <c r="D484" s="3"/>
      <c r="I484" s="16"/>
      <c r="J484" s="16"/>
    </row>
    <row r="485" spans="3:11">
      <c r="C485" s="3"/>
      <c r="D485" s="3"/>
      <c r="I485" s="16"/>
      <c r="J485" s="16"/>
    </row>
    <row r="486" spans="3:11">
      <c r="C486" s="3"/>
      <c r="D486" s="3"/>
      <c r="I486" s="16"/>
      <c r="J486" s="16"/>
    </row>
    <row r="487" spans="3:11">
      <c r="C487" s="3"/>
      <c r="D487" s="3"/>
      <c r="I487" s="16"/>
      <c r="J487" s="16"/>
    </row>
    <row r="488" spans="3:11">
      <c r="C488" s="3"/>
      <c r="D488" s="3"/>
      <c r="I488" s="16"/>
      <c r="J488" s="16"/>
    </row>
    <row r="489" spans="3:11">
      <c r="C489" s="3"/>
      <c r="D489" s="3"/>
      <c r="I489" s="16"/>
      <c r="J489" s="16"/>
    </row>
    <row r="490" spans="3:11">
      <c r="C490" s="3"/>
      <c r="D490" s="3"/>
      <c r="I490" s="16"/>
      <c r="J490" s="16"/>
    </row>
    <row r="491" spans="3:11">
      <c r="C491" s="3"/>
      <c r="D491" s="3"/>
      <c r="I491" s="16"/>
      <c r="J491" s="16"/>
    </row>
    <row r="492" spans="3:11">
      <c r="C492" s="3"/>
      <c r="D492" s="3"/>
      <c r="I492" s="16"/>
      <c r="J492" s="16"/>
    </row>
    <row r="493" spans="3:11">
      <c r="C493" s="3"/>
      <c r="D493" s="3"/>
      <c r="I493" s="16"/>
      <c r="J493" s="16"/>
    </row>
    <row r="494" spans="3:11">
      <c r="C494" s="3"/>
      <c r="D494" s="3"/>
      <c r="I494" s="16"/>
      <c r="J494" s="16"/>
    </row>
    <row r="495" spans="3:11" s="6" customFormat="1">
      <c r="I495" s="17"/>
      <c r="J495" s="17"/>
      <c r="K495" s="38"/>
    </row>
  </sheetData>
  <autoFilter ref="B5:O28"/>
  <mergeCells count="2">
    <mergeCell ref="B28:H28"/>
    <mergeCell ref="B4: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226"/>
  <sheetViews>
    <sheetView topLeftCell="D1" workbookViewId="0">
      <pane ySplit="5" topLeftCell="A6" activePane="bottomLeft" state="frozen"/>
      <selection pane="bottomLeft" activeCell="O15" sqref="O15"/>
    </sheetView>
  </sheetViews>
  <sheetFormatPr defaultRowHeight="15"/>
  <cols>
    <col min="2" max="2" width="6.85546875" customWidth="1"/>
    <col min="3" max="3" width="54.5703125" customWidth="1"/>
    <col min="4" max="4" width="15.5703125" bestFit="1" customWidth="1"/>
    <col min="5" max="5" width="14.140625" bestFit="1" customWidth="1"/>
    <col min="6" max="6" width="15" bestFit="1" customWidth="1"/>
    <col min="7" max="7" width="13.140625" bestFit="1" customWidth="1"/>
    <col min="8" max="8" width="14.7109375" bestFit="1" customWidth="1"/>
    <col min="9" max="9" width="16.140625" bestFit="1" customWidth="1"/>
    <col min="10" max="10" width="14.42578125" bestFit="1" customWidth="1"/>
    <col min="11" max="11" width="9.140625" style="37"/>
    <col min="12" max="12" width="18.42578125" customWidth="1"/>
    <col min="13" max="13" width="12" customWidth="1"/>
    <col min="14" max="14" width="17.28515625" bestFit="1" customWidth="1"/>
    <col min="15" max="15" width="14.85546875" bestFit="1" customWidth="1"/>
  </cols>
  <sheetData>
    <row r="4" spans="2:15">
      <c r="B4" s="692" t="s">
        <v>655</v>
      </c>
      <c r="C4" s="692"/>
      <c r="D4" s="692"/>
      <c r="E4" s="693"/>
      <c r="F4" s="693"/>
      <c r="G4" s="693"/>
      <c r="H4" s="693"/>
      <c r="I4" s="693"/>
      <c r="J4" s="692"/>
      <c r="K4" s="694"/>
      <c r="L4" s="692"/>
      <c r="M4" s="692"/>
      <c r="N4" s="692"/>
      <c r="O4" s="692"/>
    </row>
    <row r="5" spans="2:15" ht="60" customHeight="1">
      <c r="B5" s="40" t="s">
        <v>1</v>
      </c>
      <c r="C5" s="40" t="s">
        <v>2</v>
      </c>
      <c r="D5" s="40" t="s">
        <v>12</v>
      </c>
      <c r="E5" s="40" t="s">
        <v>3</v>
      </c>
      <c r="F5" s="40" t="s">
        <v>27</v>
      </c>
      <c r="G5" s="40" t="s">
        <v>28</v>
      </c>
      <c r="H5" s="40" t="s">
        <v>4</v>
      </c>
      <c r="I5" s="40" t="s">
        <v>5</v>
      </c>
      <c r="J5" s="40" t="s">
        <v>11</v>
      </c>
      <c r="K5" s="42" t="s">
        <v>6</v>
      </c>
      <c r="L5" s="41" t="s">
        <v>7</v>
      </c>
      <c r="M5" s="41" t="s">
        <v>8</v>
      </c>
      <c r="N5" s="41" t="s">
        <v>9</v>
      </c>
      <c r="O5" s="41" t="s">
        <v>10</v>
      </c>
    </row>
    <row r="6" spans="2:15" ht="15.75">
      <c r="B6" s="54">
        <v>1</v>
      </c>
      <c r="C6" s="547" t="s">
        <v>60</v>
      </c>
      <c r="D6" s="552">
        <v>38677</v>
      </c>
      <c r="E6" s="19">
        <v>44470</v>
      </c>
      <c r="F6" s="564">
        <f>(E6-D6)/365</f>
        <v>15.871232876712329</v>
      </c>
      <c r="G6" s="11">
        <v>15</v>
      </c>
      <c r="H6" s="20">
        <f t="shared" ref="H6:H13" si="0">(95/G6/100)</f>
        <v>6.3333333333333325E-2</v>
      </c>
      <c r="I6" s="547">
        <v>1517161</v>
      </c>
      <c r="J6" s="565">
        <v>53189.419999999925</v>
      </c>
      <c r="K6" s="58">
        <v>0</v>
      </c>
      <c r="L6" s="55">
        <f t="shared" ref="L6:L13" si="1">I6*(1+K6)</f>
        <v>1517161</v>
      </c>
      <c r="M6" s="55">
        <f t="shared" ref="M6:M13" si="2">F6*H6*L6</f>
        <v>1525016.984356164</v>
      </c>
      <c r="N6" s="56">
        <f t="shared" ref="N6" si="3">IF(L6-M6&lt;=0,5%*L6,L6-M6)</f>
        <v>75858.05</v>
      </c>
      <c r="O6" s="57">
        <f t="shared" ref="O6" si="4">IF(N6=L6*5%,N6,N6*0.9)</f>
        <v>75858.05</v>
      </c>
    </row>
    <row r="7" spans="2:15" ht="15.75">
      <c r="B7" s="54">
        <v>2</v>
      </c>
      <c r="C7" s="547" t="s">
        <v>61</v>
      </c>
      <c r="D7" s="552">
        <v>39623</v>
      </c>
      <c r="E7" s="19">
        <v>44470</v>
      </c>
      <c r="F7" s="564">
        <f t="shared" ref="F7:F13" si="5">(E7-D7)/365</f>
        <v>13.27945205479452</v>
      </c>
      <c r="G7" s="11">
        <v>8</v>
      </c>
      <c r="H7" s="20">
        <f t="shared" si="0"/>
        <v>0.11874999999999999</v>
      </c>
      <c r="I7" s="547">
        <v>41794</v>
      </c>
      <c r="J7" s="565">
        <v>2089.6999999999971</v>
      </c>
      <c r="K7" s="58">
        <v>0</v>
      </c>
      <c r="L7" s="55">
        <f t="shared" si="1"/>
        <v>41794</v>
      </c>
      <c r="M7" s="55">
        <f t="shared" si="2"/>
        <v>65906.418527397254</v>
      </c>
      <c r="N7" s="56">
        <f t="shared" ref="N7:N13" si="6">IF(L7-M7&lt;=0,5%*L7,L7-M7)</f>
        <v>2089.7000000000003</v>
      </c>
      <c r="O7" s="57">
        <f t="shared" ref="O7:O13" si="7">IF(N7=L7*5%,N7,N7*0.9)</f>
        <v>2089.7000000000003</v>
      </c>
    </row>
    <row r="8" spans="2:15" ht="15.75">
      <c r="B8" s="54">
        <v>3</v>
      </c>
      <c r="C8" s="547" t="s">
        <v>62</v>
      </c>
      <c r="D8" s="552">
        <v>39747</v>
      </c>
      <c r="E8" s="19">
        <v>44470</v>
      </c>
      <c r="F8" s="564">
        <f t="shared" si="5"/>
        <v>12.93972602739726</v>
      </c>
      <c r="G8" s="11">
        <v>8</v>
      </c>
      <c r="H8" s="20">
        <f t="shared" si="0"/>
        <v>0.11874999999999999</v>
      </c>
      <c r="I8" s="547">
        <v>649424</v>
      </c>
      <c r="J8" s="565">
        <v>32471.200000000001</v>
      </c>
      <c r="K8" s="58">
        <v>0</v>
      </c>
      <c r="L8" s="55">
        <f t="shared" si="1"/>
        <v>649424</v>
      </c>
      <c r="M8" s="55">
        <f t="shared" si="2"/>
        <v>997900.02547945187</v>
      </c>
      <c r="N8" s="56">
        <f t="shared" si="6"/>
        <v>32471.200000000001</v>
      </c>
      <c r="O8" s="57">
        <f t="shared" si="7"/>
        <v>32471.200000000001</v>
      </c>
    </row>
    <row r="9" spans="2:15" ht="15.75">
      <c r="B9" s="54">
        <v>4</v>
      </c>
      <c r="C9" s="547" t="s">
        <v>63</v>
      </c>
      <c r="D9" s="552">
        <v>39759</v>
      </c>
      <c r="E9" s="19">
        <v>44470</v>
      </c>
      <c r="F9" s="564">
        <f t="shared" si="5"/>
        <v>12.906849315068493</v>
      </c>
      <c r="G9" s="11">
        <v>8</v>
      </c>
      <c r="H9" s="20">
        <f t="shared" si="0"/>
        <v>0.11874999999999999</v>
      </c>
      <c r="I9" s="547">
        <v>475000</v>
      </c>
      <c r="J9" s="565">
        <v>23750</v>
      </c>
      <c r="K9" s="58">
        <v>0</v>
      </c>
      <c r="L9" s="55">
        <f t="shared" si="1"/>
        <v>475000</v>
      </c>
      <c r="M9" s="55">
        <f t="shared" si="2"/>
        <v>728026.96917808219</v>
      </c>
      <c r="N9" s="56">
        <f t="shared" si="6"/>
        <v>23750</v>
      </c>
      <c r="O9" s="57">
        <f t="shared" si="7"/>
        <v>23750</v>
      </c>
    </row>
    <row r="10" spans="2:15" ht="15.75">
      <c r="B10" s="54">
        <v>5</v>
      </c>
      <c r="C10" s="547" t="s">
        <v>64</v>
      </c>
      <c r="D10" s="552">
        <v>41621</v>
      </c>
      <c r="E10" s="19">
        <v>44470</v>
      </c>
      <c r="F10" s="564">
        <f t="shared" si="5"/>
        <v>7.8054794520547945</v>
      </c>
      <c r="G10" s="11">
        <v>15</v>
      </c>
      <c r="H10" s="20">
        <f t="shared" si="0"/>
        <v>6.3333333333333325E-2</v>
      </c>
      <c r="I10" s="547">
        <v>2360112</v>
      </c>
      <c r="J10" s="565">
        <v>723788.99074074079</v>
      </c>
      <c r="K10" s="58">
        <v>0</v>
      </c>
      <c r="L10" s="55">
        <f t="shared" si="1"/>
        <v>2360112</v>
      </c>
      <c r="M10" s="55">
        <f t="shared" si="2"/>
        <v>1166714.3623013697</v>
      </c>
      <c r="N10" s="56">
        <f t="shared" si="6"/>
        <v>1193397.6376986303</v>
      </c>
      <c r="O10" s="57">
        <f t="shared" si="7"/>
        <v>1074057.8739287674</v>
      </c>
    </row>
    <row r="11" spans="2:15" ht="15.75">
      <c r="B11" s="54">
        <v>6</v>
      </c>
      <c r="C11" s="551" t="s">
        <v>65</v>
      </c>
      <c r="D11" s="553">
        <v>43556</v>
      </c>
      <c r="E11" s="19">
        <v>44470</v>
      </c>
      <c r="F11" s="564">
        <f t="shared" si="5"/>
        <v>2.504109589041096</v>
      </c>
      <c r="G11" s="11">
        <v>8</v>
      </c>
      <c r="H11" s="20">
        <f t="shared" si="0"/>
        <v>0.11874999999999999</v>
      </c>
      <c r="I11" s="554">
        <v>65500</v>
      </c>
      <c r="J11" s="565">
        <v>53053.105207064553</v>
      </c>
      <c r="K11" s="58">
        <v>0</v>
      </c>
      <c r="L11" s="55">
        <f t="shared" si="1"/>
        <v>65500</v>
      </c>
      <c r="M11" s="55">
        <f t="shared" si="2"/>
        <v>19477.277397260277</v>
      </c>
      <c r="N11" s="56">
        <f t="shared" si="6"/>
        <v>46022.722602739726</v>
      </c>
      <c r="O11" s="57">
        <f t="shared" si="7"/>
        <v>41420.450342465752</v>
      </c>
    </row>
    <row r="12" spans="2:15" ht="15.75">
      <c r="B12" s="54">
        <v>7</v>
      </c>
      <c r="C12" s="551" t="s">
        <v>66</v>
      </c>
      <c r="D12" s="553">
        <v>43718</v>
      </c>
      <c r="E12" s="19">
        <v>44470</v>
      </c>
      <c r="F12" s="564">
        <f t="shared" si="5"/>
        <v>2.0602739726027397</v>
      </c>
      <c r="G12" s="11">
        <v>8</v>
      </c>
      <c r="H12" s="20">
        <f t="shared" si="0"/>
        <v>0.11874999999999999</v>
      </c>
      <c r="I12" s="554">
        <v>1804063</v>
      </c>
      <c r="J12" s="565">
        <v>1537122.6834997097</v>
      </c>
      <c r="K12" s="58">
        <v>0</v>
      </c>
      <c r="L12" s="55">
        <f t="shared" si="1"/>
        <v>1804063</v>
      </c>
      <c r="M12" s="55">
        <f t="shared" si="2"/>
        <v>441377.60520547943</v>
      </c>
      <c r="N12" s="56">
        <f t="shared" si="6"/>
        <v>1362685.3947945205</v>
      </c>
      <c r="O12" s="57">
        <f t="shared" si="7"/>
        <v>1226416.8553150685</v>
      </c>
    </row>
    <row r="13" spans="2:15" ht="16.5" thickBot="1">
      <c r="B13" s="54">
        <v>8</v>
      </c>
      <c r="C13" s="551" t="s">
        <v>67</v>
      </c>
      <c r="D13" s="553">
        <v>43799</v>
      </c>
      <c r="E13" s="19">
        <v>44470</v>
      </c>
      <c r="F13" s="564">
        <f t="shared" si="5"/>
        <v>1.8383561643835618</v>
      </c>
      <c r="G13" s="11">
        <v>8</v>
      </c>
      <c r="H13" s="20">
        <f t="shared" si="0"/>
        <v>0.11874999999999999</v>
      </c>
      <c r="I13" s="554">
        <v>41945.31</v>
      </c>
      <c r="J13" s="565">
        <v>36620.966319109721</v>
      </c>
      <c r="K13" s="58">
        <v>0</v>
      </c>
      <c r="L13" s="55">
        <f t="shared" si="1"/>
        <v>41945.31</v>
      </c>
      <c r="M13" s="55">
        <f t="shared" si="2"/>
        <v>9156.8622806506846</v>
      </c>
      <c r="N13" s="56">
        <f t="shared" si="6"/>
        <v>32788.447719349315</v>
      </c>
      <c r="O13" s="57">
        <f t="shared" si="7"/>
        <v>29509.602947414383</v>
      </c>
    </row>
    <row r="14" spans="2:15" s="23" customFormat="1" ht="15.75" thickBot="1">
      <c r="B14" s="695" t="s">
        <v>13</v>
      </c>
      <c r="C14" s="696"/>
      <c r="D14" s="696"/>
      <c r="E14" s="696"/>
      <c r="F14" s="696"/>
      <c r="G14" s="696"/>
      <c r="H14" s="697"/>
      <c r="I14" s="571">
        <f>SUM(I6:I13)</f>
        <v>6954999.3099999996</v>
      </c>
      <c r="J14" s="572">
        <f>SUM(J6:J13)</f>
        <v>2462086.0657666246</v>
      </c>
      <c r="K14" s="60"/>
      <c r="L14" s="59">
        <f>SUM(L6:L13)</f>
        <v>6954999.3099999996</v>
      </c>
      <c r="M14" s="59">
        <f>SUM(M6:M13)</f>
        <v>4953576.5047258548</v>
      </c>
      <c r="N14" s="59">
        <f>SUM(N6:N13)</f>
        <v>2769063.15281524</v>
      </c>
      <c r="O14" s="59">
        <f>SUM(O6:O13)</f>
        <v>2505573.7325337161</v>
      </c>
    </row>
    <row r="15" spans="2:15">
      <c r="B15" s="12"/>
      <c r="C15" s="12"/>
      <c r="D15" s="12"/>
      <c r="E15" s="12"/>
      <c r="F15" s="12"/>
      <c r="G15" s="12"/>
      <c r="H15" s="12"/>
      <c r="I15" s="10"/>
      <c r="J15" s="10"/>
      <c r="K15" s="39"/>
      <c r="L15" s="10"/>
      <c r="M15" s="10"/>
      <c r="N15" s="10"/>
      <c r="O15" s="10"/>
    </row>
    <row r="16" spans="2:15">
      <c r="B16" s="10"/>
      <c r="C16" s="10"/>
      <c r="D16" s="10"/>
      <c r="E16" s="10"/>
      <c r="F16" s="10"/>
      <c r="G16" s="10"/>
      <c r="H16" s="10"/>
      <c r="I16" s="10"/>
      <c r="J16" s="10"/>
      <c r="K16" s="39"/>
      <c r="L16" s="10"/>
      <c r="M16" s="10"/>
      <c r="N16" s="10"/>
      <c r="O16" s="10"/>
    </row>
    <row r="17" spans="2:15">
      <c r="B17" s="10"/>
      <c r="C17" s="10"/>
      <c r="D17" s="10"/>
      <c r="E17" s="10"/>
      <c r="F17" s="10"/>
      <c r="G17" s="10"/>
      <c r="H17" s="10"/>
      <c r="I17" s="10"/>
      <c r="J17" s="10"/>
      <c r="K17" s="39"/>
      <c r="L17" s="10"/>
      <c r="M17" s="10"/>
      <c r="N17" s="10"/>
      <c r="O17" s="10"/>
    </row>
    <row r="18" spans="2:15">
      <c r="B18" s="10"/>
      <c r="C18" s="10"/>
      <c r="D18" s="10"/>
      <c r="E18" s="10"/>
      <c r="F18" s="10"/>
      <c r="G18" s="10"/>
      <c r="H18" s="10"/>
      <c r="I18" s="10"/>
      <c r="J18" s="10"/>
      <c r="K18" s="39"/>
      <c r="L18" s="10"/>
      <c r="M18" s="10"/>
      <c r="N18" s="10"/>
      <c r="O18" s="10"/>
    </row>
    <row r="19" spans="2:15">
      <c r="B19" s="10"/>
      <c r="C19" s="10"/>
      <c r="D19" s="10"/>
      <c r="E19" s="10"/>
      <c r="F19" s="10"/>
      <c r="G19" s="10"/>
      <c r="H19" s="10"/>
      <c r="I19" s="10"/>
      <c r="J19" s="10"/>
      <c r="K19" s="39"/>
      <c r="L19" s="10"/>
      <c r="M19" s="10"/>
      <c r="N19" s="10"/>
      <c r="O19" s="10"/>
    </row>
    <row r="20" spans="2:15">
      <c r="B20" s="10"/>
      <c r="C20" s="10"/>
      <c r="D20" s="10"/>
      <c r="E20" s="10"/>
      <c r="F20" s="10"/>
      <c r="G20" s="10"/>
      <c r="H20" s="10"/>
      <c r="I20" s="10"/>
      <c r="J20" s="10"/>
      <c r="K20" s="39"/>
      <c r="L20" s="10"/>
      <c r="M20" s="10"/>
      <c r="N20" s="10"/>
      <c r="O20" s="10"/>
    </row>
    <row r="21" spans="2:15">
      <c r="B21" s="10"/>
      <c r="C21" s="10"/>
      <c r="D21" s="10"/>
      <c r="E21" s="10"/>
      <c r="F21" s="10"/>
      <c r="G21" s="10"/>
      <c r="H21" s="10"/>
      <c r="I21" s="10"/>
      <c r="J21" s="10"/>
      <c r="K21" s="39"/>
      <c r="L21" s="10"/>
      <c r="M21" s="10"/>
      <c r="N21" s="10"/>
      <c r="O21" s="10"/>
    </row>
    <row r="22" spans="2:15">
      <c r="B22" s="10"/>
      <c r="C22" s="10"/>
      <c r="D22" s="10"/>
      <c r="E22" s="10"/>
      <c r="F22" s="10"/>
      <c r="G22" s="10"/>
      <c r="H22" s="10"/>
      <c r="I22" s="10"/>
      <c r="J22" s="10"/>
      <c r="K22" s="39"/>
      <c r="L22" s="10"/>
      <c r="M22" s="10"/>
      <c r="N22" s="10"/>
      <c r="O22" s="10"/>
    </row>
    <row r="23" spans="2:15">
      <c r="B23" s="10"/>
      <c r="C23" s="10"/>
      <c r="D23" s="10"/>
      <c r="E23" s="10"/>
      <c r="F23" s="10"/>
      <c r="G23" s="10"/>
      <c r="H23" s="10"/>
      <c r="I23" s="10"/>
      <c r="J23" s="10"/>
      <c r="K23" s="39"/>
      <c r="L23" s="10"/>
      <c r="M23" s="10"/>
      <c r="N23" s="10"/>
      <c r="O23" s="10"/>
    </row>
    <row r="24" spans="2:15">
      <c r="B24" s="10"/>
      <c r="C24" s="10"/>
      <c r="D24" s="10"/>
      <c r="E24" s="10"/>
      <c r="F24" s="10"/>
      <c r="G24" s="10"/>
      <c r="H24" s="10"/>
      <c r="I24" s="10"/>
      <c r="J24" s="10"/>
      <c r="K24" s="39"/>
      <c r="L24" s="10"/>
      <c r="M24" s="10"/>
      <c r="N24" s="10"/>
      <c r="O24" s="10"/>
    </row>
    <row r="25" spans="2:15">
      <c r="B25" s="10"/>
      <c r="C25" s="10"/>
      <c r="D25" s="10"/>
      <c r="E25" s="10"/>
      <c r="F25" s="10"/>
      <c r="G25" s="10"/>
      <c r="H25" s="10"/>
      <c r="I25" s="10"/>
      <c r="J25" s="10"/>
      <c r="K25" s="39"/>
      <c r="L25" s="10"/>
      <c r="M25" s="10"/>
      <c r="N25" s="10"/>
      <c r="O25" s="10"/>
    </row>
    <row r="26" spans="2:15">
      <c r="B26" s="10"/>
      <c r="C26" s="10"/>
      <c r="D26" s="10"/>
      <c r="E26" s="10"/>
      <c r="F26" s="10"/>
      <c r="G26" s="10"/>
      <c r="H26" s="10"/>
      <c r="I26" s="10"/>
      <c r="J26" s="10"/>
      <c r="K26" s="39"/>
      <c r="L26" s="10"/>
      <c r="M26" s="10"/>
      <c r="N26" s="10"/>
      <c r="O26" s="10"/>
    </row>
    <row r="27" spans="2:15">
      <c r="B27" s="10"/>
      <c r="C27" s="10"/>
      <c r="D27" s="10"/>
      <c r="E27" s="10"/>
      <c r="F27" s="10"/>
      <c r="G27" s="10"/>
      <c r="H27" s="10"/>
      <c r="I27" s="10"/>
      <c r="J27" s="10"/>
      <c r="K27" s="39"/>
      <c r="L27" s="10"/>
      <c r="M27" s="10"/>
      <c r="N27" s="10"/>
      <c r="O27" s="10"/>
    </row>
    <row r="28" spans="2:15">
      <c r="B28" s="10"/>
      <c r="C28" s="10"/>
      <c r="D28" s="10"/>
      <c r="E28" s="10"/>
      <c r="F28" s="10"/>
      <c r="G28" s="10"/>
      <c r="H28" s="10"/>
      <c r="I28" s="10"/>
      <c r="J28" s="10"/>
      <c r="K28" s="39"/>
      <c r="L28" s="10"/>
      <c r="M28" s="10"/>
      <c r="N28" s="10"/>
      <c r="O28" s="10"/>
    </row>
    <row r="29" spans="2:15">
      <c r="B29" s="10"/>
      <c r="C29" s="10"/>
      <c r="D29" s="10"/>
      <c r="E29" s="10"/>
      <c r="F29" s="10"/>
      <c r="G29" s="10"/>
      <c r="H29" s="10"/>
      <c r="I29" s="10"/>
      <c r="J29" s="10"/>
      <c r="K29" s="39"/>
      <c r="L29" s="10"/>
      <c r="M29" s="10"/>
      <c r="N29" s="10"/>
      <c r="O29" s="10"/>
    </row>
    <row r="30" spans="2:15">
      <c r="B30" s="10"/>
      <c r="C30" s="10"/>
      <c r="D30" s="10"/>
      <c r="E30" s="10"/>
      <c r="F30" s="10"/>
      <c r="G30" s="10"/>
      <c r="H30" s="10"/>
      <c r="I30" s="10"/>
      <c r="J30" s="10"/>
      <c r="K30" s="39"/>
      <c r="L30" s="10"/>
      <c r="M30" s="10"/>
      <c r="N30" s="10"/>
      <c r="O30" s="10"/>
    </row>
    <row r="31" spans="2:15">
      <c r="B31" s="10"/>
      <c r="C31" s="10"/>
      <c r="D31" s="10"/>
      <c r="E31" s="10"/>
      <c r="F31" s="10"/>
      <c r="G31" s="10"/>
      <c r="H31" s="10"/>
      <c r="I31" s="10"/>
      <c r="J31" s="10"/>
      <c r="K31" s="39"/>
      <c r="L31" s="10"/>
      <c r="M31" s="10"/>
      <c r="N31" s="10"/>
      <c r="O31" s="10"/>
    </row>
    <row r="32" spans="2:15">
      <c r="B32" s="10"/>
      <c r="C32" s="10"/>
      <c r="D32" s="10"/>
      <c r="E32" s="10"/>
      <c r="F32" s="10"/>
      <c r="G32" s="10"/>
      <c r="H32" s="10"/>
      <c r="I32" s="10"/>
      <c r="J32" s="10"/>
      <c r="K32" s="39"/>
      <c r="L32" s="10"/>
      <c r="M32" s="10"/>
      <c r="N32" s="10"/>
      <c r="O32" s="10"/>
    </row>
    <row r="33" spans="2:15">
      <c r="B33" s="10"/>
      <c r="C33" s="10"/>
      <c r="D33" s="10"/>
      <c r="E33" s="10"/>
      <c r="F33" s="10"/>
      <c r="G33" s="10"/>
      <c r="H33" s="10"/>
      <c r="I33" s="10"/>
      <c r="J33" s="10"/>
      <c r="K33" s="39"/>
      <c r="L33" s="10"/>
      <c r="M33" s="10"/>
      <c r="N33" s="10"/>
      <c r="O33" s="10"/>
    </row>
    <row r="34" spans="2:15">
      <c r="B34" s="10"/>
      <c r="C34" s="10"/>
      <c r="D34" s="10"/>
      <c r="E34" s="10"/>
      <c r="F34" s="10"/>
      <c r="G34" s="10"/>
      <c r="H34" s="10"/>
      <c r="I34" s="10"/>
      <c r="J34" s="10"/>
      <c r="K34" s="39"/>
      <c r="L34" s="10"/>
      <c r="M34" s="10"/>
      <c r="N34" s="10"/>
      <c r="O34" s="10"/>
    </row>
    <row r="35" spans="2:15">
      <c r="B35" s="10"/>
      <c r="C35" s="10"/>
      <c r="D35" s="10"/>
      <c r="E35" s="10"/>
      <c r="F35" s="10"/>
      <c r="G35" s="10"/>
      <c r="H35" s="10"/>
      <c r="I35" s="10"/>
      <c r="J35" s="10"/>
      <c r="K35" s="39"/>
      <c r="L35" s="10"/>
      <c r="M35" s="10"/>
      <c r="N35" s="10"/>
      <c r="O35" s="10"/>
    </row>
    <row r="36" spans="2:15">
      <c r="B36" s="10"/>
      <c r="C36" s="10"/>
      <c r="D36" s="10"/>
      <c r="E36" s="10"/>
      <c r="F36" s="10"/>
      <c r="G36" s="10"/>
      <c r="H36" s="10"/>
      <c r="I36" s="10"/>
      <c r="J36" s="10"/>
      <c r="K36" s="39"/>
      <c r="L36" s="10"/>
      <c r="M36" s="10"/>
      <c r="N36" s="10"/>
      <c r="O36" s="10"/>
    </row>
    <row r="37" spans="2:15">
      <c r="B37" s="10"/>
      <c r="C37" s="10"/>
      <c r="D37" s="10"/>
      <c r="E37" s="10"/>
      <c r="F37" s="10"/>
      <c r="G37" s="10"/>
      <c r="H37" s="10"/>
      <c r="I37" s="10"/>
      <c r="J37" s="10"/>
      <c r="K37" s="39"/>
      <c r="L37" s="10"/>
      <c r="M37" s="10"/>
      <c r="N37" s="10"/>
      <c r="O37" s="10"/>
    </row>
    <row r="38" spans="2:15">
      <c r="B38" s="10"/>
      <c r="C38" s="10"/>
      <c r="D38" s="10"/>
      <c r="E38" s="10"/>
      <c r="F38" s="10"/>
      <c r="G38" s="10"/>
      <c r="H38" s="10"/>
      <c r="I38" s="10"/>
      <c r="J38" s="10"/>
      <c r="K38" s="39"/>
      <c r="L38" s="10"/>
      <c r="M38" s="10"/>
      <c r="N38" s="10"/>
      <c r="O38" s="10"/>
    </row>
    <row r="39" spans="2:15">
      <c r="B39" s="10"/>
      <c r="C39" s="10"/>
      <c r="D39" s="10"/>
      <c r="E39" s="10"/>
      <c r="F39" s="10"/>
      <c r="G39" s="10"/>
      <c r="H39" s="10"/>
      <c r="I39" s="10"/>
      <c r="J39" s="10"/>
      <c r="K39" s="39"/>
      <c r="L39" s="10"/>
      <c r="M39" s="10"/>
      <c r="N39" s="10"/>
      <c r="O39" s="10"/>
    </row>
    <row r="40" spans="2:15">
      <c r="B40" s="10"/>
      <c r="C40" s="10"/>
      <c r="D40" s="10"/>
      <c r="E40" s="10"/>
      <c r="F40" s="10"/>
      <c r="G40" s="10"/>
      <c r="H40" s="10"/>
      <c r="I40" s="10"/>
      <c r="J40" s="10"/>
      <c r="K40" s="39"/>
      <c r="L40" s="10"/>
      <c r="M40" s="10"/>
      <c r="N40" s="10"/>
      <c r="O40" s="10"/>
    </row>
    <row r="41" spans="2:15">
      <c r="B41" s="10"/>
      <c r="C41" s="10"/>
      <c r="D41" s="10"/>
      <c r="E41" s="10"/>
      <c r="F41" s="10"/>
      <c r="G41" s="10"/>
      <c r="H41" s="10"/>
      <c r="I41" s="10"/>
      <c r="J41" s="10"/>
      <c r="K41" s="39"/>
      <c r="L41" s="10"/>
      <c r="M41" s="10"/>
      <c r="N41" s="10"/>
      <c r="O41" s="10"/>
    </row>
    <row r="42" spans="2:15">
      <c r="B42" s="10"/>
      <c r="C42" s="10"/>
      <c r="D42" s="10"/>
      <c r="E42" s="10"/>
      <c r="F42" s="10"/>
      <c r="G42" s="10"/>
      <c r="H42" s="10"/>
      <c r="I42" s="10"/>
      <c r="J42" s="10"/>
      <c r="K42" s="39"/>
      <c r="L42" s="10"/>
      <c r="M42" s="10"/>
      <c r="N42" s="10"/>
      <c r="O42" s="10"/>
    </row>
    <row r="43" spans="2:15">
      <c r="B43" s="10"/>
      <c r="C43" s="10"/>
      <c r="D43" s="10"/>
      <c r="E43" s="10"/>
      <c r="F43" s="10"/>
      <c r="G43" s="10"/>
      <c r="H43" s="10"/>
      <c r="I43" s="10"/>
      <c r="J43" s="10"/>
      <c r="K43" s="39"/>
      <c r="L43" s="10"/>
      <c r="M43" s="10"/>
      <c r="N43" s="10"/>
      <c r="O43" s="10"/>
    </row>
    <row r="44" spans="2:15">
      <c r="B44" s="10"/>
      <c r="C44" s="10"/>
      <c r="D44" s="10"/>
      <c r="E44" s="10"/>
      <c r="F44" s="10"/>
      <c r="G44" s="10"/>
      <c r="H44" s="10"/>
      <c r="I44" s="10"/>
      <c r="J44" s="10"/>
      <c r="K44" s="39"/>
      <c r="L44" s="10"/>
      <c r="M44" s="10"/>
      <c r="N44" s="10"/>
      <c r="O44" s="10"/>
    </row>
    <row r="45" spans="2:15">
      <c r="B45" s="10"/>
      <c r="C45" s="10"/>
      <c r="D45" s="10"/>
      <c r="E45" s="10"/>
      <c r="F45" s="10"/>
      <c r="G45" s="10"/>
      <c r="H45" s="10"/>
      <c r="I45" s="10"/>
      <c r="J45" s="10"/>
      <c r="K45" s="39"/>
      <c r="L45" s="10"/>
      <c r="M45" s="10"/>
      <c r="N45" s="10"/>
      <c r="O45" s="10"/>
    </row>
    <row r="46" spans="2:15">
      <c r="B46" s="10"/>
      <c r="C46" s="10"/>
      <c r="D46" s="10"/>
      <c r="E46" s="10"/>
      <c r="F46" s="10"/>
      <c r="G46" s="10"/>
      <c r="H46" s="10"/>
      <c r="I46" s="10"/>
      <c r="J46" s="10"/>
      <c r="K46" s="39"/>
      <c r="L46" s="10"/>
      <c r="M46" s="10"/>
      <c r="N46" s="10"/>
      <c r="O46" s="10"/>
    </row>
    <row r="47" spans="2:15">
      <c r="B47" s="10"/>
      <c r="C47" s="10"/>
      <c r="D47" s="10"/>
      <c r="E47" s="10"/>
      <c r="F47" s="10"/>
      <c r="G47" s="10"/>
      <c r="H47" s="10"/>
      <c r="I47" s="10"/>
      <c r="J47" s="10"/>
      <c r="K47" s="39"/>
      <c r="L47" s="10"/>
      <c r="M47" s="10"/>
      <c r="N47" s="10"/>
      <c r="O47" s="10"/>
    </row>
    <row r="48" spans="2:15">
      <c r="B48" s="10"/>
      <c r="C48" s="10"/>
      <c r="D48" s="10"/>
      <c r="E48" s="10"/>
      <c r="F48" s="10"/>
      <c r="G48" s="10"/>
      <c r="H48" s="10"/>
      <c r="I48" s="10"/>
      <c r="J48" s="10"/>
      <c r="K48" s="39"/>
      <c r="L48" s="10"/>
      <c r="M48" s="10"/>
      <c r="N48" s="10"/>
      <c r="O48" s="10"/>
    </row>
    <row r="49" spans="2:15">
      <c r="B49" s="10"/>
      <c r="C49" s="10"/>
      <c r="D49" s="10"/>
      <c r="E49" s="10"/>
      <c r="F49" s="10"/>
      <c r="G49" s="10"/>
      <c r="H49" s="10"/>
      <c r="I49" s="10"/>
      <c r="J49" s="10"/>
      <c r="K49" s="39"/>
      <c r="L49" s="10"/>
      <c r="M49" s="10"/>
      <c r="N49" s="10"/>
      <c r="O49" s="10"/>
    </row>
    <row r="50" spans="2:15">
      <c r="B50" s="10"/>
      <c r="C50" s="10"/>
      <c r="D50" s="10"/>
      <c r="E50" s="10"/>
      <c r="F50" s="10"/>
      <c r="G50" s="10"/>
      <c r="H50" s="10"/>
      <c r="I50" s="10"/>
      <c r="J50" s="10"/>
      <c r="K50" s="39"/>
      <c r="L50" s="10"/>
      <c r="M50" s="10"/>
      <c r="N50" s="10"/>
      <c r="O50" s="10"/>
    </row>
    <row r="51" spans="2:15">
      <c r="B51" s="10"/>
      <c r="C51" s="10"/>
      <c r="D51" s="10"/>
      <c r="E51" s="10"/>
      <c r="F51" s="10"/>
      <c r="G51" s="10"/>
      <c r="H51" s="10"/>
      <c r="I51" s="10"/>
      <c r="J51" s="10"/>
      <c r="K51" s="39"/>
      <c r="L51" s="10"/>
      <c r="M51" s="10"/>
      <c r="N51" s="10"/>
      <c r="O51" s="10"/>
    </row>
    <row r="52" spans="2:15">
      <c r="B52" s="10"/>
      <c r="C52" s="10"/>
      <c r="D52" s="10"/>
      <c r="E52" s="10"/>
      <c r="F52" s="10"/>
      <c r="G52" s="10"/>
      <c r="H52" s="10"/>
      <c r="I52" s="10"/>
      <c r="J52" s="10"/>
      <c r="K52" s="39"/>
      <c r="L52" s="10"/>
      <c r="M52" s="10"/>
      <c r="N52" s="10"/>
      <c r="O52" s="10"/>
    </row>
    <row r="53" spans="2:15">
      <c r="B53" s="10"/>
      <c r="C53" s="10"/>
      <c r="D53" s="10"/>
      <c r="E53" s="10"/>
      <c r="F53" s="10"/>
      <c r="G53" s="10"/>
      <c r="H53" s="10"/>
      <c r="I53" s="10"/>
      <c r="J53" s="10"/>
      <c r="K53" s="39"/>
      <c r="L53" s="10"/>
      <c r="M53" s="10"/>
      <c r="N53" s="10"/>
      <c r="O53" s="10"/>
    </row>
    <row r="54" spans="2:15">
      <c r="B54" s="10"/>
      <c r="C54" s="10"/>
      <c r="D54" s="10"/>
      <c r="E54" s="10"/>
      <c r="F54" s="10"/>
      <c r="G54" s="10"/>
      <c r="H54" s="10"/>
      <c r="I54" s="10"/>
      <c r="J54" s="10"/>
      <c r="K54" s="39"/>
      <c r="L54" s="10"/>
      <c r="M54" s="10"/>
      <c r="N54" s="10"/>
      <c r="O54" s="10"/>
    </row>
    <row r="55" spans="2:15">
      <c r="B55" s="10"/>
      <c r="C55" s="10"/>
      <c r="D55" s="10"/>
      <c r="E55" s="10"/>
      <c r="F55" s="10"/>
      <c r="G55" s="10"/>
      <c r="H55" s="10"/>
      <c r="I55" s="10"/>
      <c r="J55" s="10"/>
      <c r="K55" s="39"/>
      <c r="L55" s="10"/>
      <c r="M55" s="10"/>
      <c r="N55" s="10"/>
      <c r="O55" s="10"/>
    </row>
    <row r="56" spans="2:15">
      <c r="B56" s="10"/>
      <c r="C56" s="10"/>
      <c r="D56" s="10"/>
      <c r="E56" s="10"/>
      <c r="F56" s="10"/>
      <c r="G56" s="10"/>
      <c r="H56" s="10"/>
      <c r="I56" s="10"/>
      <c r="J56" s="10"/>
      <c r="K56" s="39"/>
      <c r="L56" s="10"/>
      <c r="M56" s="10"/>
      <c r="N56" s="10"/>
      <c r="O56" s="10"/>
    </row>
    <row r="57" spans="2:15">
      <c r="B57" s="10"/>
      <c r="C57" s="10"/>
      <c r="D57" s="10"/>
      <c r="E57" s="10"/>
      <c r="F57" s="10"/>
      <c r="G57" s="10"/>
      <c r="H57" s="10"/>
      <c r="I57" s="10"/>
      <c r="J57" s="10"/>
      <c r="K57" s="39"/>
      <c r="L57" s="10"/>
      <c r="M57" s="10"/>
      <c r="N57" s="10"/>
      <c r="O57" s="10"/>
    </row>
    <row r="58" spans="2:15">
      <c r="B58" s="10"/>
      <c r="C58" s="10"/>
      <c r="D58" s="10"/>
      <c r="E58" s="10"/>
      <c r="F58" s="10"/>
      <c r="G58" s="10"/>
      <c r="H58" s="10"/>
      <c r="I58" s="10"/>
      <c r="J58" s="10"/>
      <c r="K58" s="39"/>
      <c r="L58" s="10"/>
      <c r="M58" s="10"/>
      <c r="N58" s="10"/>
      <c r="O58" s="10"/>
    </row>
    <row r="59" spans="2:15">
      <c r="B59" s="10"/>
      <c r="C59" s="10"/>
      <c r="D59" s="10"/>
      <c r="E59" s="10"/>
      <c r="F59" s="10"/>
      <c r="G59" s="10"/>
      <c r="H59" s="10"/>
      <c r="I59" s="10"/>
      <c r="J59" s="10"/>
      <c r="K59" s="39"/>
      <c r="L59" s="10"/>
      <c r="M59" s="10"/>
      <c r="N59" s="10"/>
      <c r="O59" s="10"/>
    </row>
    <row r="60" spans="2:15">
      <c r="B60" s="10"/>
      <c r="C60" s="10"/>
      <c r="D60" s="10"/>
      <c r="E60" s="10"/>
      <c r="F60" s="10"/>
      <c r="G60" s="10"/>
      <c r="H60" s="10"/>
      <c r="I60" s="10"/>
      <c r="J60" s="10"/>
      <c r="K60" s="39"/>
      <c r="L60" s="10"/>
      <c r="M60" s="10"/>
      <c r="N60" s="10"/>
      <c r="O60" s="10"/>
    </row>
    <row r="61" spans="2:15">
      <c r="B61" s="10"/>
      <c r="C61" s="10"/>
      <c r="D61" s="10"/>
      <c r="E61" s="10"/>
      <c r="F61" s="10"/>
      <c r="G61" s="10"/>
      <c r="H61" s="10"/>
      <c r="I61" s="10"/>
      <c r="J61" s="10"/>
      <c r="K61" s="39"/>
      <c r="L61" s="10"/>
      <c r="M61" s="10"/>
      <c r="N61" s="10"/>
      <c r="O61" s="10"/>
    </row>
    <row r="62" spans="2:15">
      <c r="B62" s="10"/>
      <c r="C62" s="10"/>
      <c r="D62" s="10"/>
      <c r="E62" s="10"/>
      <c r="F62" s="10"/>
      <c r="G62" s="10"/>
      <c r="H62" s="10"/>
      <c r="I62" s="10"/>
      <c r="J62" s="10"/>
      <c r="K62" s="39"/>
      <c r="L62" s="10"/>
      <c r="M62" s="10"/>
      <c r="N62" s="10"/>
      <c r="O62" s="10"/>
    </row>
    <row r="63" spans="2:15">
      <c r="B63" s="10"/>
      <c r="C63" s="10"/>
      <c r="D63" s="10"/>
      <c r="E63" s="10"/>
      <c r="F63" s="10"/>
      <c r="G63" s="10"/>
      <c r="H63" s="10"/>
      <c r="I63" s="10"/>
      <c r="J63" s="10"/>
      <c r="K63" s="39"/>
      <c r="L63" s="10"/>
      <c r="M63" s="10"/>
      <c r="N63" s="10"/>
      <c r="O63" s="10"/>
    </row>
    <row r="64" spans="2:15">
      <c r="B64" s="10"/>
      <c r="C64" s="10"/>
      <c r="D64" s="10"/>
      <c r="E64" s="10"/>
      <c r="F64" s="10"/>
      <c r="G64" s="10"/>
      <c r="H64" s="10"/>
      <c r="I64" s="10"/>
      <c r="J64" s="10"/>
      <c r="K64" s="39"/>
      <c r="L64" s="10"/>
      <c r="M64" s="10"/>
      <c r="N64" s="10"/>
      <c r="O64" s="10"/>
    </row>
    <row r="65" spans="2:15">
      <c r="B65" s="10"/>
      <c r="C65" s="10"/>
      <c r="D65" s="10"/>
      <c r="E65" s="10"/>
      <c r="F65" s="10"/>
      <c r="G65" s="10"/>
      <c r="H65" s="10"/>
      <c r="I65" s="10"/>
      <c r="J65" s="10"/>
      <c r="K65" s="39"/>
      <c r="L65" s="10"/>
      <c r="M65" s="10"/>
      <c r="N65" s="10"/>
      <c r="O65" s="10"/>
    </row>
    <row r="66" spans="2:15">
      <c r="B66" s="10"/>
      <c r="C66" s="10"/>
      <c r="D66" s="10"/>
      <c r="E66" s="10"/>
      <c r="F66" s="10"/>
      <c r="G66" s="10"/>
      <c r="H66" s="10"/>
      <c r="I66" s="10"/>
      <c r="J66" s="10"/>
      <c r="K66" s="39"/>
      <c r="L66" s="10"/>
      <c r="M66" s="10"/>
      <c r="N66" s="10"/>
      <c r="O66" s="10"/>
    </row>
    <row r="67" spans="2:15">
      <c r="B67" s="10"/>
      <c r="C67" s="10"/>
      <c r="D67" s="10"/>
      <c r="E67" s="10"/>
      <c r="F67" s="10"/>
      <c r="G67" s="10"/>
      <c r="H67" s="10"/>
      <c r="I67" s="10"/>
      <c r="J67" s="10"/>
      <c r="K67" s="39"/>
      <c r="L67" s="10"/>
      <c r="M67" s="10"/>
      <c r="N67" s="10"/>
      <c r="O67" s="10"/>
    </row>
    <row r="68" spans="2:15">
      <c r="B68" s="10"/>
      <c r="C68" s="10"/>
      <c r="D68" s="10"/>
      <c r="E68" s="10"/>
      <c r="F68" s="10"/>
      <c r="G68" s="10"/>
      <c r="H68" s="10"/>
      <c r="I68" s="10"/>
      <c r="J68" s="10"/>
      <c r="K68" s="39"/>
      <c r="L68" s="10"/>
      <c r="M68" s="10"/>
      <c r="N68" s="10"/>
      <c r="O68" s="10"/>
    </row>
    <row r="69" spans="2:15">
      <c r="B69" s="10"/>
      <c r="C69" s="10"/>
      <c r="D69" s="10"/>
      <c r="E69" s="10"/>
      <c r="F69" s="10"/>
      <c r="G69" s="10"/>
      <c r="H69" s="10"/>
      <c r="I69" s="10"/>
      <c r="J69" s="10"/>
      <c r="K69" s="39"/>
      <c r="L69" s="10"/>
      <c r="M69" s="10"/>
      <c r="N69" s="10"/>
      <c r="O69" s="10"/>
    </row>
    <row r="70" spans="2:15">
      <c r="B70" s="10"/>
      <c r="C70" s="10"/>
      <c r="D70" s="10"/>
      <c r="E70" s="10"/>
      <c r="F70" s="10"/>
      <c r="G70" s="10"/>
      <c r="H70" s="10"/>
      <c r="I70" s="10"/>
      <c r="J70" s="10"/>
      <c r="K70" s="39"/>
      <c r="L70" s="10"/>
      <c r="M70" s="10"/>
      <c r="N70" s="10"/>
      <c r="O70" s="10"/>
    </row>
    <row r="71" spans="2:15">
      <c r="B71" s="10"/>
      <c r="C71" s="10"/>
      <c r="D71" s="10"/>
      <c r="E71" s="10"/>
      <c r="F71" s="10"/>
      <c r="G71" s="10"/>
      <c r="H71" s="10"/>
      <c r="I71" s="10"/>
      <c r="J71" s="10"/>
      <c r="K71" s="39"/>
      <c r="L71" s="10"/>
      <c r="M71" s="10"/>
      <c r="N71" s="10"/>
      <c r="O71" s="10"/>
    </row>
    <row r="72" spans="2:15">
      <c r="B72" s="10"/>
      <c r="C72" s="10"/>
      <c r="D72" s="10"/>
      <c r="E72" s="10"/>
      <c r="F72" s="10"/>
      <c r="G72" s="10"/>
      <c r="H72" s="10"/>
      <c r="I72" s="10"/>
      <c r="J72" s="10"/>
      <c r="K72" s="39"/>
      <c r="L72" s="10"/>
      <c r="M72" s="10"/>
      <c r="N72" s="10"/>
      <c r="O72" s="10"/>
    </row>
    <row r="73" spans="2:15">
      <c r="B73" s="10"/>
      <c r="C73" s="10"/>
      <c r="D73" s="10"/>
      <c r="E73" s="10"/>
      <c r="F73" s="10"/>
      <c r="G73" s="10"/>
      <c r="H73" s="10"/>
      <c r="I73" s="10"/>
      <c r="J73" s="10"/>
      <c r="K73" s="39"/>
      <c r="L73" s="10"/>
      <c r="M73" s="10"/>
      <c r="N73" s="10"/>
      <c r="O73" s="10"/>
    </row>
    <row r="74" spans="2:15">
      <c r="B74" s="10"/>
      <c r="C74" s="10"/>
      <c r="D74" s="10"/>
      <c r="E74" s="10"/>
      <c r="F74" s="10"/>
      <c r="G74" s="10"/>
      <c r="H74" s="10"/>
      <c r="I74" s="10"/>
      <c r="J74" s="10"/>
      <c r="K74" s="39"/>
      <c r="L74" s="10"/>
      <c r="M74" s="10"/>
      <c r="N74" s="10"/>
      <c r="O74" s="10"/>
    </row>
    <row r="75" spans="2:15">
      <c r="B75" s="10"/>
      <c r="C75" s="10"/>
      <c r="D75" s="10"/>
      <c r="E75" s="10"/>
      <c r="F75" s="10"/>
      <c r="G75" s="10"/>
      <c r="H75" s="10"/>
      <c r="I75" s="10"/>
      <c r="J75" s="10"/>
      <c r="K75" s="39"/>
      <c r="L75" s="10"/>
      <c r="M75" s="10"/>
      <c r="N75" s="10"/>
      <c r="O75" s="10"/>
    </row>
    <row r="76" spans="2:15">
      <c r="B76" s="10"/>
      <c r="C76" s="10"/>
      <c r="D76" s="10"/>
      <c r="E76" s="10"/>
      <c r="F76" s="10"/>
      <c r="G76" s="10"/>
      <c r="H76" s="10"/>
      <c r="I76" s="10"/>
      <c r="J76" s="10"/>
      <c r="K76" s="39"/>
      <c r="L76" s="10"/>
      <c r="M76" s="10"/>
      <c r="N76" s="10"/>
      <c r="O76" s="10"/>
    </row>
    <row r="77" spans="2:15">
      <c r="B77" s="10"/>
      <c r="C77" s="10"/>
      <c r="D77" s="10"/>
      <c r="E77" s="10"/>
      <c r="F77" s="10"/>
      <c r="G77" s="10"/>
      <c r="H77" s="10"/>
      <c r="I77" s="10"/>
      <c r="J77" s="10"/>
      <c r="K77" s="39"/>
      <c r="L77" s="10"/>
      <c r="M77" s="10"/>
      <c r="N77" s="10"/>
      <c r="O77" s="10"/>
    </row>
    <row r="78" spans="2:15">
      <c r="B78" s="10"/>
      <c r="C78" s="10"/>
      <c r="D78" s="10"/>
      <c r="E78" s="10"/>
      <c r="F78" s="10"/>
      <c r="G78" s="10"/>
      <c r="H78" s="10"/>
      <c r="I78" s="10"/>
      <c r="J78" s="10"/>
      <c r="K78" s="39"/>
      <c r="L78" s="10"/>
      <c r="M78" s="10"/>
      <c r="N78" s="10"/>
      <c r="O78" s="10"/>
    </row>
    <row r="79" spans="2:15">
      <c r="B79" s="10"/>
      <c r="C79" s="10"/>
      <c r="D79" s="10"/>
      <c r="E79" s="10"/>
      <c r="F79" s="10"/>
      <c r="G79" s="10"/>
      <c r="H79" s="10"/>
      <c r="I79" s="10"/>
      <c r="J79" s="10"/>
      <c r="K79" s="39"/>
      <c r="L79" s="10"/>
      <c r="M79" s="10"/>
      <c r="N79" s="10"/>
      <c r="O79" s="10"/>
    </row>
    <row r="80" spans="2:15">
      <c r="B80" s="10"/>
      <c r="C80" s="10"/>
      <c r="D80" s="10"/>
      <c r="E80" s="10"/>
      <c r="F80" s="10"/>
      <c r="G80" s="10"/>
      <c r="H80" s="10"/>
      <c r="I80" s="10"/>
      <c r="J80" s="10"/>
      <c r="K80" s="39"/>
      <c r="L80" s="10"/>
      <c r="M80" s="10"/>
      <c r="N80" s="10"/>
      <c r="O80" s="10"/>
    </row>
    <row r="81" spans="2:15">
      <c r="B81" s="10"/>
      <c r="C81" s="10"/>
      <c r="D81" s="10"/>
      <c r="E81" s="10"/>
      <c r="F81" s="10"/>
      <c r="G81" s="10"/>
      <c r="H81" s="10"/>
      <c r="I81" s="10"/>
      <c r="J81" s="10"/>
      <c r="K81" s="39"/>
      <c r="L81" s="10"/>
      <c r="M81" s="10"/>
      <c r="N81" s="10"/>
      <c r="O81" s="10"/>
    </row>
    <row r="82" spans="2:15">
      <c r="B82" s="10"/>
      <c r="C82" s="10"/>
      <c r="D82" s="10"/>
      <c r="E82" s="10"/>
      <c r="F82" s="10"/>
      <c r="G82" s="10"/>
      <c r="H82" s="10"/>
      <c r="I82" s="10"/>
      <c r="J82" s="10"/>
      <c r="K82" s="39"/>
      <c r="L82" s="10"/>
      <c r="M82" s="10"/>
      <c r="N82" s="10"/>
      <c r="O82" s="10"/>
    </row>
    <row r="83" spans="2:15">
      <c r="B83" s="10"/>
      <c r="C83" s="10"/>
      <c r="D83" s="10"/>
      <c r="E83" s="10"/>
      <c r="F83" s="10"/>
      <c r="G83" s="10"/>
      <c r="H83" s="10"/>
      <c r="I83" s="10"/>
      <c r="J83" s="10"/>
      <c r="K83" s="39"/>
      <c r="L83" s="10"/>
      <c r="M83" s="10"/>
      <c r="N83" s="10"/>
      <c r="O83" s="10"/>
    </row>
    <row r="84" spans="2:15">
      <c r="B84" s="10"/>
      <c r="C84" s="10"/>
      <c r="D84" s="10"/>
      <c r="E84" s="10"/>
      <c r="F84" s="10"/>
      <c r="G84" s="10"/>
      <c r="H84" s="10"/>
      <c r="I84" s="10"/>
      <c r="J84" s="10"/>
      <c r="K84" s="39"/>
      <c r="L84" s="10"/>
      <c r="M84" s="10"/>
      <c r="N84" s="10"/>
      <c r="O84" s="10"/>
    </row>
    <row r="85" spans="2:15">
      <c r="B85" s="10"/>
      <c r="C85" s="10"/>
      <c r="D85" s="10"/>
      <c r="E85" s="10"/>
      <c r="F85" s="10"/>
      <c r="G85" s="10"/>
      <c r="H85" s="10"/>
      <c r="I85" s="10"/>
      <c r="J85" s="10"/>
      <c r="K85" s="39"/>
      <c r="L85" s="10"/>
      <c r="M85" s="10"/>
      <c r="N85" s="10"/>
      <c r="O85" s="10"/>
    </row>
    <row r="86" spans="2:15">
      <c r="B86" s="10"/>
      <c r="C86" s="10"/>
      <c r="D86" s="10"/>
      <c r="E86" s="10"/>
      <c r="F86" s="10"/>
      <c r="G86" s="10"/>
      <c r="H86" s="10"/>
      <c r="I86" s="10"/>
      <c r="J86" s="10"/>
      <c r="K86" s="39"/>
      <c r="L86" s="10"/>
      <c r="M86" s="10"/>
      <c r="N86" s="10"/>
      <c r="O86" s="10"/>
    </row>
    <row r="87" spans="2:15">
      <c r="B87" s="10"/>
      <c r="C87" s="10"/>
      <c r="D87" s="10"/>
      <c r="E87" s="10"/>
      <c r="F87" s="10"/>
      <c r="G87" s="10"/>
      <c r="H87" s="10"/>
      <c r="I87" s="10"/>
      <c r="J87" s="10"/>
      <c r="K87" s="39"/>
      <c r="L87" s="10"/>
      <c r="M87" s="10"/>
      <c r="N87" s="10"/>
      <c r="O87" s="10"/>
    </row>
    <row r="88" spans="2:15">
      <c r="B88" s="10"/>
      <c r="C88" s="10"/>
      <c r="D88" s="10"/>
      <c r="E88" s="10"/>
      <c r="F88" s="10"/>
      <c r="G88" s="10"/>
      <c r="H88" s="10"/>
      <c r="I88" s="10"/>
      <c r="J88" s="10"/>
      <c r="K88" s="39"/>
      <c r="L88" s="10"/>
      <c r="M88" s="10"/>
      <c r="N88" s="10"/>
      <c r="O88" s="10"/>
    </row>
    <row r="89" spans="2:15">
      <c r="B89" s="10"/>
      <c r="C89" s="10"/>
      <c r="D89" s="10"/>
      <c r="E89" s="10"/>
      <c r="F89" s="10"/>
      <c r="G89" s="10"/>
      <c r="H89" s="10"/>
      <c r="I89" s="10"/>
      <c r="J89" s="10"/>
      <c r="K89" s="39"/>
      <c r="L89" s="10"/>
      <c r="M89" s="10"/>
      <c r="N89" s="10"/>
      <c r="O89" s="10"/>
    </row>
    <row r="90" spans="2:15">
      <c r="B90" s="10"/>
      <c r="C90" s="10"/>
      <c r="D90" s="10"/>
      <c r="E90" s="10"/>
      <c r="F90" s="10"/>
      <c r="G90" s="10"/>
      <c r="H90" s="10"/>
      <c r="I90" s="10"/>
      <c r="J90" s="10"/>
      <c r="K90" s="39"/>
      <c r="L90" s="10"/>
      <c r="M90" s="10"/>
      <c r="N90" s="10"/>
      <c r="O90" s="10"/>
    </row>
    <row r="91" spans="2:15">
      <c r="B91" s="10"/>
      <c r="C91" s="10"/>
      <c r="D91" s="10"/>
      <c r="E91" s="10"/>
      <c r="F91" s="10"/>
      <c r="G91" s="10"/>
      <c r="H91" s="10"/>
      <c r="I91" s="10"/>
      <c r="J91" s="10"/>
      <c r="K91" s="39"/>
      <c r="L91" s="10"/>
      <c r="M91" s="10"/>
      <c r="N91" s="10"/>
      <c r="O91" s="10"/>
    </row>
    <row r="92" spans="2:15">
      <c r="B92" s="10"/>
      <c r="C92" s="10"/>
      <c r="D92" s="10"/>
      <c r="E92" s="10"/>
      <c r="F92" s="10"/>
      <c r="G92" s="10"/>
      <c r="H92" s="10"/>
      <c r="I92" s="10"/>
      <c r="J92" s="10"/>
      <c r="K92" s="39"/>
      <c r="L92" s="10"/>
      <c r="M92" s="10"/>
      <c r="N92" s="10"/>
      <c r="O92" s="10"/>
    </row>
    <row r="93" spans="2:15">
      <c r="B93" s="10"/>
      <c r="C93" s="10"/>
      <c r="D93" s="10"/>
      <c r="E93" s="10"/>
      <c r="F93" s="10"/>
      <c r="G93" s="10"/>
      <c r="H93" s="10"/>
      <c r="I93" s="10"/>
      <c r="J93" s="10"/>
      <c r="K93" s="39"/>
      <c r="L93" s="10"/>
      <c r="M93" s="10"/>
      <c r="N93" s="10"/>
      <c r="O93" s="10"/>
    </row>
    <row r="94" spans="2:15">
      <c r="B94" s="10"/>
      <c r="C94" s="10"/>
      <c r="D94" s="10"/>
      <c r="E94" s="10"/>
      <c r="F94" s="10"/>
      <c r="G94" s="10"/>
      <c r="H94" s="10"/>
      <c r="I94" s="10"/>
      <c r="J94" s="10"/>
      <c r="K94" s="39"/>
      <c r="L94" s="10"/>
      <c r="M94" s="10"/>
      <c r="N94" s="10"/>
      <c r="O94" s="10"/>
    </row>
    <row r="95" spans="2:15">
      <c r="B95" s="10"/>
      <c r="C95" s="10"/>
      <c r="D95" s="10"/>
      <c r="E95" s="10"/>
      <c r="F95" s="10"/>
      <c r="G95" s="10"/>
      <c r="H95" s="10"/>
      <c r="I95" s="10"/>
      <c r="J95" s="10"/>
      <c r="K95" s="39"/>
      <c r="L95" s="10"/>
      <c r="M95" s="10"/>
      <c r="N95" s="10"/>
      <c r="O95" s="10"/>
    </row>
    <row r="96" spans="2:15">
      <c r="B96" s="10"/>
      <c r="C96" s="10"/>
      <c r="D96" s="10"/>
      <c r="E96" s="10"/>
      <c r="F96" s="10"/>
      <c r="G96" s="10"/>
      <c r="H96" s="10"/>
      <c r="I96" s="10"/>
      <c r="J96" s="10"/>
      <c r="K96" s="39"/>
      <c r="L96" s="10"/>
      <c r="M96" s="10"/>
      <c r="N96" s="10"/>
      <c r="O96" s="10"/>
    </row>
    <row r="97" spans="2:15">
      <c r="B97" s="10"/>
      <c r="C97" s="10"/>
      <c r="D97" s="10"/>
      <c r="E97" s="10"/>
      <c r="F97" s="10"/>
      <c r="G97" s="10"/>
      <c r="H97" s="10"/>
      <c r="I97" s="10"/>
      <c r="J97" s="10"/>
      <c r="K97" s="39"/>
      <c r="L97" s="10"/>
      <c r="M97" s="10"/>
      <c r="N97" s="10"/>
      <c r="O97" s="10"/>
    </row>
    <row r="98" spans="2:15">
      <c r="B98" s="10"/>
      <c r="C98" s="10"/>
      <c r="D98" s="10"/>
      <c r="E98" s="10"/>
      <c r="F98" s="10"/>
      <c r="G98" s="10"/>
      <c r="H98" s="10"/>
      <c r="I98" s="10"/>
      <c r="J98" s="10"/>
      <c r="K98" s="39"/>
      <c r="L98" s="10"/>
      <c r="M98" s="10"/>
      <c r="N98" s="10"/>
      <c r="O98" s="10"/>
    </row>
    <row r="99" spans="2:15">
      <c r="B99" s="10"/>
      <c r="C99" s="10"/>
      <c r="D99" s="10"/>
      <c r="E99" s="10"/>
      <c r="F99" s="10"/>
      <c r="G99" s="10"/>
      <c r="H99" s="10"/>
      <c r="I99" s="10"/>
      <c r="J99" s="10"/>
      <c r="K99" s="39"/>
      <c r="L99" s="10"/>
      <c r="M99" s="10"/>
      <c r="N99" s="10"/>
      <c r="O99" s="10"/>
    </row>
    <row r="100" spans="2:15">
      <c r="B100" s="10"/>
      <c r="C100" s="10"/>
      <c r="D100" s="10"/>
      <c r="E100" s="10"/>
      <c r="F100" s="10"/>
      <c r="G100" s="10"/>
      <c r="H100" s="10"/>
      <c r="I100" s="10"/>
      <c r="J100" s="10"/>
      <c r="K100" s="39"/>
      <c r="L100" s="10"/>
      <c r="M100" s="10"/>
      <c r="N100" s="10"/>
      <c r="O100" s="10"/>
    </row>
    <row r="101" spans="2:15">
      <c r="B101" s="10"/>
      <c r="C101" s="10"/>
      <c r="D101" s="10"/>
      <c r="E101" s="10"/>
      <c r="F101" s="10"/>
      <c r="G101" s="10"/>
      <c r="H101" s="10"/>
      <c r="I101" s="10"/>
      <c r="J101" s="10"/>
      <c r="K101" s="39"/>
      <c r="L101" s="10"/>
      <c r="M101" s="10"/>
      <c r="N101" s="10"/>
      <c r="O101" s="10"/>
    </row>
    <row r="102" spans="2:15">
      <c r="B102" s="10"/>
      <c r="C102" s="10"/>
      <c r="D102" s="10"/>
      <c r="E102" s="10"/>
      <c r="F102" s="10"/>
      <c r="G102" s="10"/>
      <c r="H102" s="10"/>
      <c r="I102" s="10"/>
      <c r="J102" s="10"/>
      <c r="K102" s="39"/>
      <c r="L102" s="10"/>
      <c r="M102" s="10"/>
      <c r="N102" s="10"/>
      <c r="O102" s="10"/>
    </row>
    <row r="103" spans="2:15">
      <c r="B103" s="10"/>
      <c r="C103" s="10"/>
      <c r="D103" s="10"/>
      <c r="E103" s="10"/>
      <c r="F103" s="10"/>
      <c r="G103" s="10"/>
      <c r="H103" s="10"/>
      <c r="I103" s="10"/>
      <c r="J103" s="10"/>
      <c r="K103" s="39"/>
      <c r="L103" s="10"/>
      <c r="M103" s="10"/>
      <c r="N103" s="10"/>
      <c r="O103" s="10"/>
    </row>
    <row r="104" spans="2:15">
      <c r="B104" s="10"/>
      <c r="C104" s="10"/>
      <c r="D104" s="10"/>
      <c r="E104" s="10"/>
      <c r="F104" s="10"/>
      <c r="G104" s="10"/>
      <c r="H104" s="10"/>
      <c r="I104" s="10"/>
      <c r="J104" s="10"/>
      <c r="K104" s="39"/>
      <c r="L104" s="10"/>
      <c r="M104" s="10"/>
      <c r="N104" s="10"/>
      <c r="O104" s="10"/>
    </row>
    <row r="105" spans="2:15">
      <c r="B105" s="10"/>
      <c r="C105" s="10"/>
      <c r="D105" s="10"/>
      <c r="E105" s="10"/>
      <c r="F105" s="10"/>
      <c r="G105" s="10"/>
      <c r="H105" s="10"/>
      <c r="I105" s="10"/>
      <c r="J105" s="10"/>
      <c r="K105" s="39"/>
      <c r="L105" s="10"/>
      <c r="M105" s="10"/>
      <c r="N105" s="10"/>
      <c r="O105" s="10"/>
    </row>
    <row r="106" spans="2:15">
      <c r="B106" s="10"/>
      <c r="C106" s="10"/>
      <c r="D106" s="10"/>
      <c r="E106" s="10"/>
      <c r="F106" s="10"/>
      <c r="G106" s="10"/>
      <c r="H106" s="10"/>
      <c r="I106" s="10"/>
      <c r="J106" s="10"/>
      <c r="K106" s="39"/>
      <c r="L106" s="10"/>
      <c r="M106" s="10"/>
      <c r="N106" s="10"/>
      <c r="O106" s="10"/>
    </row>
    <row r="107" spans="2:15">
      <c r="B107" s="10"/>
      <c r="C107" s="10"/>
      <c r="D107" s="10"/>
      <c r="E107" s="10"/>
      <c r="F107" s="10"/>
      <c r="G107" s="10"/>
      <c r="H107" s="10"/>
      <c r="I107" s="10"/>
      <c r="J107" s="10"/>
      <c r="K107" s="39"/>
      <c r="L107" s="10"/>
      <c r="M107" s="10"/>
      <c r="N107" s="10"/>
      <c r="O107" s="10"/>
    </row>
    <row r="108" spans="2:15">
      <c r="B108" s="10"/>
      <c r="C108" s="10"/>
      <c r="D108" s="10"/>
      <c r="E108" s="10"/>
      <c r="F108" s="10"/>
      <c r="G108" s="10"/>
      <c r="H108" s="10"/>
      <c r="I108" s="10"/>
      <c r="J108" s="10"/>
      <c r="K108" s="39"/>
      <c r="L108" s="10"/>
      <c r="M108" s="10"/>
      <c r="N108" s="10"/>
      <c r="O108" s="10"/>
    </row>
    <row r="109" spans="2:15">
      <c r="B109" s="10"/>
      <c r="C109" s="10"/>
      <c r="D109" s="10"/>
      <c r="E109" s="10"/>
      <c r="F109" s="10"/>
      <c r="G109" s="10"/>
      <c r="H109" s="10"/>
      <c r="I109" s="10"/>
      <c r="J109" s="10"/>
      <c r="K109" s="39"/>
      <c r="L109" s="10"/>
      <c r="M109" s="10"/>
      <c r="N109" s="10"/>
      <c r="O109" s="10"/>
    </row>
    <row r="110" spans="2:15">
      <c r="B110" s="10"/>
      <c r="C110" s="10"/>
      <c r="D110" s="10"/>
      <c r="E110" s="10"/>
      <c r="F110" s="10"/>
      <c r="G110" s="10"/>
      <c r="H110" s="10"/>
      <c r="I110" s="10"/>
      <c r="J110" s="10"/>
      <c r="K110" s="39"/>
      <c r="L110" s="10"/>
      <c r="M110" s="10"/>
      <c r="N110" s="10"/>
      <c r="O110" s="10"/>
    </row>
    <row r="111" spans="2:15">
      <c r="B111" s="10"/>
      <c r="C111" s="10"/>
      <c r="D111" s="10"/>
      <c r="E111" s="10"/>
      <c r="F111" s="10"/>
      <c r="G111" s="10"/>
      <c r="H111" s="10"/>
      <c r="I111" s="10"/>
      <c r="J111" s="10"/>
      <c r="K111" s="39"/>
      <c r="L111" s="10"/>
      <c r="M111" s="10"/>
      <c r="N111" s="10"/>
      <c r="O111" s="10"/>
    </row>
    <row r="112" spans="2:15">
      <c r="B112" s="10"/>
      <c r="C112" s="10"/>
      <c r="D112" s="10"/>
      <c r="E112" s="10"/>
      <c r="F112" s="10"/>
      <c r="G112" s="10"/>
      <c r="H112" s="10"/>
      <c r="I112" s="10"/>
      <c r="J112" s="10"/>
      <c r="K112" s="39"/>
      <c r="L112" s="10"/>
      <c r="M112" s="10"/>
      <c r="N112" s="10"/>
      <c r="O112" s="10"/>
    </row>
    <row r="113" spans="2:15">
      <c r="B113" s="10"/>
      <c r="C113" s="10"/>
      <c r="D113" s="10"/>
      <c r="E113" s="10"/>
      <c r="F113" s="10"/>
      <c r="G113" s="10"/>
      <c r="H113" s="10"/>
      <c r="I113" s="10"/>
      <c r="J113" s="10"/>
      <c r="K113" s="39"/>
      <c r="L113" s="10"/>
      <c r="M113" s="10"/>
      <c r="N113" s="10"/>
      <c r="O113" s="10"/>
    </row>
    <row r="114" spans="2:15">
      <c r="B114" s="10"/>
      <c r="C114" s="10"/>
      <c r="D114" s="10"/>
      <c r="E114" s="10"/>
      <c r="F114" s="10"/>
      <c r="G114" s="10"/>
      <c r="H114" s="10"/>
      <c r="I114" s="10"/>
      <c r="J114" s="10"/>
      <c r="K114" s="39"/>
      <c r="L114" s="10"/>
      <c r="M114" s="10"/>
      <c r="N114" s="10"/>
      <c r="O114" s="10"/>
    </row>
    <row r="115" spans="2:15">
      <c r="B115" s="10"/>
      <c r="C115" s="10"/>
      <c r="D115" s="10"/>
      <c r="E115" s="10"/>
      <c r="F115" s="10"/>
      <c r="G115" s="10"/>
      <c r="H115" s="10"/>
      <c r="I115" s="10"/>
      <c r="J115" s="10"/>
      <c r="K115" s="39"/>
      <c r="L115" s="10"/>
      <c r="M115" s="10"/>
      <c r="N115" s="10"/>
      <c r="O115" s="10"/>
    </row>
    <row r="116" spans="2:15">
      <c r="B116" s="10"/>
      <c r="C116" s="10"/>
      <c r="D116" s="10"/>
      <c r="E116" s="10"/>
      <c r="F116" s="10"/>
      <c r="G116" s="10"/>
      <c r="H116" s="10"/>
      <c r="I116" s="10"/>
      <c r="J116" s="10"/>
      <c r="K116" s="39"/>
      <c r="L116" s="10"/>
      <c r="M116" s="10"/>
      <c r="N116" s="10"/>
      <c r="O116" s="10"/>
    </row>
    <row r="117" spans="2:15">
      <c r="B117" s="10"/>
      <c r="C117" s="10"/>
      <c r="D117" s="10"/>
      <c r="E117" s="10"/>
      <c r="F117" s="10"/>
      <c r="G117" s="10"/>
      <c r="H117" s="10"/>
      <c r="I117" s="10"/>
      <c r="J117" s="10"/>
      <c r="K117" s="39"/>
      <c r="L117" s="10"/>
      <c r="M117" s="10"/>
      <c r="N117" s="10"/>
      <c r="O117" s="10"/>
    </row>
    <row r="118" spans="2:15">
      <c r="B118" s="10"/>
      <c r="C118" s="10"/>
      <c r="D118" s="10"/>
      <c r="E118" s="10"/>
      <c r="F118" s="10"/>
      <c r="G118" s="10"/>
      <c r="H118" s="10"/>
      <c r="I118" s="10"/>
      <c r="J118" s="10"/>
      <c r="K118" s="39"/>
      <c r="L118" s="10"/>
      <c r="M118" s="10"/>
      <c r="N118" s="10"/>
      <c r="O118" s="10"/>
    </row>
    <row r="119" spans="2:15">
      <c r="B119" s="10"/>
      <c r="C119" s="10"/>
      <c r="D119" s="10"/>
      <c r="E119" s="10"/>
      <c r="F119" s="10"/>
      <c r="G119" s="10"/>
      <c r="H119" s="10"/>
      <c r="I119" s="10"/>
      <c r="J119" s="10"/>
      <c r="K119" s="39"/>
      <c r="L119" s="10"/>
      <c r="M119" s="10"/>
      <c r="N119" s="10"/>
      <c r="O119" s="10"/>
    </row>
    <row r="120" spans="2:15">
      <c r="B120" s="10"/>
      <c r="C120" s="10"/>
      <c r="D120" s="10"/>
      <c r="E120" s="10"/>
      <c r="F120" s="10"/>
      <c r="G120" s="10"/>
      <c r="H120" s="10"/>
      <c r="I120" s="10"/>
      <c r="J120" s="10"/>
      <c r="K120" s="39"/>
      <c r="L120" s="10"/>
      <c r="M120" s="10"/>
      <c r="N120" s="10"/>
      <c r="O120" s="10"/>
    </row>
    <row r="121" spans="2:15">
      <c r="B121" s="10"/>
      <c r="C121" s="10"/>
      <c r="D121" s="10"/>
      <c r="E121" s="10"/>
      <c r="F121" s="10"/>
      <c r="G121" s="10"/>
      <c r="H121" s="10"/>
      <c r="I121" s="10"/>
      <c r="J121" s="10"/>
      <c r="K121" s="39"/>
      <c r="L121" s="10"/>
      <c r="M121" s="10"/>
      <c r="N121" s="10"/>
      <c r="O121" s="10"/>
    </row>
    <row r="122" spans="2:15">
      <c r="B122" s="10"/>
      <c r="C122" s="10"/>
      <c r="D122" s="10"/>
      <c r="E122" s="10"/>
      <c r="F122" s="10"/>
      <c r="G122" s="10"/>
      <c r="H122" s="10"/>
      <c r="I122" s="10"/>
      <c r="J122" s="10"/>
      <c r="K122" s="39"/>
      <c r="L122" s="10"/>
      <c r="M122" s="10"/>
      <c r="N122" s="10"/>
      <c r="O122" s="10"/>
    </row>
    <row r="123" spans="2:15">
      <c r="B123" s="10"/>
      <c r="C123" s="10"/>
      <c r="D123" s="10"/>
      <c r="E123" s="10"/>
      <c r="F123" s="10"/>
      <c r="G123" s="10"/>
      <c r="H123" s="10"/>
      <c r="I123" s="10"/>
      <c r="J123" s="10"/>
      <c r="K123" s="39"/>
      <c r="L123" s="10"/>
      <c r="M123" s="10"/>
      <c r="N123" s="10"/>
      <c r="O123" s="10"/>
    </row>
    <row r="124" spans="2:15">
      <c r="B124" s="10"/>
      <c r="C124" s="10"/>
      <c r="D124" s="10"/>
      <c r="E124" s="10"/>
      <c r="F124" s="10"/>
      <c r="G124" s="10"/>
      <c r="H124" s="10"/>
      <c r="I124" s="10"/>
      <c r="J124" s="10"/>
      <c r="K124" s="39"/>
      <c r="L124" s="10"/>
      <c r="M124" s="10"/>
      <c r="N124" s="10"/>
      <c r="O124" s="10"/>
    </row>
    <row r="125" spans="2:15">
      <c r="B125" s="10"/>
      <c r="C125" s="10"/>
      <c r="D125" s="10"/>
      <c r="E125" s="10"/>
      <c r="F125" s="10"/>
      <c r="G125" s="10"/>
      <c r="H125" s="10"/>
      <c r="I125" s="10"/>
      <c r="J125" s="10"/>
      <c r="K125" s="39"/>
      <c r="L125" s="10"/>
      <c r="M125" s="10"/>
      <c r="N125" s="10"/>
      <c r="O125" s="10"/>
    </row>
    <row r="126" spans="2:15">
      <c r="B126" s="10"/>
      <c r="C126" s="10"/>
      <c r="D126" s="10"/>
      <c r="E126" s="10"/>
      <c r="F126" s="10"/>
      <c r="G126" s="10"/>
      <c r="H126" s="10"/>
      <c r="I126" s="10"/>
      <c r="J126" s="10"/>
      <c r="K126" s="39"/>
      <c r="L126" s="10"/>
      <c r="M126" s="10"/>
      <c r="N126" s="10"/>
      <c r="O126" s="10"/>
    </row>
    <row r="127" spans="2:15">
      <c r="B127" s="10"/>
      <c r="C127" s="10"/>
      <c r="D127" s="10"/>
      <c r="E127" s="10"/>
      <c r="F127" s="10"/>
      <c r="G127" s="10"/>
      <c r="H127" s="10"/>
      <c r="I127" s="10"/>
      <c r="J127" s="10"/>
      <c r="K127" s="39"/>
      <c r="L127" s="10"/>
      <c r="M127" s="10"/>
      <c r="N127" s="10"/>
      <c r="O127" s="10"/>
    </row>
    <row r="128" spans="2:15">
      <c r="B128" s="10"/>
      <c r="C128" s="10"/>
      <c r="D128" s="10"/>
      <c r="E128" s="10"/>
      <c r="F128" s="10"/>
      <c r="G128" s="10"/>
      <c r="H128" s="10"/>
      <c r="I128" s="10"/>
      <c r="J128" s="10"/>
      <c r="K128" s="39"/>
      <c r="L128" s="10"/>
      <c r="M128" s="10"/>
      <c r="N128" s="10"/>
      <c r="O128" s="10"/>
    </row>
    <row r="129" spans="2:15">
      <c r="B129" s="10"/>
      <c r="C129" s="10"/>
      <c r="D129" s="10"/>
      <c r="E129" s="10"/>
      <c r="F129" s="10"/>
      <c r="G129" s="10"/>
      <c r="H129" s="10"/>
      <c r="I129" s="10"/>
      <c r="J129" s="10"/>
      <c r="K129" s="39"/>
      <c r="L129" s="10"/>
      <c r="M129" s="10"/>
      <c r="N129" s="10"/>
      <c r="O129" s="10"/>
    </row>
    <row r="130" spans="2:15">
      <c r="B130" s="10"/>
      <c r="C130" s="10"/>
      <c r="D130" s="10"/>
      <c r="E130" s="10"/>
      <c r="F130" s="10"/>
      <c r="G130" s="10"/>
      <c r="H130" s="10"/>
      <c r="I130" s="10"/>
      <c r="J130" s="10"/>
      <c r="K130" s="39"/>
      <c r="L130" s="10"/>
      <c r="M130" s="10"/>
      <c r="N130" s="10"/>
      <c r="O130" s="10"/>
    </row>
    <row r="131" spans="2:15">
      <c r="B131" s="10"/>
      <c r="C131" s="10"/>
      <c r="D131" s="10"/>
      <c r="E131" s="10"/>
      <c r="F131" s="10"/>
      <c r="G131" s="10"/>
      <c r="H131" s="10"/>
      <c r="I131" s="10"/>
      <c r="J131" s="10"/>
      <c r="K131" s="39"/>
      <c r="L131" s="10"/>
      <c r="M131" s="10"/>
      <c r="N131" s="10"/>
      <c r="O131" s="10"/>
    </row>
    <row r="132" spans="2:15">
      <c r="B132" s="10"/>
      <c r="C132" s="10"/>
      <c r="D132" s="10"/>
      <c r="E132" s="10"/>
      <c r="F132" s="10"/>
      <c r="G132" s="10"/>
      <c r="H132" s="10"/>
      <c r="I132" s="10"/>
      <c r="J132" s="10"/>
      <c r="K132" s="39"/>
      <c r="L132" s="10"/>
      <c r="M132" s="10"/>
      <c r="N132" s="10"/>
      <c r="O132" s="10"/>
    </row>
    <row r="133" spans="2:15">
      <c r="B133" s="10"/>
      <c r="C133" s="10"/>
      <c r="D133" s="10"/>
      <c r="E133" s="10"/>
      <c r="F133" s="10"/>
      <c r="G133" s="10"/>
      <c r="H133" s="10"/>
      <c r="I133" s="10"/>
      <c r="J133" s="10"/>
      <c r="K133" s="39"/>
      <c r="L133" s="10"/>
      <c r="M133" s="10"/>
      <c r="N133" s="10"/>
      <c r="O133" s="10"/>
    </row>
    <row r="134" spans="2:15">
      <c r="B134" s="10"/>
      <c r="C134" s="10"/>
      <c r="D134" s="10"/>
      <c r="E134" s="10"/>
      <c r="F134" s="10"/>
      <c r="G134" s="10"/>
      <c r="H134" s="10"/>
      <c r="I134" s="10"/>
      <c r="J134" s="10"/>
      <c r="K134" s="39"/>
      <c r="L134" s="10"/>
      <c r="M134" s="10"/>
      <c r="N134" s="10"/>
      <c r="O134" s="10"/>
    </row>
    <row r="135" spans="2:15">
      <c r="B135" s="10"/>
      <c r="C135" s="10"/>
      <c r="D135" s="10"/>
      <c r="E135" s="10"/>
      <c r="F135" s="10"/>
      <c r="G135" s="10"/>
      <c r="H135" s="10"/>
      <c r="I135" s="10"/>
      <c r="J135" s="10"/>
      <c r="K135" s="39"/>
      <c r="L135" s="10"/>
      <c r="M135" s="10"/>
      <c r="N135" s="10"/>
      <c r="O135" s="10"/>
    </row>
    <row r="136" spans="2:15">
      <c r="B136" s="10"/>
      <c r="C136" s="10"/>
      <c r="D136" s="10"/>
      <c r="E136" s="10"/>
      <c r="F136" s="10"/>
      <c r="G136" s="10"/>
      <c r="H136" s="10"/>
      <c r="I136" s="10"/>
      <c r="J136" s="10"/>
      <c r="K136" s="39"/>
      <c r="L136" s="10"/>
      <c r="M136" s="10"/>
      <c r="N136" s="10"/>
      <c r="O136" s="10"/>
    </row>
    <row r="137" spans="2:15">
      <c r="B137" s="10"/>
      <c r="C137" s="10"/>
      <c r="D137" s="10"/>
      <c r="E137" s="10"/>
      <c r="F137" s="10"/>
      <c r="G137" s="10"/>
      <c r="H137" s="10"/>
      <c r="I137" s="10"/>
      <c r="J137" s="10"/>
      <c r="K137" s="39"/>
      <c r="L137" s="10"/>
      <c r="M137" s="10"/>
      <c r="N137" s="10"/>
      <c r="O137" s="10"/>
    </row>
    <row r="138" spans="2:15">
      <c r="B138" s="10"/>
      <c r="C138" s="10"/>
      <c r="D138" s="10"/>
      <c r="E138" s="10"/>
      <c r="F138" s="10"/>
      <c r="G138" s="10"/>
      <c r="H138" s="10"/>
      <c r="I138" s="10"/>
      <c r="J138" s="10"/>
      <c r="K138" s="39"/>
      <c r="L138" s="10"/>
      <c r="M138" s="10"/>
      <c r="N138" s="10"/>
      <c r="O138" s="10"/>
    </row>
    <row r="139" spans="2:15">
      <c r="B139" s="10"/>
      <c r="C139" s="10"/>
      <c r="D139" s="10"/>
      <c r="E139" s="10"/>
      <c r="F139" s="10"/>
      <c r="G139" s="10"/>
      <c r="H139" s="10"/>
      <c r="I139" s="10"/>
      <c r="J139" s="10"/>
      <c r="K139" s="39"/>
      <c r="L139" s="10"/>
      <c r="M139" s="10"/>
      <c r="N139" s="10"/>
      <c r="O139" s="10"/>
    </row>
    <row r="140" spans="2:15">
      <c r="B140" s="10"/>
      <c r="C140" s="10"/>
      <c r="D140" s="10"/>
      <c r="E140" s="10"/>
      <c r="F140" s="10"/>
      <c r="G140" s="10"/>
      <c r="H140" s="10"/>
      <c r="I140" s="10"/>
      <c r="J140" s="10"/>
      <c r="K140" s="39"/>
      <c r="L140" s="10"/>
      <c r="M140" s="10"/>
      <c r="N140" s="10"/>
      <c r="O140" s="10"/>
    </row>
    <row r="141" spans="2:15">
      <c r="B141" s="10"/>
      <c r="C141" s="10"/>
      <c r="D141" s="10"/>
      <c r="E141" s="10"/>
      <c r="F141" s="10"/>
      <c r="G141" s="10"/>
      <c r="H141" s="10"/>
      <c r="I141" s="10"/>
      <c r="J141" s="10"/>
      <c r="K141" s="39"/>
      <c r="L141" s="10"/>
      <c r="M141" s="10"/>
      <c r="N141" s="10"/>
      <c r="O141" s="10"/>
    </row>
    <row r="142" spans="2:15">
      <c r="B142" s="10"/>
      <c r="C142" s="10"/>
      <c r="D142" s="10"/>
      <c r="E142" s="10"/>
      <c r="F142" s="10"/>
      <c r="G142" s="10"/>
      <c r="H142" s="10"/>
      <c r="I142" s="10"/>
      <c r="J142" s="10"/>
      <c r="K142" s="39"/>
      <c r="L142" s="10"/>
      <c r="M142" s="10"/>
      <c r="N142" s="10"/>
      <c r="O142" s="10"/>
    </row>
    <row r="143" spans="2:15">
      <c r="B143" s="10"/>
      <c r="C143" s="10"/>
      <c r="D143" s="10"/>
      <c r="E143" s="10"/>
      <c r="F143" s="10"/>
      <c r="G143" s="10"/>
      <c r="H143" s="10"/>
      <c r="I143" s="10"/>
      <c r="J143" s="10"/>
      <c r="K143" s="39"/>
      <c r="L143" s="10"/>
      <c r="M143" s="10"/>
      <c r="N143" s="10"/>
      <c r="O143" s="10"/>
    </row>
    <row r="144" spans="2:15">
      <c r="B144" s="10"/>
      <c r="C144" s="10"/>
      <c r="D144" s="10"/>
      <c r="E144" s="10"/>
      <c r="F144" s="10"/>
      <c r="G144" s="10"/>
      <c r="H144" s="10"/>
      <c r="I144" s="10"/>
      <c r="J144" s="10"/>
      <c r="K144" s="39"/>
      <c r="L144" s="10"/>
      <c r="M144" s="10"/>
      <c r="N144" s="10"/>
      <c r="O144" s="10"/>
    </row>
    <row r="145" spans="2:15">
      <c r="B145" s="10"/>
      <c r="C145" s="10"/>
      <c r="D145" s="10"/>
      <c r="E145" s="10"/>
      <c r="F145" s="10"/>
      <c r="G145" s="10"/>
      <c r="H145" s="10"/>
      <c r="I145" s="10"/>
      <c r="J145" s="10"/>
      <c r="K145" s="39"/>
      <c r="L145" s="10"/>
      <c r="M145" s="10"/>
      <c r="N145" s="10"/>
      <c r="O145" s="10"/>
    </row>
    <row r="146" spans="2:15">
      <c r="B146" s="10"/>
      <c r="C146" s="10"/>
      <c r="D146" s="10"/>
      <c r="E146" s="10"/>
      <c r="F146" s="10"/>
      <c r="G146" s="10"/>
      <c r="H146" s="10"/>
      <c r="I146" s="10"/>
      <c r="J146" s="10"/>
      <c r="K146" s="39"/>
      <c r="L146" s="10"/>
      <c r="M146" s="10"/>
      <c r="N146" s="10"/>
      <c r="O146" s="10"/>
    </row>
    <row r="147" spans="2:15">
      <c r="B147" s="10"/>
      <c r="C147" s="10"/>
      <c r="D147" s="10"/>
      <c r="E147" s="10"/>
      <c r="F147" s="10"/>
      <c r="G147" s="10"/>
      <c r="H147" s="10"/>
      <c r="I147" s="10"/>
      <c r="J147" s="10"/>
      <c r="K147" s="39"/>
      <c r="L147" s="10"/>
      <c r="M147" s="10"/>
      <c r="N147" s="10"/>
      <c r="O147" s="10"/>
    </row>
    <row r="148" spans="2:15">
      <c r="B148" s="10"/>
      <c r="C148" s="10"/>
      <c r="D148" s="10"/>
      <c r="E148" s="10"/>
      <c r="F148" s="10"/>
      <c r="G148" s="10"/>
      <c r="H148" s="10"/>
      <c r="I148" s="10"/>
      <c r="J148" s="10"/>
      <c r="K148" s="39"/>
      <c r="L148" s="10"/>
      <c r="M148" s="10"/>
      <c r="N148" s="10"/>
      <c r="O148" s="10"/>
    </row>
    <row r="149" spans="2:15">
      <c r="B149" s="10"/>
      <c r="C149" s="10"/>
      <c r="D149" s="10"/>
      <c r="E149" s="10"/>
      <c r="F149" s="10"/>
      <c r="G149" s="10"/>
      <c r="H149" s="10"/>
      <c r="I149" s="10"/>
      <c r="J149" s="10"/>
      <c r="K149" s="39"/>
      <c r="L149" s="10"/>
      <c r="M149" s="10"/>
      <c r="N149" s="10"/>
      <c r="O149" s="10"/>
    </row>
    <row r="150" spans="2:15">
      <c r="B150" s="10"/>
      <c r="C150" s="10"/>
      <c r="D150" s="10"/>
      <c r="E150" s="10"/>
      <c r="F150" s="10"/>
      <c r="G150" s="10"/>
      <c r="H150" s="10"/>
      <c r="I150" s="10"/>
      <c r="J150" s="10"/>
      <c r="K150" s="39"/>
      <c r="L150" s="10"/>
      <c r="M150" s="10"/>
      <c r="N150" s="10"/>
      <c r="O150" s="10"/>
    </row>
    <row r="151" spans="2:15">
      <c r="B151" s="10"/>
      <c r="C151" s="10"/>
      <c r="D151" s="10"/>
      <c r="E151" s="10"/>
      <c r="F151" s="10"/>
      <c r="G151" s="10"/>
      <c r="H151" s="10"/>
      <c r="I151" s="10"/>
      <c r="J151" s="10"/>
      <c r="K151" s="39"/>
      <c r="L151" s="10"/>
      <c r="M151" s="10"/>
      <c r="N151" s="10"/>
      <c r="O151" s="10"/>
    </row>
    <row r="152" spans="2:15">
      <c r="B152" s="10"/>
      <c r="C152" s="10"/>
      <c r="D152" s="10"/>
      <c r="E152" s="10"/>
      <c r="F152" s="10"/>
      <c r="G152" s="10"/>
      <c r="H152" s="10"/>
      <c r="I152" s="10"/>
      <c r="J152" s="10"/>
      <c r="K152" s="39"/>
      <c r="L152" s="10"/>
      <c r="M152" s="10"/>
      <c r="N152" s="10"/>
      <c r="O152" s="10"/>
    </row>
    <row r="153" spans="2:15">
      <c r="B153" s="10"/>
      <c r="C153" s="10"/>
      <c r="D153" s="10"/>
      <c r="E153" s="10"/>
      <c r="F153" s="10"/>
      <c r="G153" s="10"/>
      <c r="H153" s="10"/>
      <c r="I153" s="10"/>
      <c r="J153" s="10"/>
      <c r="K153" s="39"/>
      <c r="L153" s="10"/>
      <c r="M153" s="10"/>
      <c r="N153" s="10"/>
      <c r="O153" s="10"/>
    </row>
    <row r="154" spans="2:15">
      <c r="B154" s="10"/>
      <c r="C154" s="10"/>
      <c r="D154" s="10"/>
      <c r="E154" s="10"/>
      <c r="F154" s="10"/>
      <c r="G154" s="10"/>
      <c r="H154" s="10"/>
      <c r="I154" s="10"/>
      <c r="J154" s="10"/>
      <c r="K154" s="39"/>
      <c r="L154" s="10"/>
      <c r="M154" s="10"/>
      <c r="N154" s="10"/>
      <c r="O154" s="10"/>
    </row>
    <row r="155" spans="2:15">
      <c r="B155" s="10"/>
      <c r="C155" s="10"/>
      <c r="D155" s="10"/>
      <c r="E155" s="10"/>
      <c r="F155" s="10"/>
      <c r="G155" s="10"/>
      <c r="H155" s="10"/>
      <c r="I155" s="10"/>
      <c r="J155" s="10"/>
      <c r="K155" s="39"/>
      <c r="L155" s="10"/>
      <c r="M155" s="10"/>
      <c r="N155" s="10"/>
      <c r="O155" s="10"/>
    </row>
    <row r="156" spans="2:15">
      <c r="B156" s="10"/>
      <c r="C156" s="10"/>
      <c r="D156" s="10"/>
      <c r="E156" s="10"/>
      <c r="F156" s="10"/>
      <c r="G156" s="10"/>
      <c r="H156" s="10"/>
      <c r="I156" s="10"/>
      <c r="J156" s="10"/>
      <c r="K156" s="39"/>
      <c r="L156" s="10"/>
      <c r="M156" s="10"/>
      <c r="N156" s="10"/>
      <c r="O156" s="10"/>
    </row>
    <row r="157" spans="2:15">
      <c r="B157" s="10"/>
      <c r="C157" s="10"/>
      <c r="D157" s="10"/>
      <c r="E157" s="10"/>
      <c r="F157" s="10"/>
      <c r="G157" s="10"/>
      <c r="H157" s="10"/>
      <c r="I157" s="10"/>
      <c r="J157" s="10"/>
      <c r="K157" s="39"/>
      <c r="L157" s="10"/>
      <c r="M157" s="10"/>
      <c r="N157" s="10"/>
      <c r="O157" s="10"/>
    </row>
    <row r="158" spans="2:15">
      <c r="B158" s="10"/>
      <c r="C158" s="10"/>
      <c r="D158" s="10"/>
      <c r="E158" s="10"/>
      <c r="F158" s="10"/>
      <c r="G158" s="10"/>
      <c r="H158" s="10"/>
      <c r="I158" s="10"/>
      <c r="J158" s="10"/>
      <c r="K158" s="39"/>
      <c r="L158" s="10"/>
      <c r="M158" s="10"/>
      <c r="N158" s="10"/>
      <c r="O158" s="10"/>
    </row>
    <row r="159" spans="2:15">
      <c r="B159" s="10"/>
      <c r="C159" s="10"/>
      <c r="D159" s="10"/>
      <c r="E159" s="10"/>
      <c r="F159" s="10"/>
      <c r="G159" s="10"/>
      <c r="H159" s="10"/>
      <c r="I159" s="10"/>
      <c r="J159" s="10"/>
      <c r="K159" s="39"/>
      <c r="L159" s="10"/>
      <c r="M159" s="10"/>
      <c r="N159" s="10"/>
      <c r="O159" s="10"/>
    </row>
    <row r="160" spans="2:15">
      <c r="B160" s="10"/>
      <c r="C160" s="10"/>
      <c r="D160" s="10"/>
      <c r="E160" s="10"/>
      <c r="F160" s="10"/>
      <c r="G160" s="10"/>
      <c r="H160" s="10"/>
      <c r="I160" s="10"/>
      <c r="J160" s="10"/>
      <c r="K160" s="39"/>
      <c r="L160" s="10"/>
      <c r="M160" s="10"/>
      <c r="N160" s="10"/>
      <c r="O160" s="10"/>
    </row>
    <row r="161" spans="2:15">
      <c r="B161" s="10"/>
      <c r="C161" s="10"/>
      <c r="D161" s="10"/>
      <c r="E161" s="10"/>
      <c r="F161" s="10"/>
      <c r="G161" s="10"/>
      <c r="H161" s="10"/>
      <c r="I161" s="10"/>
      <c r="J161" s="10"/>
      <c r="K161" s="39"/>
      <c r="L161" s="10"/>
      <c r="M161" s="10"/>
      <c r="N161" s="10"/>
      <c r="O161" s="10"/>
    </row>
    <row r="162" spans="2:15">
      <c r="B162" s="10"/>
      <c r="C162" s="10"/>
      <c r="D162" s="10"/>
      <c r="E162" s="10"/>
      <c r="F162" s="10"/>
      <c r="G162" s="10"/>
      <c r="H162" s="10"/>
      <c r="I162" s="10"/>
      <c r="J162" s="10"/>
      <c r="K162" s="39"/>
      <c r="L162" s="10"/>
      <c r="M162" s="10"/>
      <c r="N162" s="10"/>
      <c r="O162" s="10"/>
    </row>
    <row r="163" spans="2:15">
      <c r="B163" s="10"/>
      <c r="C163" s="10"/>
      <c r="D163" s="10"/>
      <c r="E163" s="10"/>
      <c r="F163" s="10"/>
      <c r="G163" s="10"/>
      <c r="H163" s="10"/>
      <c r="I163" s="10"/>
      <c r="J163" s="10"/>
      <c r="K163" s="39"/>
      <c r="L163" s="10"/>
      <c r="M163" s="10"/>
      <c r="N163" s="10"/>
      <c r="O163" s="10"/>
    </row>
    <row r="164" spans="2:15">
      <c r="B164" s="10"/>
      <c r="C164" s="10"/>
      <c r="D164" s="10"/>
      <c r="E164" s="10"/>
      <c r="F164" s="10"/>
      <c r="G164" s="10"/>
      <c r="H164" s="10"/>
      <c r="I164" s="10"/>
      <c r="J164" s="10"/>
      <c r="K164" s="39"/>
      <c r="L164" s="10"/>
      <c r="M164" s="10"/>
      <c r="N164" s="10"/>
      <c r="O164" s="10"/>
    </row>
    <row r="165" spans="2:15">
      <c r="B165" s="10"/>
      <c r="C165" s="10"/>
      <c r="D165" s="10"/>
      <c r="E165" s="10"/>
      <c r="F165" s="10"/>
      <c r="G165" s="10"/>
      <c r="H165" s="10"/>
      <c r="I165" s="10"/>
      <c r="J165" s="10"/>
      <c r="K165" s="39"/>
      <c r="L165" s="10"/>
      <c r="M165" s="10"/>
      <c r="N165" s="10"/>
      <c r="O165" s="10"/>
    </row>
    <row r="166" spans="2:15">
      <c r="B166" s="10"/>
      <c r="C166" s="10"/>
      <c r="D166" s="10"/>
      <c r="E166" s="10"/>
      <c r="F166" s="10"/>
      <c r="G166" s="10"/>
      <c r="H166" s="10"/>
      <c r="I166" s="10"/>
      <c r="J166" s="10"/>
      <c r="K166" s="39"/>
      <c r="L166" s="10"/>
      <c r="M166" s="10"/>
      <c r="N166" s="10"/>
      <c r="O166" s="10"/>
    </row>
    <row r="167" spans="2:15">
      <c r="B167" s="10"/>
      <c r="C167" s="10"/>
      <c r="D167" s="10"/>
      <c r="E167" s="10"/>
      <c r="F167" s="10"/>
      <c r="G167" s="10"/>
      <c r="H167" s="10"/>
      <c r="I167" s="10"/>
      <c r="J167" s="10"/>
      <c r="K167" s="39"/>
      <c r="L167" s="10"/>
      <c r="M167" s="10"/>
      <c r="N167" s="10"/>
      <c r="O167" s="10"/>
    </row>
    <row r="168" spans="2:15">
      <c r="B168" s="10"/>
      <c r="C168" s="10"/>
      <c r="D168" s="10"/>
      <c r="E168" s="10"/>
      <c r="F168" s="10"/>
      <c r="G168" s="10"/>
      <c r="H168" s="10"/>
      <c r="I168" s="10"/>
      <c r="J168" s="10"/>
      <c r="K168" s="39"/>
      <c r="L168" s="10"/>
      <c r="M168" s="10"/>
      <c r="N168" s="10"/>
      <c r="O168" s="10"/>
    </row>
    <row r="169" spans="2:15">
      <c r="B169" s="10"/>
      <c r="C169" s="10"/>
      <c r="D169" s="10"/>
      <c r="E169" s="10"/>
      <c r="F169" s="10"/>
      <c r="G169" s="10"/>
      <c r="H169" s="10"/>
      <c r="I169" s="10"/>
      <c r="J169" s="10"/>
      <c r="K169" s="39"/>
      <c r="L169" s="10"/>
      <c r="M169" s="10"/>
      <c r="N169" s="10"/>
      <c r="O169" s="10"/>
    </row>
    <row r="170" spans="2:15">
      <c r="B170" s="10"/>
      <c r="C170" s="10"/>
      <c r="D170" s="10"/>
      <c r="E170" s="10"/>
      <c r="F170" s="10"/>
      <c r="G170" s="10"/>
      <c r="H170" s="10"/>
      <c r="I170" s="10"/>
      <c r="J170" s="10"/>
      <c r="K170" s="39"/>
      <c r="L170" s="10"/>
      <c r="M170" s="10"/>
      <c r="N170" s="10"/>
      <c r="O170" s="10"/>
    </row>
    <row r="171" spans="2:15">
      <c r="B171" s="10"/>
      <c r="C171" s="10"/>
      <c r="D171" s="10"/>
      <c r="E171" s="10"/>
      <c r="F171" s="10"/>
      <c r="G171" s="10"/>
      <c r="H171" s="10"/>
      <c r="I171" s="10"/>
      <c r="J171" s="10"/>
      <c r="K171" s="39"/>
      <c r="L171" s="10"/>
      <c r="M171" s="10"/>
      <c r="N171" s="10"/>
      <c r="O171" s="10"/>
    </row>
    <row r="172" spans="2:15">
      <c r="B172" s="10"/>
      <c r="C172" s="10"/>
      <c r="D172" s="10"/>
      <c r="E172" s="10"/>
      <c r="F172" s="10"/>
      <c r="G172" s="10"/>
      <c r="H172" s="10"/>
      <c r="I172" s="10"/>
      <c r="J172" s="10"/>
      <c r="K172" s="39"/>
      <c r="L172" s="10"/>
      <c r="M172" s="10"/>
      <c r="N172" s="10"/>
      <c r="O172" s="10"/>
    </row>
    <row r="173" spans="2:15">
      <c r="B173" s="10"/>
      <c r="C173" s="10"/>
      <c r="D173" s="10"/>
      <c r="E173" s="10"/>
      <c r="F173" s="10"/>
      <c r="G173" s="10"/>
      <c r="H173" s="10"/>
      <c r="I173" s="10"/>
      <c r="J173" s="10"/>
      <c r="K173" s="39"/>
      <c r="L173" s="10"/>
      <c r="M173" s="10"/>
      <c r="N173" s="10"/>
      <c r="O173" s="10"/>
    </row>
    <row r="174" spans="2:15">
      <c r="B174" s="10"/>
      <c r="C174" s="10"/>
      <c r="D174" s="10"/>
      <c r="E174" s="10"/>
      <c r="F174" s="10"/>
      <c r="G174" s="10"/>
      <c r="H174" s="10"/>
      <c r="I174" s="10"/>
      <c r="J174" s="10"/>
      <c r="K174" s="39"/>
      <c r="L174" s="10"/>
      <c r="M174" s="10"/>
      <c r="N174" s="10"/>
      <c r="O174" s="10"/>
    </row>
    <row r="175" spans="2:15">
      <c r="B175" s="10"/>
      <c r="C175" s="10"/>
      <c r="D175" s="10"/>
      <c r="E175" s="10"/>
      <c r="F175" s="10"/>
      <c r="G175" s="10"/>
      <c r="H175" s="10"/>
      <c r="I175" s="10"/>
      <c r="J175" s="10"/>
      <c r="K175" s="39"/>
      <c r="L175" s="10"/>
      <c r="M175" s="10"/>
      <c r="N175" s="10"/>
      <c r="O175" s="10"/>
    </row>
    <row r="176" spans="2:15">
      <c r="B176" s="10"/>
      <c r="C176" s="10"/>
      <c r="D176" s="10"/>
      <c r="E176" s="10"/>
      <c r="F176" s="10"/>
      <c r="G176" s="10"/>
      <c r="H176" s="10"/>
      <c r="I176" s="10"/>
      <c r="J176" s="10"/>
      <c r="K176" s="39"/>
      <c r="L176" s="10"/>
      <c r="M176" s="10"/>
      <c r="N176" s="10"/>
      <c r="O176" s="10"/>
    </row>
    <row r="177" spans="2:15">
      <c r="B177" s="10"/>
      <c r="C177" s="10"/>
      <c r="D177" s="10"/>
      <c r="E177" s="10"/>
      <c r="F177" s="10"/>
      <c r="G177" s="10"/>
      <c r="H177" s="10"/>
      <c r="I177" s="10"/>
      <c r="J177" s="10"/>
      <c r="K177" s="39"/>
      <c r="L177" s="10"/>
      <c r="M177" s="10"/>
      <c r="N177" s="10"/>
      <c r="O177" s="10"/>
    </row>
    <row r="178" spans="2:15">
      <c r="B178" s="10"/>
      <c r="C178" s="10"/>
      <c r="D178" s="10"/>
      <c r="E178" s="10"/>
      <c r="F178" s="10"/>
      <c r="G178" s="10"/>
      <c r="H178" s="10"/>
      <c r="I178" s="10"/>
      <c r="J178" s="10"/>
      <c r="K178" s="39"/>
      <c r="L178" s="10"/>
      <c r="M178" s="10"/>
      <c r="N178" s="10"/>
      <c r="O178" s="10"/>
    </row>
    <row r="179" spans="2:15">
      <c r="B179" s="10"/>
      <c r="C179" s="10"/>
      <c r="D179" s="10"/>
      <c r="E179" s="10"/>
      <c r="F179" s="10"/>
      <c r="G179" s="10"/>
      <c r="H179" s="10"/>
      <c r="I179" s="10"/>
      <c r="J179" s="10"/>
      <c r="K179" s="39"/>
      <c r="L179" s="10"/>
      <c r="M179" s="10"/>
      <c r="N179" s="10"/>
      <c r="O179" s="10"/>
    </row>
    <row r="180" spans="2:15">
      <c r="B180" s="10"/>
      <c r="C180" s="10"/>
      <c r="D180" s="10"/>
      <c r="E180" s="10"/>
      <c r="F180" s="10"/>
      <c r="G180" s="10"/>
      <c r="H180" s="10"/>
      <c r="I180" s="10"/>
      <c r="J180" s="10"/>
      <c r="K180" s="39"/>
      <c r="L180" s="10"/>
      <c r="M180" s="10"/>
      <c r="N180" s="10"/>
      <c r="O180" s="10"/>
    </row>
    <row r="181" spans="2:15">
      <c r="B181" s="10"/>
      <c r="C181" s="10"/>
      <c r="D181" s="10"/>
      <c r="E181" s="10"/>
      <c r="F181" s="10"/>
      <c r="G181" s="10"/>
      <c r="H181" s="10"/>
      <c r="I181" s="10"/>
      <c r="J181" s="10"/>
      <c r="K181" s="39"/>
      <c r="L181" s="10"/>
      <c r="M181" s="10"/>
      <c r="N181" s="10"/>
      <c r="O181" s="10"/>
    </row>
    <row r="182" spans="2:15">
      <c r="B182" s="10"/>
      <c r="C182" s="10"/>
      <c r="D182" s="10"/>
      <c r="E182" s="10"/>
      <c r="F182" s="10"/>
      <c r="G182" s="10"/>
      <c r="H182" s="10"/>
      <c r="I182" s="10"/>
      <c r="J182" s="10"/>
      <c r="K182" s="39"/>
      <c r="L182" s="10"/>
      <c r="M182" s="10"/>
      <c r="N182" s="10"/>
      <c r="O182" s="10"/>
    </row>
    <row r="183" spans="2:15">
      <c r="B183" s="10"/>
      <c r="C183" s="10"/>
      <c r="D183" s="10"/>
      <c r="E183" s="10"/>
      <c r="F183" s="10"/>
      <c r="G183" s="10"/>
      <c r="H183" s="10"/>
      <c r="I183" s="10"/>
      <c r="J183" s="10"/>
      <c r="K183" s="39"/>
      <c r="L183" s="10"/>
      <c r="M183" s="10"/>
      <c r="N183" s="10"/>
      <c r="O183" s="10"/>
    </row>
    <row r="184" spans="2:15">
      <c r="B184" s="10"/>
      <c r="C184" s="10"/>
      <c r="D184" s="10"/>
      <c r="E184" s="10"/>
      <c r="F184" s="10"/>
      <c r="G184" s="10"/>
      <c r="H184" s="10"/>
      <c r="I184" s="10"/>
      <c r="J184" s="10"/>
      <c r="K184" s="39"/>
      <c r="L184" s="10"/>
      <c r="M184" s="10"/>
      <c r="N184" s="10"/>
      <c r="O184" s="10"/>
    </row>
    <row r="185" spans="2:15">
      <c r="B185" s="10"/>
      <c r="C185" s="10"/>
      <c r="D185" s="10"/>
      <c r="E185" s="10"/>
      <c r="F185" s="10"/>
      <c r="G185" s="10"/>
      <c r="H185" s="10"/>
      <c r="I185" s="10"/>
      <c r="J185" s="10"/>
      <c r="K185" s="39"/>
      <c r="L185" s="10"/>
      <c r="M185" s="10"/>
      <c r="N185" s="10"/>
      <c r="O185" s="10"/>
    </row>
    <row r="186" spans="2:15">
      <c r="B186" s="10"/>
      <c r="C186" s="10"/>
      <c r="D186" s="10"/>
      <c r="E186" s="10"/>
      <c r="F186" s="10"/>
      <c r="G186" s="10"/>
      <c r="H186" s="10"/>
      <c r="I186" s="10"/>
      <c r="J186" s="10"/>
      <c r="K186" s="39"/>
      <c r="L186" s="10"/>
      <c r="M186" s="10"/>
      <c r="N186" s="10"/>
      <c r="O186" s="10"/>
    </row>
    <row r="187" spans="2:15">
      <c r="B187" s="10"/>
      <c r="C187" s="10"/>
      <c r="D187" s="10"/>
      <c r="E187" s="10"/>
      <c r="F187" s="10"/>
      <c r="G187" s="10"/>
      <c r="H187" s="10"/>
      <c r="I187" s="10"/>
      <c r="J187" s="10"/>
      <c r="K187" s="39"/>
      <c r="L187" s="10"/>
      <c r="M187" s="10"/>
      <c r="N187" s="10"/>
      <c r="O187" s="10"/>
    </row>
    <row r="188" spans="2:15">
      <c r="B188" s="10"/>
      <c r="C188" s="10"/>
      <c r="D188" s="10"/>
      <c r="E188" s="10"/>
      <c r="F188" s="10"/>
      <c r="G188" s="10"/>
      <c r="H188" s="10"/>
      <c r="I188" s="10"/>
      <c r="J188" s="10"/>
      <c r="K188" s="39"/>
      <c r="L188" s="10"/>
      <c r="M188" s="10"/>
      <c r="N188" s="10"/>
      <c r="O188" s="10"/>
    </row>
    <row r="189" spans="2:15">
      <c r="B189" s="10"/>
      <c r="C189" s="10"/>
      <c r="D189" s="10"/>
      <c r="E189" s="10"/>
      <c r="F189" s="10"/>
      <c r="G189" s="10"/>
      <c r="H189" s="10"/>
      <c r="I189" s="10"/>
      <c r="J189" s="10"/>
      <c r="K189" s="39"/>
      <c r="L189" s="10"/>
      <c r="M189" s="10"/>
      <c r="N189" s="10"/>
      <c r="O189" s="10"/>
    </row>
    <row r="190" spans="2:15">
      <c r="B190" s="10"/>
      <c r="C190" s="10"/>
      <c r="D190" s="10"/>
      <c r="E190" s="10"/>
      <c r="F190" s="10"/>
      <c r="G190" s="10"/>
      <c r="H190" s="10"/>
      <c r="I190" s="10"/>
      <c r="J190" s="10"/>
      <c r="K190" s="39"/>
      <c r="L190" s="10"/>
      <c r="M190" s="10"/>
      <c r="N190" s="10"/>
      <c r="O190" s="10"/>
    </row>
    <row r="191" spans="2:15">
      <c r="B191" s="10"/>
      <c r="C191" s="10"/>
      <c r="D191" s="10"/>
      <c r="E191" s="10"/>
      <c r="F191" s="10"/>
      <c r="G191" s="10"/>
      <c r="H191" s="10"/>
      <c r="I191" s="10"/>
      <c r="J191" s="10"/>
      <c r="K191" s="39"/>
      <c r="L191" s="10"/>
      <c r="M191" s="10"/>
      <c r="N191" s="10"/>
      <c r="O191" s="10"/>
    </row>
    <row r="192" spans="2:15">
      <c r="B192" s="10"/>
      <c r="C192" s="10"/>
      <c r="D192" s="10"/>
      <c r="E192" s="10"/>
      <c r="F192" s="10"/>
      <c r="G192" s="10"/>
      <c r="H192" s="10"/>
      <c r="I192" s="10"/>
      <c r="J192" s="10"/>
      <c r="K192" s="39"/>
      <c r="L192" s="10"/>
      <c r="M192" s="10"/>
      <c r="N192" s="10"/>
      <c r="O192" s="10"/>
    </row>
    <row r="193" spans="2:15">
      <c r="B193" s="10"/>
      <c r="C193" s="10"/>
      <c r="D193" s="10"/>
      <c r="E193" s="10"/>
      <c r="F193" s="10"/>
      <c r="G193" s="10"/>
      <c r="H193" s="10"/>
      <c r="I193" s="10"/>
      <c r="J193" s="10"/>
      <c r="K193" s="39"/>
      <c r="L193" s="10"/>
      <c r="M193" s="10"/>
      <c r="N193" s="10"/>
      <c r="O193" s="10"/>
    </row>
    <row r="194" spans="2:15">
      <c r="B194" s="10"/>
      <c r="C194" s="10"/>
      <c r="D194" s="10"/>
      <c r="E194" s="10"/>
      <c r="F194" s="10"/>
      <c r="G194" s="10"/>
      <c r="H194" s="10"/>
      <c r="I194" s="10"/>
      <c r="J194" s="10"/>
      <c r="K194" s="39"/>
      <c r="L194" s="10"/>
      <c r="M194" s="10"/>
      <c r="N194" s="10"/>
      <c r="O194" s="10"/>
    </row>
    <row r="195" spans="2:15">
      <c r="B195" s="10"/>
      <c r="C195" s="10"/>
      <c r="D195" s="10"/>
      <c r="E195" s="10"/>
      <c r="F195" s="10"/>
      <c r="G195" s="10"/>
      <c r="H195" s="10"/>
      <c r="I195" s="10"/>
      <c r="J195" s="10"/>
      <c r="K195" s="39"/>
      <c r="L195" s="10"/>
      <c r="M195" s="10"/>
      <c r="N195" s="10"/>
      <c r="O195" s="10"/>
    </row>
    <row r="196" spans="2:15">
      <c r="B196" s="10"/>
      <c r="C196" s="10"/>
      <c r="D196" s="10"/>
      <c r="E196" s="10"/>
      <c r="F196" s="10"/>
      <c r="G196" s="10"/>
      <c r="H196" s="10"/>
      <c r="I196" s="10"/>
      <c r="J196" s="10"/>
      <c r="K196" s="39"/>
      <c r="L196" s="10"/>
      <c r="M196" s="10"/>
      <c r="N196" s="10"/>
      <c r="O196" s="10"/>
    </row>
    <row r="197" spans="2:15">
      <c r="B197" s="10"/>
      <c r="C197" s="10"/>
      <c r="D197" s="10"/>
      <c r="E197" s="10"/>
      <c r="F197" s="10"/>
      <c r="G197" s="10"/>
      <c r="H197" s="10"/>
      <c r="I197" s="10"/>
      <c r="J197" s="10"/>
      <c r="K197" s="39"/>
      <c r="L197" s="10"/>
      <c r="M197" s="10"/>
      <c r="N197" s="10"/>
      <c r="O197" s="10"/>
    </row>
    <row r="198" spans="2:15">
      <c r="B198" s="10"/>
      <c r="C198" s="10"/>
      <c r="D198" s="10"/>
      <c r="E198" s="10"/>
      <c r="F198" s="10"/>
      <c r="G198" s="10"/>
      <c r="H198" s="10"/>
      <c r="I198" s="10"/>
      <c r="J198" s="10"/>
      <c r="K198" s="39"/>
      <c r="L198" s="10"/>
      <c r="M198" s="10"/>
      <c r="N198" s="10"/>
      <c r="O198" s="10"/>
    </row>
    <row r="199" spans="2:15">
      <c r="B199" s="10"/>
      <c r="C199" s="10"/>
      <c r="D199" s="10"/>
      <c r="E199" s="10"/>
      <c r="F199" s="10"/>
      <c r="G199" s="10"/>
      <c r="H199" s="10"/>
      <c r="I199" s="10"/>
      <c r="J199" s="10"/>
      <c r="K199" s="39"/>
      <c r="L199" s="10"/>
      <c r="M199" s="10"/>
      <c r="N199" s="10"/>
      <c r="O199" s="10"/>
    </row>
    <row r="200" spans="2:15">
      <c r="B200" s="10"/>
      <c r="C200" s="10"/>
      <c r="D200" s="10"/>
      <c r="E200" s="10"/>
      <c r="F200" s="10"/>
      <c r="G200" s="10"/>
      <c r="H200" s="10"/>
      <c r="I200" s="10"/>
      <c r="J200" s="10"/>
      <c r="K200" s="39"/>
      <c r="L200" s="10"/>
      <c r="M200" s="10"/>
      <c r="N200" s="10"/>
      <c r="O200" s="10"/>
    </row>
    <row r="201" spans="2:15">
      <c r="B201" s="10"/>
      <c r="C201" s="10"/>
      <c r="D201" s="10"/>
      <c r="E201" s="10"/>
      <c r="F201" s="10"/>
      <c r="G201" s="10"/>
      <c r="H201" s="10"/>
      <c r="I201" s="10"/>
      <c r="J201" s="10"/>
      <c r="K201" s="39"/>
      <c r="L201" s="10"/>
      <c r="M201" s="10"/>
      <c r="N201" s="10"/>
      <c r="O201" s="10"/>
    </row>
    <row r="202" spans="2:15">
      <c r="B202" s="10"/>
      <c r="C202" s="10"/>
      <c r="D202" s="10"/>
      <c r="E202" s="10"/>
      <c r="F202" s="10"/>
      <c r="G202" s="10"/>
      <c r="H202" s="10"/>
      <c r="I202" s="10"/>
      <c r="J202" s="10"/>
      <c r="K202" s="39"/>
      <c r="L202" s="10"/>
      <c r="M202" s="10"/>
      <c r="N202" s="10"/>
      <c r="O202" s="10"/>
    </row>
    <row r="203" spans="2:15">
      <c r="B203" s="10"/>
      <c r="C203" s="10"/>
      <c r="D203" s="10"/>
      <c r="E203" s="10"/>
      <c r="F203" s="10"/>
      <c r="G203" s="10"/>
      <c r="H203" s="10"/>
      <c r="I203" s="10"/>
      <c r="J203" s="10"/>
      <c r="K203" s="39"/>
      <c r="L203" s="10"/>
      <c r="M203" s="10"/>
      <c r="N203" s="10"/>
      <c r="O203" s="10"/>
    </row>
    <row r="204" spans="2:15">
      <c r="B204" s="10"/>
      <c r="C204" s="10"/>
      <c r="D204" s="10"/>
      <c r="E204" s="10"/>
      <c r="F204" s="10"/>
      <c r="G204" s="10"/>
      <c r="H204" s="10"/>
      <c r="I204" s="10"/>
      <c r="J204" s="10"/>
      <c r="K204" s="39"/>
      <c r="L204" s="10"/>
      <c r="M204" s="10"/>
      <c r="N204" s="10"/>
      <c r="O204" s="10"/>
    </row>
    <row r="205" spans="2:15">
      <c r="B205" s="10"/>
      <c r="C205" s="10"/>
      <c r="D205" s="10"/>
      <c r="E205" s="10"/>
      <c r="F205" s="10"/>
      <c r="G205" s="10"/>
      <c r="H205" s="10"/>
      <c r="I205" s="10"/>
      <c r="J205" s="10"/>
      <c r="K205" s="39"/>
      <c r="L205" s="10"/>
      <c r="M205" s="10"/>
      <c r="N205" s="10"/>
      <c r="O205" s="10"/>
    </row>
    <row r="206" spans="2:15">
      <c r="B206" s="10"/>
      <c r="C206" s="10"/>
      <c r="D206" s="10"/>
      <c r="E206" s="10"/>
      <c r="F206" s="10"/>
      <c r="G206" s="10"/>
      <c r="H206" s="10"/>
      <c r="I206" s="10"/>
      <c r="J206" s="10"/>
      <c r="K206" s="39"/>
      <c r="L206" s="10"/>
      <c r="M206" s="10"/>
      <c r="N206" s="10"/>
      <c r="O206" s="10"/>
    </row>
    <row r="207" spans="2:15">
      <c r="B207" s="10"/>
      <c r="C207" s="10"/>
      <c r="D207" s="10"/>
      <c r="E207" s="10"/>
      <c r="F207" s="10"/>
      <c r="G207" s="10"/>
      <c r="H207" s="10"/>
      <c r="I207" s="10"/>
      <c r="J207" s="10"/>
      <c r="K207" s="39"/>
      <c r="L207" s="10"/>
      <c r="M207" s="10"/>
      <c r="N207" s="10"/>
      <c r="O207" s="10"/>
    </row>
    <row r="208" spans="2:15">
      <c r="B208" s="10"/>
      <c r="C208" s="10"/>
      <c r="D208" s="10"/>
      <c r="E208" s="10"/>
      <c r="F208" s="10"/>
      <c r="G208" s="10"/>
      <c r="H208" s="10"/>
      <c r="I208" s="10"/>
      <c r="J208" s="10"/>
      <c r="K208" s="39"/>
      <c r="L208" s="10"/>
      <c r="M208" s="10"/>
      <c r="N208" s="10"/>
      <c r="O208" s="10"/>
    </row>
    <row r="209" spans="2:15">
      <c r="B209" s="10"/>
      <c r="C209" s="10"/>
      <c r="D209" s="10"/>
      <c r="E209" s="10"/>
      <c r="F209" s="10"/>
      <c r="G209" s="10"/>
      <c r="H209" s="10"/>
      <c r="I209" s="10"/>
      <c r="J209" s="10"/>
      <c r="K209" s="39"/>
      <c r="L209" s="10"/>
      <c r="M209" s="10"/>
      <c r="N209" s="10"/>
      <c r="O209" s="10"/>
    </row>
    <row r="210" spans="2:15">
      <c r="B210" s="10"/>
      <c r="C210" s="10"/>
      <c r="D210" s="10"/>
      <c r="E210" s="10"/>
      <c r="F210" s="10"/>
      <c r="G210" s="10"/>
      <c r="H210" s="10"/>
      <c r="I210" s="10"/>
      <c r="J210" s="10"/>
      <c r="K210" s="39"/>
      <c r="L210" s="10"/>
      <c r="M210" s="10"/>
      <c r="N210" s="10"/>
      <c r="O210" s="10"/>
    </row>
    <row r="211" spans="2:15">
      <c r="B211" s="10"/>
      <c r="C211" s="10"/>
      <c r="D211" s="10"/>
      <c r="E211" s="10"/>
      <c r="F211" s="10"/>
      <c r="G211" s="10"/>
      <c r="H211" s="10"/>
      <c r="I211" s="10"/>
      <c r="J211" s="10"/>
      <c r="K211" s="39"/>
      <c r="L211" s="10"/>
      <c r="M211" s="10"/>
      <c r="N211" s="10"/>
      <c r="O211" s="10"/>
    </row>
    <row r="212" spans="2:15">
      <c r="B212" s="10"/>
      <c r="C212" s="10"/>
      <c r="D212" s="10"/>
      <c r="E212" s="10"/>
      <c r="F212" s="10"/>
      <c r="G212" s="10"/>
      <c r="H212" s="10"/>
      <c r="I212" s="10"/>
      <c r="J212" s="10"/>
      <c r="K212" s="39"/>
      <c r="L212" s="10"/>
      <c r="M212" s="10"/>
      <c r="N212" s="10"/>
      <c r="O212" s="10"/>
    </row>
    <row r="213" spans="2:15">
      <c r="B213" s="10"/>
      <c r="C213" s="10"/>
      <c r="D213" s="10"/>
      <c r="E213" s="10"/>
      <c r="F213" s="10"/>
      <c r="G213" s="10"/>
      <c r="H213" s="10"/>
      <c r="I213" s="10"/>
      <c r="J213" s="10"/>
      <c r="K213" s="39"/>
      <c r="L213" s="10"/>
      <c r="M213" s="10"/>
      <c r="N213" s="10"/>
      <c r="O213" s="10"/>
    </row>
    <row r="214" spans="2:15">
      <c r="B214" s="10"/>
      <c r="C214" s="10"/>
      <c r="D214" s="10"/>
      <c r="E214" s="10"/>
      <c r="F214" s="10"/>
      <c r="G214" s="10"/>
      <c r="H214" s="10"/>
      <c r="I214" s="10"/>
      <c r="J214" s="10"/>
      <c r="K214" s="39"/>
      <c r="L214" s="10"/>
      <c r="M214" s="10"/>
      <c r="N214" s="10"/>
      <c r="O214" s="10"/>
    </row>
    <row r="215" spans="2:15">
      <c r="B215" s="10"/>
      <c r="C215" s="10"/>
      <c r="D215" s="10"/>
      <c r="E215" s="10"/>
      <c r="F215" s="10"/>
      <c r="G215" s="10"/>
      <c r="H215" s="10"/>
      <c r="I215" s="10"/>
      <c r="J215" s="10"/>
      <c r="K215" s="39"/>
      <c r="L215" s="10"/>
      <c r="M215" s="10"/>
      <c r="N215" s="10"/>
      <c r="O215" s="10"/>
    </row>
    <row r="216" spans="2:15">
      <c r="B216" s="10"/>
      <c r="C216" s="10"/>
      <c r="D216" s="10"/>
      <c r="E216" s="10"/>
      <c r="F216" s="10"/>
      <c r="G216" s="10"/>
      <c r="H216" s="10"/>
      <c r="I216" s="10"/>
      <c r="J216" s="10"/>
      <c r="K216" s="39"/>
      <c r="L216" s="10"/>
      <c r="M216" s="10"/>
      <c r="N216" s="10"/>
      <c r="O216" s="10"/>
    </row>
    <row r="217" spans="2:15">
      <c r="B217" s="10"/>
      <c r="C217" s="10"/>
      <c r="D217" s="10"/>
      <c r="E217" s="10"/>
      <c r="F217" s="10"/>
      <c r="G217" s="10"/>
      <c r="H217" s="10"/>
      <c r="I217" s="10"/>
      <c r="J217" s="10"/>
      <c r="K217" s="39"/>
      <c r="L217" s="10"/>
      <c r="M217" s="10"/>
      <c r="N217" s="10"/>
      <c r="O217" s="10"/>
    </row>
    <row r="218" spans="2:15">
      <c r="B218" s="10"/>
      <c r="C218" s="10"/>
      <c r="D218" s="10"/>
      <c r="E218" s="10"/>
      <c r="F218" s="10"/>
      <c r="G218" s="10"/>
      <c r="H218" s="10"/>
      <c r="I218" s="10"/>
      <c r="J218" s="10"/>
      <c r="K218" s="39"/>
      <c r="L218" s="10"/>
      <c r="M218" s="10"/>
      <c r="N218" s="10"/>
      <c r="O218" s="10"/>
    </row>
    <row r="219" spans="2:15">
      <c r="B219" s="10"/>
      <c r="C219" s="10"/>
      <c r="D219" s="10"/>
      <c r="E219" s="10"/>
      <c r="F219" s="10"/>
      <c r="G219" s="10"/>
      <c r="H219" s="10"/>
      <c r="I219" s="10"/>
      <c r="J219" s="10"/>
      <c r="K219" s="39"/>
      <c r="L219" s="10"/>
      <c r="M219" s="10"/>
      <c r="N219" s="10"/>
      <c r="O219" s="10"/>
    </row>
    <row r="220" spans="2:15">
      <c r="B220" s="10"/>
      <c r="C220" s="10"/>
      <c r="D220" s="10"/>
      <c r="E220" s="10"/>
      <c r="F220" s="10"/>
      <c r="G220" s="10"/>
      <c r="H220" s="10"/>
      <c r="I220" s="10"/>
      <c r="J220" s="10"/>
      <c r="K220" s="39"/>
      <c r="L220" s="10"/>
      <c r="M220" s="10"/>
      <c r="N220" s="10"/>
      <c r="O220" s="10"/>
    </row>
    <row r="221" spans="2:15">
      <c r="B221" s="10"/>
      <c r="C221" s="10"/>
      <c r="D221" s="10"/>
      <c r="E221" s="10"/>
      <c r="F221" s="10"/>
      <c r="G221" s="10"/>
      <c r="H221" s="10"/>
      <c r="I221" s="10"/>
      <c r="J221" s="10"/>
      <c r="K221" s="39"/>
      <c r="L221" s="10"/>
      <c r="M221" s="10"/>
      <c r="N221" s="10"/>
      <c r="O221" s="10"/>
    </row>
    <row r="222" spans="2:15">
      <c r="B222" s="10"/>
      <c r="C222" s="10"/>
      <c r="D222" s="10"/>
      <c r="E222" s="10"/>
      <c r="F222" s="10"/>
      <c r="G222" s="10"/>
      <c r="H222" s="10"/>
      <c r="I222" s="10"/>
      <c r="J222" s="10"/>
      <c r="K222" s="39"/>
      <c r="L222" s="10"/>
      <c r="M222" s="10"/>
      <c r="N222" s="10"/>
      <c r="O222" s="10"/>
    </row>
    <row r="223" spans="2:15">
      <c r="B223" s="10"/>
      <c r="C223" s="10"/>
      <c r="D223" s="10"/>
      <c r="E223" s="10"/>
      <c r="F223" s="10"/>
      <c r="G223" s="10"/>
      <c r="H223" s="10"/>
      <c r="I223" s="10"/>
      <c r="J223" s="10"/>
      <c r="K223" s="39"/>
      <c r="L223" s="10"/>
      <c r="M223" s="10"/>
      <c r="N223" s="10"/>
      <c r="O223" s="10"/>
    </row>
    <row r="224" spans="2:15">
      <c r="B224" s="10"/>
      <c r="C224" s="10"/>
      <c r="D224" s="10"/>
      <c r="E224" s="10"/>
      <c r="F224" s="10"/>
      <c r="G224" s="10"/>
      <c r="H224" s="10"/>
      <c r="I224" s="10"/>
      <c r="J224" s="10"/>
      <c r="K224" s="39"/>
      <c r="L224" s="10"/>
      <c r="M224" s="10"/>
      <c r="N224" s="10"/>
      <c r="O224" s="10"/>
    </row>
    <row r="225" spans="2:15">
      <c r="B225" s="10"/>
      <c r="C225" s="10"/>
      <c r="D225" s="10"/>
      <c r="E225" s="10"/>
      <c r="F225" s="10"/>
      <c r="G225" s="10"/>
      <c r="H225" s="10"/>
      <c r="I225" s="10"/>
      <c r="J225" s="10"/>
      <c r="K225" s="39"/>
      <c r="L225" s="10"/>
      <c r="M225" s="10"/>
      <c r="N225" s="10"/>
      <c r="O225" s="10"/>
    </row>
    <row r="226" spans="2:15">
      <c r="B226" s="10"/>
      <c r="C226" s="10"/>
      <c r="D226" s="10"/>
      <c r="E226" s="10"/>
      <c r="F226" s="10"/>
      <c r="G226" s="10"/>
      <c r="H226" s="10"/>
      <c r="I226" s="10"/>
      <c r="J226" s="10"/>
      <c r="K226" s="39"/>
      <c r="L226" s="10"/>
      <c r="M226" s="10"/>
      <c r="N226" s="10"/>
      <c r="O226" s="10"/>
    </row>
  </sheetData>
  <autoFilter ref="B5:O14">
    <sortState ref="B6:Q1125">
      <sortCondition ref="B5:B1125"/>
    </sortState>
  </autoFilter>
  <mergeCells count="2">
    <mergeCell ref="B14:H14"/>
    <mergeCell ref="B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topLeftCell="D1" workbookViewId="0">
      <pane ySplit="4" topLeftCell="A68" activePane="bottomLeft" state="frozen"/>
      <selection pane="bottomLeft" activeCell="L79" sqref="L79"/>
    </sheetView>
  </sheetViews>
  <sheetFormatPr defaultRowHeight="15"/>
  <cols>
    <col min="1" max="2" width="9.140625" style="606"/>
    <col min="3" max="3" width="42" style="607" customWidth="1"/>
    <col min="4" max="4" width="12.28515625" style="606" customWidth="1"/>
    <col min="5" max="5" width="10.42578125" style="606" bestFit="1" customWidth="1"/>
    <col min="6" max="6" width="10.42578125" style="606" customWidth="1"/>
    <col min="7" max="8" width="9.140625" style="606"/>
    <col min="9" max="9" width="17.85546875" style="576" bestFit="1" customWidth="1"/>
    <col min="10" max="10" width="17.85546875" style="606" bestFit="1" customWidth="1"/>
    <col min="11" max="11" width="9.140625" style="662"/>
    <col min="12" max="13" width="14.28515625" style="606" bestFit="1" customWidth="1"/>
    <col min="14" max="14" width="15.85546875" style="606" bestFit="1" customWidth="1"/>
    <col min="15" max="15" width="13.28515625" style="606" bestFit="1" customWidth="1"/>
    <col min="16" max="16384" width="9.140625" style="606"/>
  </cols>
  <sheetData>
    <row r="1" spans="1:16">
      <c r="K1" s="606"/>
    </row>
    <row r="2" spans="1:16" ht="15.75" thickBot="1">
      <c r="B2" s="613"/>
      <c r="C2" s="614"/>
      <c r="D2" s="613"/>
      <c r="E2" s="613"/>
      <c r="F2" s="613"/>
      <c r="G2" s="613"/>
      <c r="H2" s="613"/>
      <c r="I2" s="615"/>
      <c r="J2" s="613"/>
      <c r="K2" s="613"/>
      <c r="L2" s="613"/>
      <c r="M2" s="613"/>
      <c r="N2" s="613"/>
      <c r="O2" s="613"/>
    </row>
    <row r="3" spans="1:16">
      <c r="A3" s="609"/>
      <c r="B3" s="698" t="s">
        <v>654</v>
      </c>
      <c r="C3" s="699"/>
      <c r="D3" s="699"/>
      <c r="E3" s="700"/>
      <c r="F3" s="700"/>
      <c r="G3" s="700"/>
      <c r="H3" s="700"/>
      <c r="I3" s="700"/>
      <c r="J3" s="700"/>
      <c r="K3" s="701"/>
      <c r="L3" s="699"/>
      <c r="M3" s="699"/>
      <c r="N3" s="699"/>
      <c r="O3" s="702"/>
      <c r="P3" s="610"/>
    </row>
    <row r="4" spans="1:16" ht="60" customHeight="1">
      <c r="A4" s="609"/>
      <c r="B4" s="619" t="s">
        <v>1</v>
      </c>
      <c r="C4" s="608" t="s">
        <v>2</v>
      </c>
      <c r="D4" s="40" t="s">
        <v>614</v>
      </c>
      <c r="E4" s="40" t="s">
        <v>3</v>
      </c>
      <c r="F4" s="40" t="s">
        <v>27</v>
      </c>
      <c r="G4" s="40" t="s">
        <v>28</v>
      </c>
      <c r="H4" s="40" t="s">
        <v>4</v>
      </c>
      <c r="I4" s="41" t="s">
        <v>5</v>
      </c>
      <c r="J4" s="41" t="s">
        <v>11</v>
      </c>
      <c r="K4" s="42" t="s">
        <v>6</v>
      </c>
      <c r="L4" s="41" t="s">
        <v>7</v>
      </c>
      <c r="M4" s="41" t="s">
        <v>8</v>
      </c>
      <c r="N4" s="41" t="s">
        <v>9</v>
      </c>
      <c r="O4" s="620" t="s">
        <v>10</v>
      </c>
      <c r="P4" s="611"/>
    </row>
    <row r="5" spans="1:16" ht="15.75">
      <c r="A5" s="609"/>
      <c r="B5" s="621">
        <v>1</v>
      </c>
      <c r="C5" s="547" t="s">
        <v>178</v>
      </c>
      <c r="D5" s="552">
        <v>39172</v>
      </c>
      <c r="E5" s="19">
        <v>44470</v>
      </c>
      <c r="F5" s="564">
        <f>(E5-D5)/365</f>
        <v>14.515068493150684</v>
      </c>
      <c r="G5" s="605">
        <v>8</v>
      </c>
      <c r="H5" s="20">
        <f t="shared" ref="H5:H36" si="0">(95/G5/100)</f>
        <v>0.11874999999999999</v>
      </c>
      <c r="I5" s="566">
        <v>44795</v>
      </c>
      <c r="J5" s="566">
        <v>2239.75</v>
      </c>
      <c r="K5" s="35">
        <v>0</v>
      </c>
      <c r="L5" s="18">
        <f t="shared" ref="L5:L60" si="1">I5*(1+K5)</f>
        <v>44795</v>
      </c>
      <c r="M5" s="18">
        <f t="shared" ref="M5:M36" si="2">F5*H5*L5</f>
        <v>77211.546061643821</v>
      </c>
      <c r="N5" s="21">
        <f t="shared" ref="N5:N60" si="3">IF(L5-M5&lt;=0,5%*L5,L5-M5)</f>
        <v>2239.75</v>
      </c>
      <c r="O5" s="622">
        <f t="shared" ref="O5:O60" si="4">IF(N5=L5*5%,N5,N5*0.9)</f>
        <v>2239.75</v>
      </c>
      <c r="P5" s="612"/>
    </row>
    <row r="6" spans="1:16" ht="15.75">
      <c r="A6" s="609"/>
      <c r="B6" s="621">
        <v>2</v>
      </c>
      <c r="C6" s="547" t="s">
        <v>179</v>
      </c>
      <c r="D6" s="552">
        <v>39165</v>
      </c>
      <c r="E6" s="19">
        <v>44470</v>
      </c>
      <c r="F6" s="564">
        <f t="shared" ref="F6:F60" si="5">(E6-D6)/365</f>
        <v>14.534246575342467</v>
      </c>
      <c r="G6" s="605">
        <v>3</v>
      </c>
      <c r="H6" s="20">
        <f t="shared" si="0"/>
        <v>0.31666666666666665</v>
      </c>
      <c r="I6" s="566">
        <v>6800</v>
      </c>
      <c r="J6" s="566">
        <v>340</v>
      </c>
      <c r="K6" s="35">
        <v>0</v>
      </c>
      <c r="L6" s="18">
        <f t="shared" si="1"/>
        <v>6800</v>
      </c>
      <c r="M6" s="18">
        <f t="shared" si="2"/>
        <v>31297.077625570779</v>
      </c>
      <c r="N6" s="21">
        <f t="shared" si="3"/>
        <v>340</v>
      </c>
      <c r="O6" s="622">
        <f t="shared" si="4"/>
        <v>340</v>
      </c>
      <c r="P6" s="612"/>
    </row>
    <row r="7" spans="1:16" ht="15.75">
      <c r="A7" s="609"/>
      <c r="B7" s="621">
        <v>3</v>
      </c>
      <c r="C7" s="547" t="s">
        <v>179</v>
      </c>
      <c r="D7" s="552">
        <v>39679</v>
      </c>
      <c r="E7" s="19">
        <v>44470</v>
      </c>
      <c r="F7" s="564">
        <f t="shared" si="5"/>
        <v>13.126027397260273</v>
      </c>
      <c r="G7" s="605">
        <v>3</v>
      </c>
      <c r="H7" s="20">
        <f t="shared" si="0"/>
        <v>0.31666666666666665</v>
      </c>
      <c r="I7" s="566">
        <v>8850</v>
      </c>
      <c r="J7" s="566">
        <v>442.5</v>
      </c>
      <c r="K7" s="35">
        <v>0</v>
      </c>
      <c r="L7" s="18">
        <f t="shared" si="1"/>
        <v>8850</v>
      </c>
      <c r="M7" s="18">
        <f t="shared" si="2"/>
        <v>36785.691780821915</v>
      </c>
      <c r="N7" s="21">
        <f t="shared" si="3"/>
        <v>442.5</v>
      </c>
      <c r="O7" s="622">
        <f t="shared" si="4"/>
        <v>442.5</v>
      </c>
      <c r="P7" s="612"/>
    </row>
    <row r="8" spans="1:16" ht="15.75">
      <c r="A8" s="609"/>
      <c r="B8" s="621">
        <v>4</v>
      </c>
      <c r="C8" s="547" t="s">
        <v>180</v>
      </c>
      <c r="D8" s="552">
        <v>39736</v>
      </c>
      <c r="E8" s="19">
        <v>44470</v>
      </c>
      <c r="F8" s="564">
        <f t="shared" si="5"/>
        <v>12.96986301369863</v>
      </c>
      <c r="G8" s="605">
        <v>5</v>
      </c>
      <c r="H8" s="20">
        <f t="shared" si="0"/>
        <v>0.19</v>
      </c>
      <c r="I8" s="566">
        <v>23500</v>
      </c>
      <c r="J8" s="566">
        <v>1175</v>
      </c>
      <c r="K8" s="35">
        <v>0</v>
      </c>
      <c r="L8" s="18">
        <f t="shared" si="1"/>
        <v>23500</v>
      </c>
      <c r="M8" s="18">
        <f t="shared" si="2"/>
        <v>57910.438356164384</v>
      </c>
      <c r="N8" s="21">
        <f t="shared" si="3"/>
        <v>1175</v>
      </c>
      <c r="O8" s="622">
        <f t="shared" si="4"/>
        <v>1175</v>
      </c>
      <c r="P8" s="612"/>
    </row>
    <row r="9" spans="1:16" ht="15.75">
      <c r="A9" s="609"/>
      <c r="B9" s="621">
        <v>5</v>
      </c>
      <c r="C9" s="547" t="s">
        <v>181</v>
      </c>
      <c r="D9" s="552">
        <v>39880</v>
      </c>
      <c r="E9" s="19">
        <v>44470</v>
      </c>
      <c r="F9" s="564">
        <f t="shared" si="5"/>
        <v>12.575342465753424</v>
      </c>
      <c r="G9" s="605">
        <v>3</v>
      </c>
      <c r="H9" s="20">
        <f t="shared" si="0"/>
        <v>0.31666666666666665</v>
      </c>
      <c r="I9" s="566">
        <v>13000</v>
      </c>
      <c r="J9" s="566">
        <v>650</v>
      </c>
      <c r="K9" s="35">
        <v>0</v>
      </c>
      <c r="L9" s="18">
        <f t="shared" si="1"/>
        <v>13000</v>
      </c>
      <c r="M9" s="18">
        <f t="shared" si="2"/>
        <v>51768.493150684932</v>
      </c>
      <c r="N9" s="21">
        <f t="shared" si="3"/>
        <v>650</v>
      </c>
      <c r="O9" s="622">
        <f t="shared" si="4"/>
        <v>650</v>
      </c>
      <c r="P9" s="612"/>
    </row>
    <row r="10" spans="1:16" ht="15.75">
      <c r="A10" s="609"/>
      <c r="B10" s="621">
        <v>6</v>
      </c>
      <c r="C10" s="547" t="s">
        <v>182</v>
      </c>
      <c r="D10" s="552">
        <v>39967</v>
      </c>
      <c r="E10" s="19">
        <v>44470</v>
      </c>
      <c r="F10" s="564">
        <f t="shared" si="5"/>
        <v>12.336986301369864</v>
      </c>
      <c r="G10" s="605">
        <v>3</v>
      </c>
      <c r="H10" s="20">
        <f t="shared" si="0"/>
        <v>0.31666666666666665</v>
      </c>
      <c r="I10" s="566">
        <v>12375</v>
      </c>
      <c r="J10" s="566">
        <v>618.75</v>
      </c>
      <c r="K10" s="35">
        <v>0</v>
      </c>
      <c r="L10" s="18">
        <f t="shared" si="1"/>
        <v>12375</v>
      </c>
      <c r="M10" s="18">
        <f t="shared" si="2"/>
        <v>48345.565068493153</v>
      </c>
      <c r="N10" s="21">
        <f t="shared" si="3"/>
        <v>618.75</v>
      </c>
      <c r="O10" s="622">
        <f t="shared" si="4"/>
        <v>618.75</v>
      </c>
      <c r="P10" s="612"/>
    </row>
    <row r="11" spans="1:16" ht="15.75">
      <c r="A11" s="609"/>
      <c r="B11" s="621">
        <v>7</v>
      </c>
      <c r="C11" s="547" t="s">
        <v>183</v>
      </c>
      <c r="D11" s="552">
        <v>40292</v>
      </c>
      <c r="E11" s="19">
        <v>44470</v>
      </c>
      <c r="F11" s="564">
        <f t="shared" si="5"/>
        <v>11.446575342465753</v>
      </c>
      <c r="G11" s="605">
        <v>5</v>
      </c>
      <c r="H11" s="20">
        <f t="shared" si="0"/>
        <v>0.19</v>
      </c>
      <c r="I11" s="566">
        <v>6400</v>
      </c>
      <c r="J11" s="566">
        <v>320</v>
      </c>
      <c r="K11" s="35">
        <v>0</v>
      </c>
      <c r="L11" s="18">
        <f t="shared" si="1"/>
        <v>6400</v>
      </c>
      <c r="M11" s="18">
        <f t="shared" si="2"/>
        <v>13919.035616438356</v>
      </c>
      <c r="N11" s="21">
        <f t="shared" si="3"/>
        <v>320</v>
      </c>
      <c r="O11" s="622">
        <f t="shared" si="4"/>
        <v>320</v>
      </c>
      <c r="P11" s="612"/>
    </row>
    <row r="12" spans="1:16" ht="15.75">
      <c r="A12" s="609"/>
      <c r="B12" s="621">
        <v>8</v>
      </c>
      <c r="C12" s="547" t="s">
        <v>184</v>
      </c>
      <c r="D12" s="552">
        <v>40637</v>
      </c>
      <c r="E12" s="19">
        <v>44470</v>
      </c>
      <c r="F12" s="564">
        <f t="shared" si="5"/>
        <v>10.501369863013698</v>
      </c>
      <c r="G12" s="605">
        <v>6</v>
      </c>
      <c r="H12" s="20">
        <f t="shared" si="0"/>
        <v>0.15833333333333333</v>
      </c>
      <c r="I12" s="566">
        <v>48700</v>
      </c>
      <c r="J12" s="566">
        <v>2435</v>
      </c>
      <c r="K12" s="35">
        <v>0.16</v>
      </c>
      <c r="L12" s="18">
        <f t="shared" si="1"/>
        <v>56491.999999999993</v>
      </c>
      <c r="M12" s="18">
        <f t="shared" si="2"/>
        <v>93930.202831050206</v>
      </c>
      <c r="N12" s="21">
        <f t="shared" si="3"/>
        <v>2824.6</v>
      </c>
      <c r="O12" s="622">
        <f t="shared" si="4"/>
        <v>2824.6</v>
      </c>
      <c r="P12" s="612"/>
    </row>
    <row r="13" spans="1:16" ht="15.75">
      <c r="A13" s="609"/>
      <c r="B13" s="621">
        <v>9</v>
      </c>
      <c r="C13" s="547" t="s">
        <v>184</v>
      </c>
      <c r="D13" s="552">
        <v>40673</v>
      </c>
      <c r="E13" s="19">
        <v>44470</v>
      </c>
      <c r="F13" s="564">
        <f t="shared" si="5"/>
        <v>10.402739726027397</v>
      </c>
      <c r="G13" s="605">
        <v>6</v>
      </c>
      <c r="H13" s="20">
        <f t="shared" si="0"/>
        <v>0.15833333333333333</v>
      </c>
      <c r="I13" s="566">
        <v>53600</v>
      </c>
      <c r="J13" s="566">
        <v>2680</v>
      </c>
      <c r="K13" s="35">
        <v>0.16</v>
      </c>
      <c r="L13" s="18">
        <f t="shared" si="1"/>
        <v>62175.999999999993</v>
      </c>
      <c r="M13" s="18">
        <f t="shared" si="2"/>
        <v>102410.11799086755</v>
      </c>
      <c r="N13" s="21">
        <f t="shared" si="3"/>
        <v>3108.7999999999997</v>
      </c>
      <c r="O13" s="622">
        <f t="shared" si="4"/>
        <v>3108.7999999999997</v>
      </c>
      <c r="P13" s="612"/>
    </row>
    <row r="14" spans="1:16" ht="15.75">
      <c r="A14" s="609"/>
      <c r="B14" s="621">
        <v>10</v>
      </c>
      <c r="C14" s="547" t="s">
        <v>185</v>
      </c>
      <c r="D14" s="552">
        <v>40637</v>
      </c>
      <c r="E14" s="19">
        <v>44470</v>
      </c>
      <c r="F14" s="564">
        <f t="shared" si="5"/>
        <v>10.501369863013698</v>
      </c>
      <c r="G14" s="605">
        <v>3</v>
      </c>
      <c r="H14" s="20">
        <f t="shared" si="0"/>
        <v>0.31666666666666665</v>
      </c>
      <c r="I14" s="566">
        <v>30998</v>
      </c>
      <c r="J14" s="566">
        <v>1549.9000000000015</v>
      </c>
      <c r="K14" s="35">
        <v>0</v>
      </c>
      <c r="L14" s="18">
        <f t="shared" si="1"/>
        <v>30998</v>
      </c>
      <c r="M14" s="18">
        <f t="shared" si="2"/>
        <v>103081.79662100456</v>
      </c>
      <c r="N14" s="21">
        <f t="shared" si="3"/>
        <v>1549.9</v>
      </c>
      <c r="O14" s="622">
        <f t="shared" si="4"/>
        <v>1549.9</v>
      </c>
      <c r="P14" s="612"/>
    </row>
    <row r="15" spans="1:16" ht="15.75">
      <c r="A15" s="609"/>
      <c r="B15" s="621">
        <v>11</v>
      </c>
      <c r="C15" s="547" t="s">
        <v>186</v>
      </c>
      <c r="D15" s="552">
        <v>41240</v>
      </c>
      <c r="E15" s="19">
        <v>44470</v>
      </c>
      <c r="F15" s="564">
        <f t="shared" si="5"/>
        <v>8.8493150684931514</v>
      </c>
      <c r="G15" s="605">
        <v>3</v>
      </c>
      <c r="H15" s="20">
        <f t="shared" si="0"/>
        <v>0.31666666666666665</v>
      </c>
      <c r="I15" s="566">
        <v>75000</v>
      </c>
      <c r="J15" s="566">
        <v>3750</v>
      </c>
      <c r="K15" s="35">
        <v>0</v>
      </c>
      <c r="L15" s="18">
        <f t="shared" si="1"/>
        <v>75000</v>
      </c>
      <c r="M15" s="18">
        <f t="shared" si="2"/>
        <v>210171.23287671231</v>
      </c>
      <c r="N15" s="21">
        <f t="shared" si="3"/>
        <v>3750</v>
      </c>
      <c r="O15" s="622">
        <f t="shared" si="4"/>
        <v>3750</v>
      </c>
      <c r="P15" s="612"/>
    </row>
    <row r="16" spans="1:16" ht="15.75">
      <c r="A16" s="609"/>
      <c r="B16" s="621">
        <v>12</v>
      </c>
      <c r="C16" s="547" t="s">
        <v>184</v>
      </c>
      <c r="D16" s="552">
        <v>41495</v>
      </c>
      <c r="E16" s="19">
        <v>44470</v>
      </c>
      <c r="F16" s="564">
        <f t="shared" si="5"/>
        <v>8.1506849315068486</v>
      </c>
      <c r="G16" s="605">
        <v>6</v>
      </c>
      <c r="H16" s="20">
        <f t="shared" si="0"/>
        <v>0.15833333333333333</v>
      </c>
      <c r="I16" s="566">
        <v>38500</v>
      </c>
      <c r="J16" s="566">
        <v>1925</v>
      </c>
      <c r="K16" s="35">
        <v>0.12</v>
      </c>
      <c r="L16" s="18">
        <f t="shared" si="1"/>
        <v>43120.000000000007</v>
      </c>
      <c r="M16" s="18">
        <f t="shared" si="2"/>
        <v>55647.44292237443</v>
      </c>
      <c r="N16" s="21">
        <f t="shared" si="3"/>
        <v>2156.0000000000005</v>
      </c>
      <c r="O16" s="622">
        <f t="shared" si="4"/>
        <v>2156.0000000000005</v>
      </c>
      <c r="P16" s="612"/>
    </row>
    <row r="17" spans="1:16" ht="15.75">
      <c r="A17" s="609"/>
      <c r="B17" s="621">
        <v>13</v>
      </c>
      <c r="C17" s="547" t="s">
        <v>187</v>
      </c>
      <c r="D17" s="552">
        <v>41712</v>
      </c>
      <c r="E17" s="19">
        <v>44470</v>
      </c>
      <c r="F17" s="564">
        <f t="shared" si="5"/>
        <v>7.5561643835616437</v>
      </c>
      <c r="G17" s="605">
        <v>3</v>
      </c>
      <c r="H17" s="20">
        <f t="shared" si="0"/>
        <v>0.31666666666666665</v>
      </c>
      <c r="I17" s="566">
        <v>14900</v>
      </c>
      <c r="J17" s="566">
        <v>745</v>
      </c>
      <c r="K17" s="35">
        <v>0</v>
      </c>
      <c r="L17" s="18">
        <f t="shared" si="1"/>
        <v>14900</v>
      </c>
      <c r="M17" s="18">
        <f t="shared" si="2"/>
        <v>35652.502283105023</v>
      </c>
      <c r="N17" s="21">
        <f t="shared" si="3"/>
        <v>745</v>
      </c>
      <c r="O17" s="622">
        <f t="shared" si="4"/>
        <v>745</v>
      </c>
      <c r="P17" s="612"/>
    </row>
    <row r="18" spans="1:16" ht="15.75">
      <c r="A18" s="609"/>
      <c r="B18" s="621">
        <v>14</v>
      </c>
      <c r="C18" s="551" t="s">
        <v>187</v>
      </c>
      <c r="D18" s="552">
        <v>41730</v>
      </c>
      <c r="E18" s="19">
        <v>44470</v>
      </c>
      <c r="F18" s="564">
        <f t="shared" si="5"/>
        <v>7.506849315068493</v>
      </c>
      <c r="G18" s="605">
        <v>3</v>
      </c>
      <c r="H18" s="20">
        <f t="shared" si="0"/>
        <v>0.31666666666666665</v>
      </c>
      <c r="I18" s="568">
        <v>33000</v>
      </c>
      <c r="J18" s="566">
        <v>1650</v>
      </c>
      <c r="K18" s="35">
        <v>0</v>
      </c>
      <c r="L18" s="18">
        <f t="shared" si="1"/>
        <v>33000</v>
      </c>
      <c r="M18" s="18">
        <f t="shared" si="2"/>
        <v>78446.57534246576</v>
      </c>
      <c r="N18" s="21">
        <f t="shared" si="3"/>
        <v>1650</v>
      </c>
      <c r="O18" s="622">
        <f t="shared" si="4"/>
        <v>1650</v>
      </c>
      <c r="P18" s="612"/>
    </row>
    <row r="19" spans="1:16" ht="15.75">
      <c r="A19" s="609"/>
      <c r="B19" s="621">
        <v>15</v>
      </c>
      <c r="C19" s="551" t="s">
        <v>187</v>
      </c>
      <c r="D19" s="552">
        <v>41733</v>
      </c>
      <c r="E19" s="19">
        <v>44470</v>
      </c>
      <c r="F19" s="564">
        <f t="shared" si="5"/>
        <v>7.4986301369863018</v>
      </c>
      <c r="G19" s="605">
        <v>3</v>
      </c>
      <c r="H19" s="20">
        <f t="shared" si="0"/>
        <v>0.31666666666666665</v>
      </c>
      <c r="I19" s="568">
        <f>6750+1000+3400</f>
        <v>11150</v>
      </c>
      <c r="J19" s="566">
        <v>557.56999999999971</v>
      </c>
      <c r="K19" s="35">
        <v>0</v>
      </c>
      <c r="L19" s="18">
        <f t="shared" si="1"/>
        <v>11150</v>
      </c>
      <c r="M19" s="18">
        <f t="shared" si="2"/>
        <v>26476.41324200913</v>
      </c>
      <c r="N19" s="21">
        <f t="shared" si="3"/>
        <v>557.5</v>
      </c>
      <c r="O19" s="622">
        <f t="shared" si="4"/>
        <v>557.5</v>
      </c>
      <c r="P19" s="612"/>
    </row>
    <row r="20" spans="1:16" ht="15.75">
      <c r="A20" s="609"/>
      <c r="B20" s="621">
        <v>16</v>
      </c>
      <c r="C20" s="551" t="s">
        <v>187</v>
      </c>
      <c r="D20" s="552">
        <v>41746</v>
      </c>
      <c r="E20" s="19">
        <v>44470</v>
      </c>
      <c r="F20" s="564">
        <f t="shared" si="5"/>
        <v>7.463013698630137</v>
      </c>
      <c r="G20" s="605">
        <v>3</v>
      </c>
      <c r="H20" s="20">
        <f t="shared" si="0"/>
        <v>0.31666666666666665</v>
      </c>
      <c r="I20" s="568">
        <f>3350+4400</f>
        <v>7750</v>
      </c>
      <c r="J20" s="566">
        <v>387.73999999999978</v>
      </c>
      <c r="K20" s="35">
        <v>0</v>
      </c>
      <c r="L20" s="18">
        <f t="shared" si="1"/>
        <v>7750</v>
      </c>
      <c r="M20" s="18">
        <f t="shared" si="2"/>
        <v>18315.479452054795</v>
      </c>
      <c r="N20" s="21">
        <f t="shared" si="3"/>
        <v>387.5</v>
      </c>
      <c r="O20" s="622">
        <f t="shared" si="4"/>
        <v>387.5</v>
      </c>
      <c r="P20" s="612"/>
    </row>
    <row r="21" spans="1:16" ht="15.75">
      <c r="A21" s="609"/>
      <c r="B21" s="621">
        <v>17</v>
      </c>
      <c r="C21" s="551" t="s">
        <v>187</v>
      </c>
      <c r="D21" s="552">
        <v>41889</v>
      </c>
      <c r="E21" s="19">
        <v>44470</v>
      </c>
      <c r="F21" s="564">
        <f t="shared" si="5"/>
        <v>7.0712328767123287</v>
      </c>
      <c r="G21" s="605">
        <v>3</v>
      </c>
      <c r="H21" s="20">
        <f t="shared" si="0"/>
        <v>0.31666666666666665</v>
      </c>
      <c r="I21" s="568">
        <v>4600</v>
      </c>
      <c r="J21" s="566">
        <v>231.34000000000015</v>
      </c>
      <c r="K21" s="35">
        <v>0</v>
      </c>
      <c r="L21" s="18">
        <f t="shared" si="1"/>
        <v>4600</v>
      </c>
      <c r="M21" s="18">
        <f t="shared" si="2"/>
        <v>10300.429223744291</v>
      </c>
      <c r="N21" s="21">
        <f t="shared" si="3"/>
        <v>230</v>
      </c>
      <c r="O21" s="622">
        <f t="shared" si="4"/>
        <v>230</v>
      </c>
      <c r="P21" s="612"/>
    </row>
    <row r="22" spans="1:16" ht="15.75">
      <c r="A22" s="609"/>
      <c r="B22" s="621">
        <v>18</v>
      </c>
      <c r="C22" s="551" t="s">
        <v>187</v>
      </c>
      <c r="D22" s="552">
        <v>42061</v>
      </c>
      <c r="E22" s="19">
        <v>44470</v>
      </c>
      <c r="F22" s="564">
        <f t="shared" si="5"/>
        <v>6.6</v>
      </c>
      <c r="G22" s="605">
        <v>3</v>
      </c>
      <c r="H22" s="20">
        <f t="shared" si="0"/>
        <v>0.31666666666666665</v>
      </c>
      <c r="I22" s="568">
        <v>5590</v>
      </c>
      <c r="J22" s="566">
        <v>279.8100000000004</v>
      </c>
      <c r="K22" s="35">
        <v>0</v>
      </c>
      <c r="L22" s="18">
        <f t="shared" si="1"/>
        <v>5590</v>
      </c>
      <c r="M22" s="18">
        <f t="shared" si="2"/>
        <v>11683.099999999999</v>
      </c>
      <c r="N22" s="21">
        <f t="shared" si="3"/>
        <v>279.5</v>
      </c>
      <c r="O22" s="622">
        <f t="shared" si="4"/>
        <v>279.5</v>
      </c>
      <c r="P22" s="612"/>
    </row>
    <row r="23" spans="1:16" ht="15.75">
      <c r="A23" s="609"/>
      <c r="B23" s="621">
        <v>19</v>
      </c>
      <c r="C23" s="551" t="s">
        <v>188</v>
      </c>
      <c r="D23" s="552">
        <v>41904</v>
      </c>
      <c r="E23" s="19">
        <v>44470</v>
      </c>
      <c r="F23" s="564">
        <f t="shared" si="5"/>
        <v>7.0301369863013701</v>
      </c>
      <c r="G23" s="605">
        <v>3</v>
      </c>
      <c r="H23" s="20">
        <f t="shared" si="0"/>
        <v>0.31666666666666665</v>
      </c>
      <c r="I23" s="568">
        <v>35000</v>
      </c>
      <c r="J23" s="566">
        <v>1750.1600000000035</v>
      </c>
      <c r="K23" s="35">
        <v>0</v>
      </c>
      <c r="L23" s="18">
        <f t="shared" si="1"/>
        <v>35000</v>
      </c>
      <c r="M23" s="18">
        <f t="shared" si="2"/>
        <v>77917.351598173511</v>
      </c>
      <c r="N23" s="21">
        <f t="shared" si="3"/>
        <v>1750</v>
      </c>
      <c r="O23" s="622">
        <f t="shared" si="4"/>
        <v>1750</v>
      </c>
      <c r="P23" s="612"/>
    </row>
    <row r="24" spans="1:16" ht="15.75">
      <c r="A24" s="609"/>
      <c r="B24" s="621">
        <v>20</v>
      </c>
      <c r="C24" s="551" t="s">
        <v>188</v>
      </c>
      <c r="D24" s="552">
        <v>41923</v>
      </c>
      <c r="E24" s="19">
        <v>44470</v>
      </c>
      <c r="F24" s="564">
        <f t="shared" si="5"/>
        <v>6.978082191780822</v>
      </c>
      <c r="G24" s="605">
        <v>3</v>
      </c>
      <c r="H24" s="20">
        <f t="shared" si="0"/>
        <v>0.31666666666666665</v>
      </c>
      <c r="I24" s="568">
        <v>11450</v>
      </c>
      <c r="J24" s="566">
        <v>572.50000000000091</v>
      </c>
      <c r="K24" s="35">
        <v>0</v>
      </c>
      <c r="L24" s="18">
        <f t="shared" si="1"/>
        <v>11450</v>
      </c>
      <c r="M24" s="18">
        <f t="shared" si="2"/>
        <v>25301.363013698632</v>
      </c>
      <c r="N24" s="21">
        <f t="shared" si="3"/>
        <v>572.5</v>
      </c>
      <c r="O24" s="622">
        <f t="shared" si="4"/>
        <v>572.5</v>
      </c>
      <c r="P24" s="612"/>
    </row>
    <row r="25" spans="1:16" ht="15.75">
      <c r="A25" s="609"/>
      <c r="B25" s="621">
        <v>21</v>
      </c>
      <c r="C25" s="550" t="s">
        <v>189</v>
      </c>
      <c r="D25" s="552">
        <v>42138</v>
      </c>
      <c r="E25" s="19">
        <v>44470</v>
      </c>
      <c r="F25" s="564">
        <f t="shared" si="5"/>
        <v>6.3890410958904109</v>
      </c>
      <c r="G25" s="605">
        <v>3</v>
      </c>
      <c r="H25" s="20">
        <f t="shared" si="0"/>
        <v>0.31666666666666665</v>
      </c>
      <c r="I25" s="567">
        <v>5000</v>
      </c>
      <c r="J25" s="566">
        <v>250.00000000000006</v>
      </c>
      <c r="K25" s="35">
        <v>0</v>
      </c>
      <c r="L25" s="18">
        <f t="shared" si="1"/>
        <v>5000</v>
      </c>
      <c r="M25" s="18">
        <f t="shared" si="2"/>
        <v>10115.981735159816</v>
      </c>
      <c r="N25" s="21">
        <f t="shared" si="3"/>
        <v>250</v>
      </c>
      <c r="O25" s="622">
        <f t="shared" si="4"/>
        <v>250</v>
      </c>
      <c r="P25" s="612"/>
    </row>
    <row r="26" spans="1:16" ht="15.75">
      <c r="A26" s="609"/>
      <c r="B26" s="621">
        <v>22</v>
      </c>
      <c r="C26" s="550" t="s">
        <v>190</v>
      </c>
      <c r="D26" s="552">
        <v>42142</v>
      </c>
      <c r="E26" s="19">
        <v>44470</v>
      </c>
      <c r="F26" s="564">
        <f t="shared" si="5"/>
        <v>6.3780821917808215</v>
      </c>
      <c r="G26" s="605">
        <v>3</v>
      </c>
      <c r="H26" s="20">
        <f t="shared" si="0"/>
        <v>0.31666666666666665</v>
      </c>
      <c r="I26" s="567">
        <v>5000</v>
      </c>
      <c r="J26" s="566">
        <v>249.99999999999994</v>
      </c>
      <c r="K26" s="35">
        <v>0</v>
      </c>
      <c r="L26" s="18">
        <f t="shared" si="1"/>
        <v>5000</v>
      </c>
      <c r="M26" s="18">
        <f t="shared" si="2"/>
        <v>10098.630136986299</v>
      </c>
      <c r="N26" s="21">
        <f t="shared" si="3"/>
        <v>250</v>
      </c>
      <c r="O26" s="622">
        <f t="shared" si="4"/>
        <v>250</v>
      </c>
      <c r="P26" s="612"/>
    </row>
    <row r="27" spans="1:16" ht="15.75">
      <c r="A27" s="609"/>
      <c r="B27" s="621">
        <v>23</v>
      </c>
      <c r="C27" s="550" t="s">
        <v>187</v>
      </c>
      <c r="D27" s="552">
        <v>42146</v>
      </c>
      <c r="E27" s="19">
        <v>44470</v>
      </c>
      <c r="F27" s="564">
        <f t="shared" si="5"/>
        <v>6.3671232876712329</v>
      </c>
      <c r="G27" s="605">
        <v>3</v>
      </c>
      <c r="H27" s="20">
        <f t="shared" si="0"/>
        <v>0.31666666666666665</v>
      </c>
      <c r="I27" s="567">
        <v>5000</v>
      </c>
      <c r="J27" s="566">
        <v>249.99999999999977</v>
      </c>
      <c r="K27" s="35">
        <v>0</v>
      </c>
      <c r="L27" s="18">
        <f t="shared" si="1"/>
        <v>5000</v>
      </c>
      <c r="M27" s="18">
        <f t="shared" si="2"/>
        <v>10081.278538812785</v>
      </c>
      <c r="N27" s="21">
        <f t="shared" si="3"/>
        <v>250</v>
      </c>
      <c r="O27" s="622">
        <f t="shared" si="4"/>
        <v>250</v>
      </c>
      <c r="P27" s="612"/>
    </row>
    <row r="28" spans="1:16" ht="15.75">
      <c r="A28" s="609"/>
      <c r="B28" s="621">
        <v>24</v>
      </c>
      <c r="C28" s="550" t="s">
        <v>187</v>
      </c>
      <c r="D28" s="552">
        <v>42203</v>
      </c>
      <c r="E28" s="19">
        <v>44470</v>
      </c>
      <c r="F28" s="564">
        <f t="shared" si="5"/>
        <v>6.2109589041095887</v>
      </c>
      <c r="G28" s="605">
        <v>3</v>
      </c>
      <c r="H28" s="20">
        <f t="shared" si="0"/>
        <v>0.31666666666666665</v>
      </c>
      <c r="I28" s="567">
        <v>14900</v>
      </c>
      <c r="J28" s="566">
        <v>745.00000000000011</v>
      </c>
      <c r="K28" s="35">
        <v>0</v>
      </c>
      <c r="L28" s="18">
        <f t="shared" si="1"/>
        <v>14900</v>
      </c>
      <c r="M28" s="18">
        <f t="shared" si="2"/>
        <v>29305.374429223742</v>
      </c>
      <c r="N28" s="21">
        <f t="shared" si="3"/>
        <v>745</v>
      </c>
      <c r="O28" s="622">
        <f t="shared" si="4"/>
        <v>745</v>
      </c>
      <c r="P28" s="612"/>
    </row>
    <row r="29" spans="1:16" ht="15.75">
      <c r="A29" s="609"/>
      <c r="B29" s="621">
        <v>25</v>
      </c>
      <c r="C29" s="550" t="s">
        <v>191</v>
      </c>
      <c r="D29" s="552">
        <v>42105</v>
      </c>
      <c r="E29" s="19">
        <v>44470</v>
      </c>
      <c r="F29" s="564">
        <f t="shared" si="5"/>
        <v>6.4794520547945202</v>
      </c>
      <c r="G29" s="605">
        <v>5</v>
      </c>
      <c r="H29" s="20">
        <f t="shared" si="0"/>
        <v>0.19</v>
      </c>
      <c r="I29" s="567">
        <v>22614</v>
      </c>
      <c r="J29" s="566">
        <v>1130.6999999999982</v>
      </c>
      <c r="K29" s="35">
        <v>0</v>
      </c>
      <c r="L29" s="18">
        <f t="shared" si="1"/>
        <v>22614</v>
      </c>
      <c r="M29" s="18">
        <f t="shared" si="2"/>
        <v>27840.002465753423</v>
      </c>
      <c r="N29" s="21">
        <f t="shared" si="3"/>
        <v>1130.7</v>
      </c>
      <c r="O29" s="622">
        <f t="shared" si="4"/>
        <v>1130.7</v>
      </c>
      <c r="P29" s="612"/>
    </row>
    <row r="30" spans="1:16" ht="15.75">
      <c r="A30" s="609"/>
      <c r="B30" s="621">
        <v>26</v>
      </c>
      <c r="C30" s="550" t="s">
        <v>191</v>
      </c>
      <c r="D30" s="552">
        <v>42144</v>
      </c>
      <c r="E30" s="19">
        <v>44470</v>
      </c>
      <c r="F30" s="564">
        <f t="shared" si="5"/>
        <v>6.3726027397260276</v>
      </c>
      <c r="G30" s="605">
        <v>5</v>
      </c>
      <c r="H30" s="20">
        <f t="shared" si="0"/>
        <v>0.19</v>
      </c>
      <c r="I30" s="567">
        <v>189911</v>
      </c>
      <c r="J30" s="566">
        <v>9495.5499999999884</v>
      </c>
      <c r="K30" s="35">
        <v>0</v>
      </c>
      <c r="L30" s="18">
        <f t="shared" si="1"/>
        <v>189911</v>
      </c>
      <c r="M30" s="18">
        <f t="shared" si="2"/>
        <v>229943.19819178086</v>
      </c>
      <c r="N30" s="21">
        <f t="shared" si="3"/>
        <v>9495.5500000000011</v>
      </c>
      <c r="O30" s="622">
        <f t="shared" si="4"/>
        <v>9495.5500000000011</v>
      </c>
      <c r="P30" s="612"/>
    </row>
    <row r="31" spans="1:16" ht="15.75">
      <c r="A31" s="609"/>
      <c r="B31" s="621">
        <v>27</v>
      </c>
      <c r="C31" s="550" t="s">
        <v>191</v>
      </c>
      <c r="D31" s="552">
        <v>42171</v>
      </c>
      <c r="E31" s="19">
        <v>44470</v>
      </c>
      <c r="F31" s="564">
        <f t="shared" si="5"/>
        <v>6.2986301369863016</v>
      </c>
      <c r="G31" s="605">
        <v>5</v>
      </c>
      <c r="H31" s="20">
        <f t="shared" si="0"/>
        <v>0.19</v>
      </c>
      <c r="I31" s="567">
        <v>49597</v>
      </c>
      <c r="J31" s="566">
        <v>2479.8499999999976</v>
      </c>
      <c r="K31" s="35">
        <v>0</v>
      </c>
      <c r="L31" s="18">
        <f t="shared" si="1"/>
        <v>49597</v>
      </c>
      <c r="M31" s="18">
        <f t="shared" si="2"/>
        <v>59354.700191780823</v>
      </c>
      <c r="N31" s="21">
        <f t="shared" si="3"/>
        <v>2479.8500000000004</v>
      </c>
      <c r="O31" s="622">
        <f t="shared" si="4"/>
        <v>2479.8500000000004</v>
      </c>
      <c r="P31" s="612"/>
    </row>
    <row r="32" spans="1:16" ht="15.75">
      <c r="A32" s="609"/>
      <c r="B32" s="621">
        <v>28</v>
      </c>
      <c r="C32" s="550" t="s">
        <v>192</v>
      </c>
      <c r="D32" s="552">
        <v>42247</v>
      </c>
      <c r="E32" s="19">
        <v>44470</v>
      </c>
      <c r="F32" s="564">
        <f t="shared" si="5"/>
        <v>6.0904109589041093</v>
      </c>
      <c r="G32" s="605">
        <v>3</v>
      </c>
      <c r="H32" s="20">
        <f t="shared" si="0"/>
        <v>0.31666666666666665</v>
      </c>
      <c r="I32" s="567">
        <v>32025</v>
      </c>
      <c r="J32" s="566">
        <v>1601.2499999999982</v>
      </c>
      <c r="K32" s="35">
        <v>0</v>
      </c>
      <c r="L32" s="18">
        <f t="shared" si="1"/>
        <v>32025</v>
      </c>
      <c r="M32" s="18">
        <f t="shared" si="2"/>
        <v>61764.380136986299</v>
      </c>
      <c r="N32" s="21">
        <f t="shared" si="3"/>
        <v>1601.25</v>
      </c>
      <c r="O32" s="622">
        <f t="shared" si="4"/>
        <v>1601.25</v>
      </c>
      <c r="P32" s="612"/>
    </row>
    <row r="33" spans="1:16" ht="15.75">
      <c r="A33" s="609"/>
      <c r="B33" s="621">
        <v>29</v>
      </c>
      <c r="C33" s="550" t="s">
        <v>192</v>
      </c>
      <c r="D33" s="552">
        <v>42263</v>
      </c>
      <c r="E33" s="19">
        <v>44470</v>
      </c>
      <c r="F33" s="564">
        <f t="shared" si="5"/>
        <v>6.0465753424657533</v>
      </c>
      <c r="G33" s="605">
        <v>3</v>
      </c>
      <c r="H33" s="20">
        <f t="shared" si="0"/>
        <v>0.31666666666666665</v>
      </c>
      <c r="I33" s="567">
        <v>21000</v>
      </c>
      <c r="J33" s="566">
        <v>1050.0000000000016</v>
      </c>
      <c r="K33" s="35">
        <v>0</v>
      </c>
      <c r="L33" s="18">
        <f t="shared" si="1"/>
        <v>21000</v>
      </c>
      <c r="M33" s="18">
        <f t="shared" si="2"/>
        <v>40209.726027397257</v>
      </c>
      <c r="N33" s="21">
        <f t="shared" si="3"/>
        <v>1050</v>
      </c>
      <c r="O33" s="622">
        <f t="shared" si="4"/>
        <v>1050</v>
      </c>
      <c r="P33" s="612"/>
    </row>
    <row r="34" spans="1:16" ht="15.75">
      <c r="A34" s="609"/>
      <c r="B34" s="621">
        <v>30</v>
      </c>
      <c r="C34" s="550" t="s">
        <v>192</v>
      </c>
      <c r="D34" s="552">
        <v>42269</v>
      </c>
      <c r="E34" s="19">
        <v>44470</v>
      </c>
      <c r="F34" s="564">
        <f t="shared" si="5"/>
        <v>6.0301369863013701</v>
      </c>
      <c r="G34" s="605">
        <v>3</v>
      </c>
      <c r="H34" s="20">
        <f t="shared" si="0"/>
        <v>0.31666666666666665</v>
      </c>
      <c r="I34" s="567">
        <v>63525</v>
      </c>
      <c r="J34" s="566">
        <v>3176.2500000000027</v>
      </c>
      <c r="K34" s="35">
        <v>0</v>
      </c>
      <c r="L34" s="18">
        <f t="shared" si="1"/>
        <v>63525</v>
      </c>
      <c r="M34" s="18">
        <f t="shared" si="2"/>
        <v>121303.74315068492</v>
      </c>
      <c r="N34" s="21">
        <f t="shared" si="3"/>
        <v>3176.25</v>
      </c>
      <c r="O34" s="622">
        <f t="shared" si="4"/>
        <v>3176.25</v>
      </c>
      <c r="P34" s="612"/>
    </row>
    <row r="35" spans="1:16" ht="15.75">
      <c r="A35" s="609"/>
      <c r="B35" s="621">
        <v>31</v>
      </c>
      <c r="C35" s="549" t="s">
        <v>193</v>
      </c>
      <c r="D35" s="552">
        <v>42529</v>
      </c>
      <c r="E35" s="19">
        <v>44470</v>
      </c>
      <c r="F35" s="564">
        <f t="shared" si="5"/>
        <v>5.3178082191780822</v>
      </c>
      <c r="G35" s="605">
        <v>3</v>
      </c>
      <c r="H35" s="20">
        <f t="shared" si="0"/>
        <v>0.31666666666666665</v>
      </c>
      <c r="I35" s="567">
        <v>6749</v>
      </c>
      <c r="J35" s="566">
        <v>576.89794457274843</v>
      </c>
      <c r="K35" s="35">
        <v>0</v>
      </c>
      <c r="L35" s="18">
        <f t="shared" si="1"/>
        <v>6749</v>
      </c>
      <c r="M35" s="18">
        <f t="shared" si="2"/>
        <v>11365.131095890411</v>
      </c>
      <c r="N35" s="21">
        <f t="shared" si="3"/>
        <v>337.45000000000005</v>
      </c>
      <c r="O35" s="622">
        <f t="shared" si="4"/>
        <v>337.45000000000005</v>
      </c>
      <c r="P35" s="612"/>
    </row>
    <row r="36" spans="1:16" ht="15.75">
      <c r="A36" s="609"/>
      <c r="B36" s="621">
        <v>32</v>
      </c>
      <c r="C36" s="549" t="s">
        <v>194</v>
      </c>
      <c r="D36" s="552">
        <v>42480</v>
      </c>
      <c r="E36" s="19">
        <v>44470</v>
      </c>
      <c r="F36" s="564">
        <f t="shared" si="5"/>
        <v>5.4520547945205475</v>
      </c>
      <c r="G36" s="605">
        <v>6</v>
      </c>
      <c r="H36" s="20">
        <f t="shared" si="0"/>
        <v>0.15833333333333333</v>
      </c>
      <c r="I36" s="567">
        <v>70393</v>
      </c>
      <c r="J36" s="566">
        <v>4217.678828125001</v>
      </c>
      <c r="K36" s="35">
        <v>0.06</v>
      </c>
      <c r="L36" s="18">
        <f t="shared" si="1"/>
        <v>74616.58</v>
      </c>
      <c r="M36" s="18">
        <f t="shared" si="2"/>
        <v>64412.166433789949</v>
      </c>
      <c r="N36" s="21">
        <f t="shared" si="3"/>
        <v>10204.413566210053</v>
      </c>
      <c r="O36" s="622">
        <f t="shared" si="4"/>
        <v>9183.9722095890484</v>
      </c>
      <c r="P36" s="612"/>
    </row>
    <row r="37" spans="1:16" ht="15.75">
      <c r="A37" s="609"/>
      <c r="B37" s="621">
        <v>33</v>
      </c>
      <c r="C37" s="549" t="s">
        <v>195</v>
      </c>
      <c r="D37" s="552">
        <v>42464</v>
      </c>
      <c r="E37" s="19">
        <v>44470</v>
      </c>
      <c r="F37" s="564">
        <f t="shared" si="5"/>
        <v>5.4958904109589044</v>
      </c>
      <c r="G37" s="605">
        <v>20</v>
      </c>
      <c r="H37" s="20">
        <f t="shared" ref="H37:H61" si="6">(95/G37/100)</f>
        <v>4.7500000000000001E-2</v>
      </c>
      <c r="I37" s="567">
        <f>360323.16+143195</f>
        <v>503518.16</v>
      </c>
      <c r="J37" s="566">
        <v>25964.360760869546</v>
      </c>
      <c r="K37" s="35">
        <v>0.06</v>
      </c>
      <c r="L37" s="18">
        <f t="shared" si="1"/>
        <v>533729.24959999998</v>
      </c>
      <c r="M37" s="18">
        <f t="shared" ref="M37:M61" si="7">F37*H37*L37</f>
        <v>139332.57958393425</v>
      </c>
      <c r="N37" s="21">
        <f t="shared" si="3"/>
        <v>394396.67001606571</v>
      </c>
      <c r="O37" s="622">
        <f t="shared" si="4"/>
        <v>354957.00301445916</v>
      </c>
      <c r="P37" s="612"/>
    </row>
    <row r="38" spans="1:16" ht="15.75">
      <c r="A38" s="609"/>
      <c r="B38" s="621">
        <v>34</v>
      </c>
      <c r="C38" s="549" t="s">
        <v>195</v>
      </c>
      <c r="D38" s="552">
        <v>42468</v>
      </c>
      <c r="E38" s="19">
        <v>44470</v>
      </c>
      <c r="F38" s="564">
        <f t="shared" si="5"/>
        <v>5.484931506849315</v>
      </c>
      <c r="G38" s="605">
        <v>20</v>
      </c>
      <c r="H38" s="20">
        <f t="shared" si="6"/>
        <v>4.7500000000000001E-2</v>
      </c>
      <c r="I38" s="567">
        <v>117381</v>
      </c>
      <c r="J38" s="566">
        <v>6297.9168548387061</v>
      </c>
      <c r="K38" s="35">
        <v>0.06</v>
      </c>
      <c r="L38" s="18">
        <f t="shared" si="1"/>
        <v>124423.86</v>
      </c>
      <c r="M38" s="18">
        <f t="shared" si="7"/>
        <v>32416.676621095892</v>
      </c>
      <c r="N38" s="21">
        <f t="shared" si="3"/>
        <v>92007.183378904112</v>
      </c>
      <c r="O38" s="622">
        <f t="shared" si="4"/>
        <v>82806.465041013696</v>
      </c>
      <c r="P38" s="612"/>
    </row>
    <row r="39" spans="1:16" ht="15.75">
      <c r="A39" s="609"/>
      <c r="B39" s="621">
        <v>35</v>
      </c>
      <c r="C39" s="549" t="s">
        <v>195</v>
      </c>
      <c r="D39" s="552">
        <v>42475</v>
      </c>
      <c r="E39" s="19">
        <v>44470</v>
      </c>
      <c r="F39" s="564">
        <f t="shared" si="5"/>
        <v>5.4657534246575343</v>
      </c>
      <c r="G39" s="605">
        <v>20</v>
      </c>
      <c r="H39" s="20">
        <f t="shared" si="6"/>
        <v>4.7500000000000001E-2</v>
      </c>
      <c r="I39" s="567">
        <v>352143</v>
      </c>
      <c r="J39" s="566">
        <v>20180.223667546175</v>
      </c>
      <c r="K39" s="35">
        <v>0.06</v>
      </c>
      <c r="L39" s="18">
        <f t="shared" si="1"/>
        <v>373271.58</v>
      </c>
      <c r="M39" s="18">
        <f t="shared" si="7"/>
        <v>96909.99479383562</v>
      </c>
      <c r="N39" s="21">
        <f t="shared" si="3"/>
        <v>276361.5852061644</v>
      </c>
      <c r="O39" s="622">
        <f t="shared" si="4"/>
        <v>248725.42668554795</v>
      </c>
      <c r="P39" s="612"/>
    </row>
    <row r="40" spans="1:16" ht="15.75">
      <c r="A40" s="609"/>
      <c r="B40" s="621">
        <v>36</v>
      </c>
      <c r="C40" s="549" t="s">
        <v>187</v>
      </c>
      <c r="D40" s="552">
        <v>42816</v>
      </c>
      <c r="E40" s="19">
        <v>44470</v>
      </c>
      <c r="F40" s="564">
        <f t="shared" si="5"/>
        <v>4.5315068493150683</v>
      </c>
      <c r="G40" s="605">
        <v>3</v>
      </c>
      <c r="H40" s="20">
        <f t="shared" si="6"/>
        <v>0.31666666666666665</v>
      </c>
      <c r="I40" s="567">
        <v>6200</v>
      </c>
      <c r="J40" s="566">
        <v>1457.315625</v>
      </c>
      <c r="K40" s="35">
        <v>0</v>
      </c>
      <c r="L40" s="18">
        <f t="shared" si="1"/>
        <v>6200</v>
      </c>
      <c r="M40" s="18">
        <f t="shared" si="7"/>
        <v>8896.8584474885829</v>
      </c>
      <c r="N40" s="21">
        <f t="shared" si="3"/>
        <v>310</v>
      </c>
      <c r="O40" s="622">
        <f t="shared" si="4"/>
        <v>310</v>
      </c>
      <c r="P40" s="612"/>
    </row>
    <row r="41" spans="1:16" ht="15.75">
      <c r="A41" s="609"/>
      <c r="B41" s="621">
        <v>37</v>
      </c>
      <c r="C41" s="549" t="s">
        <v>188</v>
      </c>
      <c r="D41" s="552">
        <v>42632</v>
      </c>
      <c r="E41" s="19">
        <v>44470</v>
      </c>
      <c r="F41" s="564">
        <f t="shared" si="5"/>
        <v>5.0356164383561648</v>
      </c>
      <c r="G41" s="605">
        <v>3</v>
      </c>
      <c r="H41" s="20">
        <f t="shared" si="6"/>
        <v>0.31666666666666665</v>
      </c>
      <c r="I41" s="567">
        <v>18800</v>
      </c>
      <c r="J41" s="566">
        <v>2616.5784328358213</v>
      </c>
      <c r="K41" s="35">
        <v>0</v>
      </c>
      <c r="L41" s="18">
        <f t="shared" si="1"/>
        <v>18800</v>
      </c>
      <c r="M41" s="18">
        <f t="shared" si="7"/>
        <v>29978.703196347036</v>
      </c>
      <c r="N41" s="21">
        <f t="shared" si="3"/>
        <v>940</v>
      </c>
      <c r="O41" s="622">
        <f t="shared" si="4"/>
        <v>940</v>
      </c>
      <c r="P41" s="612"/>
    </row>
    <row r="42" spans="1:16" ht="15.75">
      <c r="A42" s="609"/>
      <c r="B42" s="621">
        <v>38</v>
      </c>
      <c r="C42" s="549" t="s">
        <v>188</v>
      </c>
      <c r="D42" s="552">
        <v>42632</v>
      </c>
      <c r="E42" s="19">
        <v>44470</v>
      </c>
      <c r="F42" s="564">
        <f t="shared" si="5"/>
        <v>5.0356164383561648</v>
      </c>
      <c r="G42" s="605">
        <v>3</v>
      </c>
      <c r="H42" s="20">
        <f t="shared" si="6"/>
        <v>0.31666666666666665</v>
      </c>
      <c r="I42" s="567">
        <v>4950</v>
      </c>
      <c r="J42" s="566">
        <v>688.9384141791046</v>
      </c>
      <c r="K42" s="35">
        <v>0</v>
      </c>
      <c r="L42" s="18">
        <f t="shared" si="1"/>
        <v>4950</v>
      </c>
      <c r="M42" s="18">
        <f t="shared" si="7"/>
        <v>7893.3287671232883</v>
      </c>
      <c r="N42" s="21">
        <f t="shared" si="3"/>
        <v>247.5</v>
      </c>
      <c r="O42" s="622">
        <f t="shared" si="4"/>
        <v>247.5</v>
      </c>
      <c r="P42" s="612"/>
    </row>
    <row r="43" spans="1:16" ht="15.75">
      <c r="A43" s="609"/>
      <c r="B43" s="621">
        <v>39</v>
      </c>
      <c r="C43" s="549" t="s">
        <v>196</v>
      </c>
      <c r="D43" s="552">
        <v>42541</v>
      </c>
      <c r="E43" s="19">
        <v>44470</v>
      </c>
      <c r="F43" s="564">
        <f t="shared" si="5"/>
        <v>5.2849315068493148</v>
      </c>
      <c r="G43" s="605">
        <v>3</v>
      </c>
      <c r="H43" s="20">
        <f t="shared" si="6"/>
        <v>0.31666666666666665</v>
      </c>
      <c r="I43" s="567">
        <v>75373</v>
      </c>
      <c r="J43" s="566">
        <v>6914.5250561797766</v>
      </c>
      <c r="K43" s="35">
        <v>0</v>
      </c>
      <c r="L43" s="18">
        <f t="shared" si="1"/>
        <v>75373</v>
      </c>
      <c r="M43" s="18">
        <f t="shared" si="7"/>
        <v>126141.3617808219</v>
      </c>
      <c r="N43" s="21">
        <f t="shared" si="3"/>
        <v>3768.65</v>
      </c>
      <c r="O43" s="622">
        <f t="shared" si="4"/>
        <v>3768.65</v>
      </c>
      <c r="P43" s="612"/>
    </row>
    <row r="44" spans="1:16" ht="15.75">
      <c r="A44" s="609"/>
      <c r="B44" s="621">
        <v>40</v>
      </c>
      <c r="C44" s="550" t="s">
        <v>194</v>
      </c>
      <c r="D44" s="553">
        <v>42829</v>
      </c>
      <c r="E44" s="19">
        <v>44470</v>
      </c>
      <c r="F44" s="564">
        <f t="shared" si="5"/>
        <v>4.4958904109589044</v>
      </c>
      <c r="G44" s="605">
        <v>6</v>
      </c>
      <c r="H44" s="20">
        <f t="shared" si="6"/>
        <v>0.15833333333333333</v>
      </c>
      <c r="I44" s="567">
        <v>41048.03</v>
      </c>
      <c r="J44" s="566">
        <v>9926.2251398362896</v>
      </c>
      <c r="K44" s="35">
        <v>0.04</v>
      </c>
      <c r="L44" s="18">
        <f t="shared" si="1"/>
        <v>42689.951200000003</v>
      </c>
      <c r="M44" s="18">
        <f t="shared" si="7"/>
        <v>30388.812522027398</v>
      </c>
      <c r="N44" s="21">
        <f t="shared" si="3"/>
        <v>12301.138677972605</v>
      </c>
      <c r="O44" s="622">
        <f t="shared" si="4"/>
        <v>11071.024810175346</v>
      </c>
      <c r="P44" s="612"/>
    </row>
    <row r="45" spans="1:16" ht="15.75">
      <c r="A45" s="609"/>
      <c r="B45" s="621">
        <v>41</v>
      </c>
      <c r="C45" s="551" t="s">
        <v>197</v>
      </c>
      <c r="D45" s="553">
        <v>43231</v>
      </c>
      <c r="E45" s="19">
        <v>44470</v>
      </c>
      <c r="F45" s="564">
        <f t="shared" si="5"/>
        <v>3.3945205479452056</v>
      </c>
      <c r="G45" s="605">
        <v>6</v>
      </c>
      <c r="H45" s="20">
        <f t="shared" si="6"/>
        <v>0.15833333333333333</v>
      </c>
      <c r="I45" s="568">
        <v>37890.629999999997</v>
      </c>
      <c r="J45" s="566">
        <v>17095.307398678411</v>
      </c>
      <c r="K45" s="35">
        <v>0.01</v>
      </c>
      <c r="L45" s="18">
        <f t="shared" si="1"/>
        <v>38269.5363</v>
      </c>
      <c r="M45" s="18">
        <f t="shared" si="7"/>
        <v>20568.565160691782</v>
      </c>
      <c r="N45" s="21">
        <f t="shared" si="3"/>
        <v>17700.971139308218</v>
      </c>
      <c r="O45" s="622">
        <f t="shared" si="4"/>
        <v>15930.874025377396</v>
      </c>
      <c r="P45" s="612"/>
    </row>
    <row r="46" spans="1:16" ht="15.75">
      <c r="A46" s="609"/>
      <c r="B46" s="621">
        <v>42</v>
      </c>
      <c r="C46" s="551" t="s">
        <v>198</v>
      </c>
      <c r="D46" s="553">
        <v>43537</v>
      </c>
      <c r="E46" s="19">
        <v>44470</v>
      </c>
      <c r="F46" s="564">
        <f t="shared" si="5"/>
        <v>2.5561643835616437</v>
      </c>
      <c r="G46" s="605">
        <v>3</v>
      </c>
      <c r="H46" s="20">
        <f t="shared" si="6"/>
        <v>0.31666666666666665</v>
      </c>
      <c r="I46" s="568">
        <v>10500</v>
      </c>
      <c r="J46" s="566">
        <v>6410.2346426092981</v>
      </c>
      <c r="K46" s="35">
        <v>0</v>
      </c>
      <c r="L46" s="18">
        <f t="shared" si="1"/>
        <v>10500</v>
      </c>
      <c r="M46" s="18">
        <f t="shared" si="7"/>
        <v>8499.246575342464</v>
      </c>
      <c r="N46" s="21">
        <f t="shared" si="3"/>
        <v>2000.753424657536</v>
      </c>
      <c r="O46" s="622">
        <f t="shared" si="4"/>
        <v>1800.6780821917826</v>
      </c>
      <c r="P46" s="612"/>
    </row>
    <row r="47" spans="1:16" ht="15.75">
      <c r="A47" s="609"/>
      <c r="B47" s="621">
        <v>43</v>
      </c>
      <c r="C47" s="551" t="s">
        <v>199</v>
      </c>
      <c r="D47" s="553">
        <v>43555</v>
      </c>
      <c r="E47" s="19">
        <v>44470</v>
      </c>
      <c r="F47" s="564">
        <f t="shared" si="5"/>
        <v>2.506849315068493</v>
      </c>
      <c r="G47" s="605">
        <v>3</v>
      </c>
      <c r="H47" s="20">
        <f t="shared" si="6"/>
        <v>0.31666666666666665</v>
      </c>
      <c r="I47" s="568">
        <v>7800</v>
      </c>
      <c r="J47" s="566">
        <v>4834.9842357779298</v>
      </c>
      <c r="K47" s="35">
        <v>0</v>
      </c>
      <c r="L47" s="18">
        <f t="shared" si="1"/>
        <v>7800</v>
      </c>
      <c r="M47" s="18">
        <f t="shared" si="7"/>
        <v>6191.9178082191775</v>
      </c>
      <c r="N47" s="21">
        <f t="shared" si="3"/>
        <v>1608.0821917808225</v>
      </c>
      <c r="O47" s="622">
        <f t="shared" si="4"/>
        <v>1447.2739726027403</v>
      </c>
      <c r="P47" s="612"/>
    </row>
    <row r="48" spans="1:16" ht="15.75">
      <c r="A48" s="609"/>
      <c r="B48" s="621">
        <v>44</v>
      </c>
      <c r="C48" s="551" t="s">
        <v>199</v>
      </c>
      <c r="D48" s="553">
        <v>43555</v>
      </c>
      <c r="E48" s="19">
        <v>44470</v>
      </c>
      <c r="F48" s="564">
        <f t="shared" si="5"/>
        <v>2.506849315068493</v>
      </c>
      <c r="G48" s="605">
        <v>3</v>
      </c>
      <c r="H48" s="20">
        <f t="shared" si="6"/>
        <v>0.31666666666666665</v>
      </c>
      <c r="I48" s="568">
        <v>14000</v>
      </c>
      <c r="J48" s="566">
        <v>8678.1768334475673</v>
      </c>
      <c r="K48" s="35">
        <v>0</v>
      </c>
      <c r="L48" s="18">
        <f t="shared" si="1"/>
        <v>14000</v>
      </c>
      <c r="M48" s="18">
        <f t="shared" si="7"/>
        <v>11113.698630136985</v>
      </c>
      <c r="N48" s="21">
        <f t="shared" si="3"/>
        <v>2886.3013698630148</v>
      </c>
      <c r="O48" s="622">
        <f t="shared" si="4"/>
        <v>2597.6712328767135</v>
      </c>
      <c r="P48" s="612"/>
    </row>
    <row r="49" spans="1:16" ht="15.75">
      <c r="A49" s="609"/>
      <c r="B49" s="621">
        <v>45</v>
      </c>
      <c r="C49" s="677" t="s">
        <v>200</v>
      </c>
      <c r="D49" s="570">
        <v>43555</v>
      </c>
      <c r="E49" s="19">
        <v>44470</v>
      </c>
      <c r="F49" s="564">
        <f t="shared" si="5"/>
        <v>2.506849315068493</v>
      </c>
      <c r="G49" s="605">
        <v>8</v>
      </c>
      <c r="H49" s="20">
        <f t="shared" si="6"/>
        <v>0.11874999999999999</v>
      </c>
      <c r="I49" s="568">
        <v>20700</v>
      </c>
      <c r="J49" s="566">
        <v>12831.304318026045</v>
      </c>
      <c r="K49" s="35">
        <v>0</v>
      </c>
      <c r="L49" s="18">
        <f t="shared" si="1"/>
        <v>20700</v>
      </c>
      <c r="M49" s="18">
        <f t="shared" si="7"/>
        <v>6162.1489726027394</v>
      </c>
      <c r="N49" s="21">
        <f t="shared" si="3"/>
        <v>14537.851027397261</v>
      </c>
      <c r="O49" s="622">
        <f t="shared" si="4"/>
        <v>13084.065924657534</v>
      </c>
      <c r="P49" s="612"/>
    </row>
    <row r="50" spans="1:16" ht="15.75">
      <c r="A50" s="609"/>
      <c r="B50" s="621">
        <v>46</v>
      </c>
      <c r="C50" s="562" t="s">
        <v>201</v>
      </c>
      <c r="D50" s="563">
        <v>43658</v>
      </c>
      <c r="E50" s="19">
        <v>44470</v>
      </c>
      <c r="F50" s="564">
        <f t="shared" si="5"/>
        <v>2.2246575342465755</v>
      </c>
      <c r="G50" s="605">
        <v>3</v>
      </c>
      <c r="H50" s="20">
        <f t="shared" si="6"/>
        <v>0.31666666666666665</v>
      </c>
      <c r="I50" s="569">
        <v>15340</v>
      </c>
      <c r="J50" s="566">
        <v>10323.588982074263</v>
      </c>
      <c r="K50" s="35">
        <v>0</v>
      </c>
      <c r="L50" s="18">
        <f t="shared" si="1"/>
        <v>15340</v>
      </c>
      <c r="M50" s="18">
        <f t="shared" si="7"/>
        <v>10806.644748858449</v>
      </c>
      <c r="N50" s="21">
        <f t="shared" si="3"/>
        <v>4533.355251141551</v>
      </c>
      <c r="O50" s="622">
        <f t="shared" si="4"/>
        <v>4080.0197260273958</v>
      </c>
      <c r="P50" s="612"/>
    </row>
    <row r="51" spans="1:16" ht="15.75">
      <c r="A51" s="609"/>
      <c r="B51" s="621">
        <v>47</v>
      </c>
      <c r="C51" s="562" t="s">
        <v>202</v>
      </c>
      <c r="D51" s="563">
        <v>43708</v>
      </c>
      <c r="E51" s="19">
        <v>44470</v>
      </c>
      <c r="F51" s="564">
        <f t="shared" si="5"/>
        <v>2.0876712328767124</v>
      </c>
      <c r="G51" s="605">
        <v>8</v>
      </c>
      <c r="H51" s="20">
        <f t="shared" si="6"/>
        <v>0.11874999999999999</v>
      </c>
      <c r="I51" s="569">
        <v>1200</v>
      </c>
      <c r="J51" s="566">
        <v>838.74840570719607</v>
      </c>
      <c r="K51" s="35">
        <v>0</v>
      </c>
      <c r="L51" s="18">
        <f t="shared" si="1"/>
        <v>1200</v>
      </c>
      <c r="M51" s="18">
        <f t="shared" si="7"/>
        <v>297.49315068493149</v>
      </c>
      <c r="N51" s="21">
        <f t="shared" si="3"/>
        <v>902.50684931506851</v>
      </c>
      <c r="O51" s="622">
        <f t="shared" si="4"/>
        <v>812.25616438356167</v>
      </c>
      <c r="P51" s="612"/>
    </row>
    <row r="52" spans="1:16" ht="15.75">
      <c r="A52" s="609"/>
      <c r="B52" s="621">
        <v>48</v>
      </c>
      <c r="C52" s="562" t="s">
        <v>203</v>
      </c>
      <c r="D52" s="563">
        <v>43794</v>
      </c>
      <c r="E52" s="19">
        <v>44470</v>
      </c>
      <c r="F52" s="564">
        <f t="shared" si="5"/>
        <v>1.8520547945205479</v>
      </c>
      <c r="G52" s="605">
        <v>5</v>
      </c>
      <c r="H52" s="20">
        <f t="shared" si="6"/>
        <v>0.19</v>
      </c>
      <c r="I52" s="569">
        <v>25423.74</v>
      </c>
      <c r="J52" s="566">
        <v>18905.719549469966</v>
      </c>
      <c r="K52" s="35">
        <v>0</v>
      </c>
      <c r="L52" s="18">
        <f t="shared" si="1"/>
        <v>25423.74</v>
      </c>
      <c r="M52" s="18">
        <f t="shared" si="7"/>
        <v>8946.3703167123294</v>
      </c>
      <c r="N52" s="21">
        <f t="shared" si="3"/>
        <v>16477.369683287674</v>
      </c>
      <c r="O52" s="622">
        <f t="shared" si="4"/>
        <v>14829.632714958907</v>
      </c>
      <c r="P52" s="612"/>
    </row>
    <row r="53" spans="1:16" ht="15.75">
      <c r="A53" s="609"/>
      <c r="B53" s="621">
        <v>49</v>
      </c>
      <c r="C53" s="562" t="s">
        <v>204</v>
      </c>
      <c r="D53" s="563">
        <v>43901</v>
      </c>
      <c r="E53" s="19">
        <v>44470</v>
      </c>
      <c r="F53" s="564">
        <f t="shared" si="5"/>
        <v>1.558904109589041</v>
      </c>
      <c r="G53" s="605">
        <v>3</v>
      </c>
      <c r="H53" s="20">
        <f t="shared" si="6"/>
        <v>0.31666666666666665</v>
      </c>
      <c r="I53" s="569">
        <v>16000</v>
      </c>
      <c r="J53" s="566">
        <v>12787.158337950139</v>
      </c>
      <c r="K53" s="35">
        <v>0</v>
      </c>
      <c r="L53" s="18">
        <f t="shared" si="1"/>
        <v>16000</v>
      </c>
      <c r="M53" s="18">
        <f t="shared" si="7"/>
        <v>7898.4474885844738</v>
      </c>
      <c r="N53" s="21">
        <f t="shared" si="3"/>
        <v>8101.5525114155262</v>
      </c>
      <c r="O53" s="622">
        <f t="shared" si="4"/>
        <v>7291.3972602739741</v>
      </c>
      <c r="P53" s="612"/>
    </row>
    <row r="54" spans="1:16" ht="15.75">
      <c r="A54" s="609"/>
      <c r="B54" s="621">
        <v>50</v>
      </c>
      <c r="C54" s="562" t="s">
        <v>205</v>
      </c>
      <c r="D54" s="563">
        <v>43677</v>
      </c>
      <c r="E54" s="19">
        <v>44470</v>
      </c>
      <c r="F54" s="564">
        <f t="shared" si="5"/>
        <v>2.1726027397260275</v>
      </c>
      <c r="G54" s="605">
        <v>8</v>
      </c>
      <c r="H54" s="20">
        <f t="shared" si="6"/>
        <v>0.11874999999999999</v>
      </c>
      <c r="I54" s="569">
        <v>285700</v>
      </c>
      <c r="J54" s="566">
        <v>209065.36442757747</v>
      </c>
      <c r="K54" s="35">
        <v>0</v>
      </c>
      <c r="L54" s="18">
        <f t="shared" si="1"/>
        <v>285700</v>
      </c>
      <c r="M54" s="18">
        <f t="shared" si="7"/>
        <v>73709.621575342462</v>
      </c>
      <c r="N54" s="21">
        <f t="shared" si="3"/>
        <v>211990.37842465754</v>
      </c>
      <c r="O54" s="622">
        <f t="shared" si="4"/>
        <v>190791.3405821918</v>
      </c>
      <c r="P54" s="612"/>
    </row>
    <row r="55" spans="1:16" ht="15.75">
      <c r="A55" s="609"/>
      <c r="B55" s="621">
        <v>51</v>
      </c>
      <c r="C55" s="562" t="s">
        <v>206</v>
      </c>
      <c r="D55" s="563">
        <v>43683</v>
      </c>
      <c r="E55" s="19">
        <v>44470</v>
      </c>
      <c r="F55" s="564">
        <f t="shared" si="5"/>
        <v>2.1561643835616437</v>
      </c>
      <c r="G55" s="605">
        <v>3</v>
      </c>
      <c r="H55" s="20">
        <f t="shared" si="6"/>
        <v>0.31666666666666665</v>
      </c>
      <c r="I55" s="569">
        <v>93052.5</v>
      </c>
      <c r="J55" s="566">
        <v>68276.178201008195</v>
      </c>
      <c r="K55" s="35">
        <v>0</v>
      </c>
      <c r="L55" s="18">
        <f t="shared" si="1"/>
        <v>93052.5</v>
      </c>
      <c r="M55" s="18">
        <f t="shared" si="7"/>
        <v>63534.887328767116</v>
      </c>
      <c r="N55" s="21">
        <f t="shared" si="3"/>
        <v>29517.612671232884</v>
      </c>
      <c r="O55" s="622">
        <f t="shared" si="4"/>
        <v>26565.851404109595</v>
      </c>
      <c r="P55" s="612"/>
    </row>
    <row r="56" spans="1:16" ht="15.75">
      <c r="A56" s="609"/>
      <c r="B56" s="621">
        <v>52</v>
      </c>
      <c r="C56" s="562" t="s">
        <v>207</v>
      </c>
      <c r="D56" s="563">
        <v>43564</v>
      </c>
      <c r="E56" s="19">
        <v>44470</v>
      </c>
      <c r="F56" s="564">
        <f t="shared" si="5"/>
        <v>2.4821917808219176</v>
      </c>
      <c r="G56" s="605">
        <v>3</v>
      </c>
      <c r="H56" s="20">
        <f t="shared" si="6"/>
        <v>0.31666666666666665</v>
      </c>
      <c r="I56" s="569">
        <v>9196.42</v>
      </c>
      <c r="J56" s="566">
        <v>5729.2374489100821</v>
      </c>
      <c r="K56" s="35">
        <v>0</v>
      </c>
      <c r="L56" s="18">
        <f t="shared" si="1"/>
        <v>9196.42</v>
      </c>
      <c r="M56" s="18">
        <f t="shared" si="7"/>
        <v>7228.6380767123273</v>
      </c>
      <c r="N56" s="21">
        <f t="shared" si="3"/>
        <v>1967.7819232876727</v>
      </c>
      <c r="O56" s="622">
        <f t="shared" si="4"/>
        <v>1771.0037309589054</v>
      </c>
      <c r="P56" s="612"/>
    </row>
    <row r="57" spans="1:16" ht="15.75">
      <c r="A57" s="609"/>
      <c r="B57" s="621">
        <v>53</v>
      </c>
      <c r="C57" s="562" t="s">
        <v>208</v>
      </c>
      <c r="D57" s="563">
        <v>43648</v>
      </c>
      <c r="E57" s="19">
        <v>44470</v>
      </c>
      <c r="F57" s="564">
        <f t="shared" si="5"/>
        <v>2.2520547945205478</v>
      </c>
      <c r="G57" s="605">
        <v>3</v>
      </c>
      <c r="H57" s="20">
        <f t="shared" si="6"/>
        <v>0.31666666666666665</v>
      </c>
      <c r="I57" s="569">
        <v>9600</v>
      </c>
      <c r="J57" s="566">
        <v>6410.7858440721648</v>
      </c>
      <c r="K57" s="35">
        <v>0</v>
      </c>
      <c r="L57" s="18">
        <f t="shared" si="1"/>
        <v>9600</v>
      </c>
      <c r="M57" s="18">
        <f t="shared" si="7"/>
        <v>6846.2465753424649</v>
      </c>
      <c r="N57" s="21">
        <f t="shared" si="3"/>
        <v>2753.7534246575351</v>
      </c>
      <c r="O57" s="622">
        <f t="shared" si="4"/>
        <v>2478.3780821917817</v>
      </c>
      <c r="P57" s="612"/>
    </row>
    <row r="58" spans="1:16" ht="15.75">
      <c r="A58" s="609"/>
      <c r="B58" s="621">
        <v>54</v>
      </c>
      <c r="C58" s="562" t="s">
        <v>209</v>
      </c>
      <c r="D58" s="563">
        <v>43705</v>
      </c>
      <c r="E58" s="19">
        <v>44470</v>
      </c>
      <c r="F58" s="564">
        <f t="shared" si="5"/>
        <v>2.095890410958904</v>
      </c>
      <c r="G58" s="605">
        <v>3</v>
      </c>
      <c r="H58" s="20">
        <f t="shared" si="6"/>
        <v>0.31666666666666665</v>
      </c>
      <c r="I58" s="569">
        <v>14276.78</v>
      </c>
      <c r="J58" s="566">
        <v>9956.5974114356741</v>
      </c>
      <c r="K58" s="35">
        <v>0</v>
      </c>
      <c r="L58" s="18">
        <f t="shared" si="1"/>
        <v>14276.78</v>
      </c>
      <c r="M58" s="18">
        <f t="shared" si="7"/>
        <v>9475.4793287671237</v>
      </c>
      <c r="N58" s="21">
        <f t="shared" si="3"/>
        <v>4801.300671232877</v>
      </c>
      <c r="O58" s="622">
        <f t="shared" si="4"/>
        <v>4321.1706041095895</v>
      </c>
      <c r="P58" s="612"/>
    </row>
    <row r="59" spans="1:16" ht="15.75">
      <c r="A59" s="609"/>
      <c r="B59" s="621">
        <v>55</v>
      </c>
      <c r="C59" s="562" t="s">
        <v>210</v>
      </c>
      <c r="D59" s="563">
        <v>43705</v>
      </c>
      <c r="E59" s="19">
        <v>44470</v>
      </c>
      <c r="F59" s="564">
        <f t="shared" si="5"/>
        <v>2.095890410958904</v>
      </c>
      <c r="G59" s="605">
        <v>3</v>
      </c>
      <c r="H59" s="20">
        <f t="shared" si="6"/>
        <v>0.31666666666666665</v>
      </c>
      <c r="I59" s="569">
        <v>16955.36</v>
      </c>
      <c r="J59" s="566">
        <v>11824.627619639527</v>
      </c>
      <c r="K59" s="35">
        <v>0</v>
      </c>
      <c r="L59" s="18">
        <f t="shared" si="1"/>
        <v>16955.36</v>
      </c>
      <c r="M59" s="18">
        <f t="shared" si="7"/>
        <v>11253.249205479451</v>
      </c>
      <c r="N59" s="21">
        <f t="shared" si="3"/>
        <v>5702.1107945205495</v>
      </c>
      <c r="O59" s="622">
        <f t="shared" si="4"/>
        <v>5131.8997150684945</v>
      </c>
      <c r="P59" s="612"/>
    </row>
    <row r="60" spans="1:16" ht="15.75">
      <c r="A60" s="609"/>
      <c r="B60" s="621">
        <v>56</v>
      </c>
      <c r="C60" s="562" t="s">
        <v>211</v>
      </c>
      <c r="D60" s="563">
        <v>43721</v>
      </c>
      <c r="E60" s="19">
        <v>44470</v>
      </c>
      <c r="F60" s="564">
        <f t="shared" si="5"/>
        <v>2.0520547945205481</v>
      </c>
      <c r="G60" s="605">
        <v>3</v>
      </c>
      <c r="H60" s="20">
        <f t="shared" si="6"/>
        <v>0.31666666666666665</v>
      </c>
      <c r="I60" s="569">
        <v>25540</v>
      </c>
      <c r="J60" s="566">
        <v>18023.795692307693</v>
      </c>
      <c r="K60" s="35">
        <v>0</v>
      </c>
      <c r="L60" s="18">
        <f t="shared" si="1"/>
        <v>25540</v>
      </c>
      <c r="M60" s="18">
        <f t="shared" si="7"/>
        <v>16596.335159817354</v>
      </c>
      <c r="N60" s="21">
        <f t="shared" si="3"/>
        <v>8943.664840182646</v>
      </c>
      <c r="O60" s="622">
        <f t="shared" si="4"/>
        <v>8049.2983561643814</v>
      </c>
      <c r="P60" s="612"/>
    </row>
    <row r="61" spans="1:16" ht="15.75">
      <c r="A61" s="609"/>
      <c r="B61" s="621">
        <v>57</v>
      </c>
      <c r="C61" s="562" t="s">
        <v>212</v>
      </c>
      <c r="D61" s="563">
        <v>43799</v>
      </c>
      <c r="E61" s="19">
        <v>44470</v>
      </c>
      <c r="F61" s="564">
        <f>(E61-D61)/365</f>
        <v>1.8383561643835618</v>
      </c>
      <c r="G61" s="605">
        <v>3</v>
      </c>
      <c r="H61" s="20">
        <f t="shared" si="6"/>
        <v>0.31666666666666665</v>
      </c>
      <c r="I61" s="569">
        <v>28040</v>
      </c>
      <c r="J61" s="566">
        <v>20924.05639459777</v>
      </c>
      <c r="K61" s="35">
        <v>0</v>
      </c>
      <c r="L61" s="18">
        <f>I61*(1+K61)</f>
        <v>28040</v>
      </c>
      <c r="M61" s="18">
        <f t="shared" si="7"/>
        <v>16323.377168949772</v>
      </c>
      <c r="N61" s="21">
        <f>IF(L61-M61&lt;=0,5%*L61,L61-M61)</f>
        <v>11716.622831050228</v>
      </c>
      <c r="O61" s="622">
        <f>IF(N61=L61*5%,N61,N61*0.9)</f>
        <v>10544.960547945206</v>
      </c>
      <c r="P61" s="612"/>
    </row>
    <row r="62" spans="1:16" ht="15.75">
      <c r="A62" s="609"/>
      <c r="B62" s="621">
        <v>58</v>
      </c>
      <c r="C62" s="586" t="s">
        <v>300</v>
      </c>
      <c r="D62" s="578">
        <v>44044</v>
      </c>
      <c r="E62" s="19">
        <v>44470</v>
      </c>
      <c r="F62" s="564">
        <f t="shared" ref="F62:F77" si="8">(E62-D62)/365</f>
        <v>1.167123287671233</v>
      </c>
      <c r="G62" s="605">
        <v>6</v>
      </c>
      <c r="H62" s="20">
        <f t="shared" ref="H62:H77" si="9">(95/G62/100)</f>
        <v>0.15833333333333333</v>
      </c>
      <c r="I62" s="587">
        <v>25390.62</v>
      </c>
      <c r="J62" s="566">
        <v>22178.880478356165</v>
      </c>
      <c r="K62" s="35">
        <v>0</v>
      </c>
      <c r="L62" s="18">
        <f t="shared" ref="L62:L77" si="10">I62*(1+K62)</f>
        <v>25390.62</v>
      </c>
      <c r="M62" s="18">
        <f t="shared" ref="M62:M77" si="11">F62*H62*L62</f>
        <v>4692.0474493150687</v>
      </c>
      <c r="N62" s="21">
        <f t="shared" ref="N62:N77" si="12">IF(L62-M62&lt;=0,5%*L62,L62-M62)</f>
        <v>20698.57255068493</v>
      </c>
      <c r="O62" s="622">
        <f t="shared" ref="O62:O77" si="13">IF(N62=L62*5%,N62,N62*0.9)</f>
        <v>18628.715295616439</v>
      </c>
      <c r="P62" s="612"/>
    </row>
    <row r="63" spans="1:16" ht="15.75">
      <c r="A63" s="609"/>
      <c r="B63" s="621">
        <v>59</v>
      </c>
      <c r="C63" s="586" t="s">
        <v>301</v>
      </c>
      <c r="D63" s="578">
        <v>44056</v>
      </c>
      <c r="E63" s="19">
        <v>44470</v>
      </c>
      <c r="F63" s="564">
        <f t="shared" si="8"/>
        <v>1.1342465753424658</v>
      </c>
      <c r="G63" s="605">
        <v>5</v>
      </c>
      <c r="H63" s="20">
        <f t="shared" si="9"/>
        <v>0.19</v>
      </c>
      <c r="I63" s="587">
        <v>45200</v>
      </c>
      <c r="J63" s="566">
        <v>39764.85479452055</v>
      </c>
      <c r="K63" s="35">
        <v>0</v>
      </c>
      <c r="L63" s="18">
        <f t="shared" si="10"/>
        <v>45200</v>
      </c>
      <c r="M63" s="18">
        <f t="shared" si="11"/>
        <v>9740.9095890410954</v>
      </c>
      <c r="N63" s="21">
        <f t="shared" si="12"/>
        <v>35459.090410958903</v>
      </c>
      <c r="O63" s="622">
        <f t="shared" si="13"/>
        <v>31913.181369863014</v>
      </c>
      <c r="P63" s="612"/>
    </row>
    <row r="64" spans="1:16" ht="15.75">
      <c r="A64" s="609"/>
      <c r="B64" s="621">
        <v>60</v>
      </c>
      <c r="C64" s="586" t="s">
        <v>302</v>
      </c>
      <c r="D64" s="578">
        <v>44089</v>
      </c>
      <c r="E64" s="19">
        <v>44470</v>
      </c>
      <c r="F64" s="564">
        <f t="shared" si="8"/>
        <v>1.0438356164383562</v>
      </c>
      <c r="G64" s="605">
        <v>5</v>
      </c>
      <c r="H64" s="20">
        <f t="shared" si="9"/>
        <v>0.19</v>
      </c>
      <c r="I64" s="587">
        <v>26554.69</v>
      </c>
      <c r="J64" s="566">
        <v>23817.738115616437</v>
      </c>
      <c r="K64" s="35">
        <v>0</v>
      </c>
      <c r="L64" s="18">
        <f t="shared" si="10"/>
        <v>26554.69</v>
      </c>
      <c r="M64" s="18">
        <f t="shared" si="11"/>
        <v>5266.5589290410953</v>
      </c>
      <c r="N64" s="21">
        <f t="shared" si="12"/>
        <v>21288.131070958902</v>
      </c>
      <c r="O64" s="622">
        <f t="shared" si="13"/>
        <v>19159.317963863014</v>
      </c>
      <c r="P64" s="612"/>
    </row>
    <row r="65" spans="1:16" ht="15.75">
      <c r="A65" s="609"/>
      <c r="B65" s="621">
        <v>61</v>
      </c>
      <c r="C65" s="586" t="s">
        <v>303</v>
      </c>
      <c r="D65" s="578">
        <v>44097</v>
      </c>
      <c r="E65" s="19">
        <v>44470</v>
      </c>
      <c r="F65" s="564">
        <f t="shared" si="8"/>
        <v>1.021917808219178</v>
      </c>
      <c r="G65" s="605">
        <v>3</v>
      </c>
      <c r="H65" s="20">
        <f t="shared" si="9"/>
        <v>0.31666666666666665</v>
      </c>
      <c r="I65" s="587">
        <v>103720.34</v>
      </c>
      <c r="J65" s="566">
        <v>93461.972126027395</v>
      </c>
      <c r="K65" s="35">
        <v>0</v>
      </c>
      <c r="L65" s="18">
        <f t="shared" si="10"/>
        <v>103720.34</v>
      </c>
      <c r="M65" s="18">
        <f t="shared" si="11"/>
        <v>33564.65979817351</v>
      </c>
      <c r="N65" s="21">
        <f t="shared" si="12"/>
        <v>70155.680201826486</v>
      </c>
      <c r="O65" s="622">
        <f t="shared" si="13"/>
        <v>63140.112181643839</v>
      </c>
      <c r="P65" s="612"/>
    </row>
    <row r="66" spans="1:16" ht="15.75">
      <c r="A66" s="609"/>
      <c r="B66" s="621">
        <v>62</v>
      </c>
      <c r="C66" s="586" t="s">
        <v>304</v>
      </c>
      <c r="D66" s="578">
        <v>44097</v>
      </c>
      <c r="E66" s="19">
        <v>44470</v>
      </c>
      <c r="F66" s="564">
        <f t="shared" si="8"/>
        <v>1.021917808219178</v>
      </c>
      <c r="G66" s="605">
        <v>3</v>
      </c>
      <c r="H66" s="20">
        <f t="shared" si="9"/>
        <v>0.31666666666666665</v>
      </c>
      <c r="I66" s="587">
        <v>63906.78</v>
      </c>
      <c r="J66" s="566">
        <v>57586.136827397262</v>
      </c>
      <c r="K66" s="35">
        <v>0</v>
      </c>
      <c r="L66" s="18">
        <f t="shared" si="10"/>
        <v>63906.78</v>
      </c>
      <c r="M66" s="18">
        <f t="shared" si="11"/>
        <v>20680.70090684931</v>
      </c>
      <c r="N66" s="21">
        <f t="shared" si="12"/>
        <v>43226.079093150693</v>
      </c>
      <c r="O66" s="622">
        <f t="shared" si="13"/>
        <v>38903.471183835623</v>
      </c>
      <c r="P66" s="612"/>
    </row>
    <row r="67" spans="1:16" ht="15.75">
      <c r="A67" s="609"/>
      <c r="B67" s="621">
        <v>63</v>
      </c>
      <c r="C67" s="586" t="s">
        <v>305</v>
      </c>
      <c r="D67" s="578">
        <v>44114</v>
      </c>
      <c r="E67" s="19">
        <v>44470</v>
      </c>
      <c r="F67" s="564">
        <f t="shared" si="8"/>
        <v>0.97534246575342465</v>
      </c>
      <c r="G67" s="605">
        <v>5</v>
      </c>
      <c r="H67" s="20">
        <f t="shared" si="9"/>
        <v>0.19</v>
      </c>
      <c r="I67" s="587">
        <v>24900</v>
      </c>
      <c r="J67" s="566">
        <v>22657.635616438354</v>
      </c>
      <c r="K67" s="35">
        <v>0</v>
      </c>
      <c r="L67" s="18">
        <f t="shared" si="10"/>
        <v>24900</v>
      </c>
      <c r="M67" s="18">
        <f t="shared" si="11"/>
        <v>4614.3452054794525</v>
      </c>
      <c r="N67" s="21">
        <f t="shared" si="12"/>
        <v>20285.654794520546</v>
      </c>
      <c r="O67" s="622">
        <f t="shared" si="13"/>
        <v>18257.089315068493</v>
      </c>
      <c r="P67" s="612"/>
    </row>
    <row r="68" spans="1:16" ht="15.75">
      <c r="A68" s="609"/>
      <c r="B68" s="621">
        <v>64</v>
      </c>
      <c r="C68" s="586" t="s">
        <v>306</v>
      </c>
      <c r="D68" s="578">
        <v>44163</v>
      </c>
      <c r="E68" s="19">
        <v>44470</v>
      </c>
      <c r="F68" s="564">
        <f t="shared" si="8"/>
        <v>0.84109589041095889</v>
      </c>
      <c r="G68" s="605">
        <v>3</v>
      </c>
      <c r="H68" s="20">
        <f t="shared" si="9"/>
        <v>0.31666666666666665</v>
      </c>
      <c r="I68" s="587">
        <v>20800.330000000002</v>
      </c>
      <c r="J68" s="566">
        <v>19457.711438904113</v>
      </c>
      <c r="K68" s="35">
        <v>0</v>
      </c>
      <c r="L68" s="18">
        <f t="shared" si="10"/>
        <v>20800.330000000002</v>
      </c>
      <c r="M68" s="18">
        <f t="shared" si="11"/>
        <v>5540.106159360731</v>
      </c>
      <c r="N68" s="21">
        <f t="shared" si="12"/>
        <v>15260.223840639272</v>
      </c>
      <c r="O68" s="622">
        <f t="shared" si="13"/>
        <v>13734.201456575345</v>
      </c>
      <c r="P68" s="612"/>
    </row>
    <row r="69" spans="1:16" ht="15.75">
      <c r="A69" s="609"/>
      <c r="B69" s="621">
        <v>65</v>
      </c>
      <c r="C69" s="586" t="s">
        <v>307</v>
      </c>
      <c r="D69" s="578">
        <v>44192</v>
      </c>
      <c r="E69" s="19">
        <v>44470</v>
      </c>
      <c r="F69" s="564">
        <f t="shared" si="8"/>
        <v>0.76164383561643834</v>
      </c>
      <c r="G69" s="605">
        <v>3</v>
      </c>
      <c r="H69" s="20">
        <f t="shared" si="9"/>
        <v>0.31666666666666665</v>
      </c>
      <c r="I69" s="587">
        <v>21000</v>
      </c>
      <c r="J69" s="566">
        <v>19961.506849315068</v>
      </c>
      <c r="K69" s="35">
        <v>0</v>
      </c>
      <c r="L69" s="18">
        <f t="shared" si="10"/>
        <v>21000</v>
      </c>
      <c r="M69" s="18">
        <f t="shared" si="11"/>
        <v>5064.9315068493142</v>
      </c>
      <c r="N69" s="21">
        <f t="shared" si="12"/>
        <v>15935.068493150686</v>
      </c>
      <c r="O69" s="622">
        <f t="shared" si="13"/>
        <v>14341.561643835617</v>
      </c>
      <c r="P69" s="612"/>
    </row>
    <row r="70" spans="1:16" ht="15.75">
      <c r="A70" s="609"/>
      <c r="B70" s="621">
        <v>66</v>
      </c>
      <c r="C70" s="586" t="s">
        <v>308</v>
      </c>
      <c r="D70" s="578">
        <v>44194</v>
      </c>
      <c r="E70" s="19">
        <v>44470</v>
      </c>
      <c r="F70" s="564">
        <f t="shared" si="8"/>
        <v>0.75616438356164384</v>
      </c>
      <c r="G70" s="605">
        <v>3</v>
      </c>
      <c r="H70" s="20">
        <f t="shared" si="9"/>
        <v>0.31666666666666665</v>
      </c>
      <c r="I70" s="587">
        <v>8898.2999999999993</v>
      </c>
      <c r="J70" s="566">
        <v>8467.524764383561</v>
      </c>
      <c r="K70" s="35">
        <v>0</v>
      </c>
      <c r="L70" s="18">
        <f t="shared" si="10"/>
        <v>8898.2999999999993</v>
      </c>
      <c r="M70" s="18">
        <f t="shared" si="11"/>
        <v>2130.7162191780817</v>
      </c>
      <c r="N70" s="21">
        <f t="shared" si="12"/>
        <v>6767.5837808219176</v>
      </c>
      <c r="O70" s="622">
        <f t="shared" si="13"/>
        <v>6090.8254027397261</v>
      </c>
      <c r="P70" s="612"/>
    </row>
    <row r="71" spans="1:16" ht="15.75">
      <c r="A71" s="609"/>
      <c r="B71" s="621">
        <v>67</v>
      </c>
      <c r="C71" s="586" t="s">
        <v>309</v>
      </c>
      <c r="D71" s="578">
        <v>44249</v>
      </c>
      <c r="E71" s="19">
        <v>44470</v>
      </c>
      <c r="F71" s="564">
        <f t="shared" si="8"/>
        <v>0.60547945205479448</v>
      </c>
      <c r="G71" s="605">
        <v>3</v>
      </c>
      <c r="H71" s="20">
        <f t="shared" si="9"/>
        <v>0.31666666666666665</v>
      </c>
      <c r="I71" s="587">
        <v>35500</v>
      </c>
      <c r="J71" s="566">
        <v>34797.780821917811</v>
      </c>
      <c r="K71" s="35">
        <v>0</v>
      </c>
      <c r="L71" s="18">
        <f t="shared" si="10"/>
        <v>35500</v>
      </c>
      <c r="M71" s="18">
        <f t="shared" si="11"/>
        <v>6806.5981735159803</v>
      </c>
      <c r="N71" s="21">
        <f t="shared" si="12"/>
        <v>28693.40182648402</v>
      </c>
      <c r="O71" s="622">
        <f t="shared" si="13"/>
        <v>25824.061643835619</v>
      </c>
      <c r="P71" s="612"/>
    </row>
    <row r="72" spans="1:16" ht="15.75">
      <c r="A72" s="609"/>
      <c r="B72" s="621">
        <v>68</v>
      </c>
      <c r="C72" s="586" t="s">
        <v>310</v>
      </c>
      <c r="D72" s="578">
        <v>44257</v>
      </c>
      <c r="E72" s="19">
        <v>44470</v>
      </c>
      <c r="F72" s="564">
        <f t="shared" si="8"/>
        <v>0.58356164383561648</v>
      </c>
      <c r="G72" s="605">
        <v>3</v>
      </c>
      <c r="H72" s="20">
        <f t="shared" si="9"/>
        <v>0.31666666666666665</v>
      </c>
      <c r="I72" s="587">
        <v>10875</v>
      </c>
      <c r="J72" s="566">
        <v>10705.171232876712</v>
      </c>
      <c r="K72" s="35">
        <v>0</v>
      </c>
      <c r="L72" s="18">
        <f t="shared" si="10"/>
        <v>10875</v>
      </c>
      <c r="M72" s="18">
        <f t="shared" si="11"/>
        <v>2009.6404109589041</v>
      </c>
      <c r="N72" s="21">
        <f t="shared" si="12"/>
        <v>8865.3595890410961</v>
      </c>
      <c r="O72" s="622">
        <f t="shared" si="13"/>
        <v>7978.823630136987</v>
      </c>
      <c r="P72" s="612"/>
    </row>
    <row r="73" spans="1:16" ht="15.75">
      <c r="A73" s="609"/>
      <c r="B73" s="621">
        <v>69</v>
      </c>
      <c r="C73" s="586" t="s">
        <v>311</v>
      </c>
      <c r="D73" s="578">
        <v>44257</v>
      </c>
      <c r="E73" s="19">
        <v>44470</v>
      </c>
      <c r="F73" s="564">
        <f t="shared" si="8"/>
        <v>0.58356164383561648</v>
      </c>
      <c r="G73" s="605">
        <v>3</v>
      </c>
      <c r="H73" s="20">
        <f t="shared" si="9"/>
        <v>0.31666666666666665</v>
      </c>
      <c r="I73" s="587">
        <v>10875</v>
      </c>
      <c r="J73" s="566">
        <v>10705.171232876712</v>
      </c>
      <c r="K73" s="35">
        <v>0</v>
      </c>
      <c r="L73" s="18">
        <f t="shared" si="10"/>
        <v>10875</v>
      </c>
      <c r="M73" s="18">
        <f t="shared" si="11"/>
        <v>2009.6404109589041</v>
      </c>
      <c r="N73" s="21">
        <f t="shared" si="12"/>
        <v>8865.3595890410961</v>
      </c>
      <c r="O73" s="622">
        <f t="shared" si="13"/>
        <v>7978.823630136987</v>
      </c>
      <c r="P73" s="612"/>
    </row>
    <row r="74" spans="1:16" ht="15.75">
      <c r="A74" s="609"/>
      <c r="B74" s="621">
        <v>70</v>
      </c>
      <c r="C74" s="586" t="s">
        <v>312</v>
      </c>
      <c r="D74" s="578">
        <v>44257</v>
      </c>
      <c r="E74" s="19">
        <v>44470</v>
      </c>
      <c r="F74" s="564">
        <f t="shared" si="8"/>
        <v>0.58356164383561648</v>
      </c>
      <c r="G74" s="605">
        <v>3</v>
      </c>
      <c r="H74" s="20">
        <f t="shared" si="9"/>
        <v>0.31666666666666665</v>
      </c>
      <c r="I74" s="587">
        <v>10875</v>
      </c>
      <c r="J74" s="566">
        <v>10705.171232876712</v>
      </c>
      <c r="K74" s="35">
        <v>0</v>
      </c>
      <c r="L74" s="18">
        <f t="shared" si="10"/>
        <v>10875</v>
      </c>
      <c r="M74" s="18">
        <f t="shared" si="11"/>
        <v>2009.6404109589041</v>
      </c>
      <c r="N74" s="21">
        <f t="shared" si="12"/>
        <v>8865.3595890410961</v>
      </c>
      <c r="O74" s="622">
        <f t="shared" si="13"/>
        <v>7978.823630136987</v>
      </c>
      <c r="P74" s="612"/>
    </row>
    <row r="75" spans="1:16" ht="15.75">
      <c r="A75" s="609"/>
      <c r="B75" s="621">
        <v>71</v>
      </c>
      <c r="C75" s="586" t="s">
        <v>313</v>
      </c>
      <c r="D75" s="578">
        <v>44261</v>
      </c>
      <c r="E75" s="19">
        <v>44470</v>
      </c>
      <c r="F75" s="564">
        <f t="shared" si="8"/>
        <v>0.57260273972602738</v>
      </c>
      <c r="G75" s="605">
        <v>3</v>
      </c>
      <c r="H75" s="20">
        <f t="shared" si="9"/>
        <v>0.31666666666666665</v>
      </c>
      <c r="I75" s="587">
        <v>7990</v>
      </c>
      <c r="J75" s="566">
        <v>7881.8613698630134</v>
      </c>
      <c r="K75" s="35">
        <v>0</v>
      </c>
      <c r="L75" s="18">
        <f t="shared" si="10"/>
        <v>7990</v>
      </c>
      <c r="M75" s="18">
        <f t="shared" si="11"/>
        <v>1448.7803652968037</v>
      </c>
      <c r="N75" s="21">
        <f t="shared" si="12"/>
        <v>6541.2196347031968</v>
      </c>
      <c r="O75" s="622">
        <f t="shared" si="13"/>
        <v>5887.0976712328775</v>
      </c>
      <c r="P75" s="612"/>
    </row>
    <row r="76" spans="1:16" ht="15.75">
      <c r="A76" s="609"/>
      <c r="B76" s="621">
        <v>72</v>
      </c>
      <c r="C76" s="586" t="s">
        <v>314</v>
      </c>
      <c r="D76" s="578">
        <v>44266</v>
      </c>
      <c r="E76" s="19">
        <v>44470</v>
      </c>
      <c r="F76" s="564">
        <f t="shared" si="8"/>
        <v>0.55890410958904113</v>
      </c>
      <c r="G76" s="605">
        <v>6</v>
      </c>
      <c r="H76" s="20">
        <f t="shared" si="9"/>
        <v>0.15833333333333333</v>
      </c>
      <c r="I76" s="587">
        <v>18515.63</v>
      </c>
      <c r="J76" s="566">
        <v>18313.226263835619</v>
      </c>
      <c r="K76" s="35">
        <v>0</v>
      </c>
      <c r="L76" s="18">
        <f t="shared" si="10"/>
        <v>18515.63</v>
      </c>
      <c r="M76" s="18">
        <f t="shared" si="11"/>
        <v>1638.5064356164385</v>
      </c>
      <c r="N76" s="21">
        <f t="shared" si="12"/>
        <v>16877.123564383561</v>
      </c>
      <c r="O76" s="622">
        <f t="shared" si="13"/>
        <v>15189.411207945204</v>
      </c>
      <c r="P76" s="612"/>
    </row>
    <row r="77" spans="1:16" ht="16.5" thickBot="1">
      <c r="A77" s="609"/>
      <c r="B77" s="623">
        <v>73</v>
      </c>
      <c r="C77" s="624" t="s">
        <v>315</v>
      </c>
      <c r="D77" s="625">
        <v>44272</v>
      </c>
      <c r="E77" s="27">
        <v>44470</v>
      </c>
      <c r="F77" s="573">
        <f t="shared" si="8"/>
        <v>0.54246575342465753</v>
      </c>
      <c r="G77" s="26">
        <v>3</v>
      </c>
      <c r="H77" s="28">
        <f t="shared" si="9"/>
        <v>0.31666666666666665</v>
      </c>
      <c r="I77" s="626">
        <v>20338.98</v>
      </c>
      <c r="J77" s="627">
        <v>20180.168786301369</v>
      </c>
      <c r="K77" s="35">
        <v>0</v>
      </c>
      <c r="L77" s="628">
        <f t="shared" si="10"/>
        <v>20338.98</v>
      </c>
      <c r="M77" s="628">
        <f t="shared" si="11"/>
        <v>3493.8467013698628</v>
      </c>
      <c r="N77" s="30">
        <f t="shared" si="12"/>
        <v>16845.133298630135</v>
      </c>
      <c r="O77" s="29">
        <f t="shared" si="13"/>
        <v>15160.619968767121</v>
      </c>
      <c r="P77" s="612"/>
    </row>
    <row r="78" spans="1:16" ht="15.75" thickBot="1">
      <c r="A78" s="609"/>
      <c r="B78" s="703" t="s">
        <v>13</v>
      </c>
      <c r="C78" s="704"/>
      <c r="D78" s="704"/>
      <c r="E78" s="704"/>
      <c r="F78" s="704"/>
      <c r="G78" s="704"/>
      <c r="H78" s="704"/>
      <c r="I78" s="629">
        <f>SUM(I5:I77)</f>
        <v>3177641.2899999991</v>
      </c>
      <c r="J78" s="629">
        <f>SUM(J5:J77)</f>
        <v>987127.65841877938</v>
      </c>
      <c r="K78" s="647"/>
      <c r="L78" s="629">
        <f>SUM(L5:L77)</f>
        <v>3263256.2270999993</v>
      </c>
      <c r="M78" s="629">
        <f t="shared" ref="L78:O78" si="14">SUM(M5:M77)</f>
        <v>2710488.4792469726</v>
      </c>
      <c r="N78" s="629">
        <f t="shared" si="14"/>
        <v>1527421.5012023421</v>
      </c>
      <c r="O78" s="629">
        <f>SUM(O5:O77)</f>
        <v>1379817.3010821079</v>
      </c>
      <c r="P78" s="610"/>
    </row>
    <row r="79" spans="1:16">
      <c r="B79" s="616"/>
      <c r="C79" s="617"/>
      <c r="D79" s="616"/>
      <c r="E79" s="616"/>
      <c r="F79" s="616"/>
      <c r="G79" s="616"/>
      <c r="H79" s="616"/>
      <c r="I79" s="618"/>
      <c r="J79" s="616"/>
      <c r="K79" s="661"/>
      <c r="L79" s="616"/>
      <c r="M79" s="616"/>
      <c r="N79" s="616"/>
      <c r="O79" s="616"/>
    </row>
  </sheetData>
  <autoFilter ref="B4:O78"/>
  <mergeCells count="2">
    <mergeCell ref="B3:O3"/>
    <mergeCell ref="B78:H7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56"/>
  <sheetViews>
    <sheetView topLeftCell="D1" zoomScale="96" zoomScaleNormal="96" workbookViewId="0">
      <pane ySplit="2" topLeftCell="A3" activePane="bottomLeft" state="frozen"/>
      <selection pane="bottomLeft" activeCell="O25" sqref="O25"/>
    </sheetView>
  </sheetViews>
  <sheetFormatPr defaultRowHeight="15"/>
  <cols>
    <col min="2" max="2" width="6.85546875" customWidth="1"/>
    <col min="3" max="3" width="41.42578125" customWidth="1"/>
    <col min="4" max="4" width="15.7109375" bestFit="1" customWidth="1"/>
    <col min="5" max="5" width="14.28515625" bestFit="1" customWidth="1"/>
    <col min="6" max="6" width="15.140625" bestFit="1" customWidth="1"/>
    <col min="7" max="7" width="14.28515625" bestFit="1" customWidth="1"/>
    <col min="8" max="8" width="15.85546875" bestFit="1" customWidth="1"/>
    <col min="9" max="9" width="17.42578125" bestFit="1" customWidth="1"/>
    <col min="10" max="10" width="14.7109375" bestFit="1" customWidth="1"/>
    <col min="11" max="11" width="9.140625" style="37"/>
    <col min="12" max="12" width="18.42578125" customWidth="1"/>
    <col min="13" max="13" width="15.85546875" bestFit="1" customWidth="1"/>
    <col min="14" max="14" width="17.28515625" bestFit="1" customWidth="1"/>
    <col min="15" max="15" width="14.85546875" bestFit="1" customWidth="1"/>
  </cols>
  <sheetData>
    <row r="1" spans="2:15" ht="15.75" thickBot="1">
      <c r="B1" s="706" t="s">
        <v>653</v>
      </c>
      <c r="C1" s="706"/>
      <c r="D1" s="706"/>
      <c r="E1" s="707"/>
      <c r="F1" s="707"/>
      <c r="G1" s="707"/>
      <c r="H1" s="707"/>
      <c r="I1" s="707"/>
      <c r="J1" s="707"/>
      <c r="K1" s="708"/>
      <c r="L1" s="706"/>
      <c r="M1" s="706"/>
      <c r="N1" s="706"/>
      <c r="O1" s="706"/>
    </row>
    <row r="2" spans="2:15" ht="60" customHeight="1">
      <c r="B2" s="40" t="s">
        <v>1</v>
      </c>
      <c r="C2" s="40" t="s">
        <v>2</v>
      </c>
      <c r="D2" s="40" t="s">
        <v>12</v>
      </c>
      <c r="E2" s="40" t="s">
        <v>3</v>
      </c>
      <c r="F2" s="40" t="s">
        <v>27</v>
      </c>
      <c r="G2" s="40" t="s">
        <v>28</v>
      </c>
      <c r="H2" s="40" t="s">
        <v>4</v>
      </c>
      <c r="I2" s="40" t="s">
        <v>5</v>
      </c>
      <c r="J2" s="40" t="s">
        <v>11</v>
      </c>
      <c r="K2" s="42" t="s">
        <v>6</v>
      </c>
      <c r="L2" s="41" t="s">
        <v>7</v>
      </c>
      <c r="M2" s="41" t="s">
        <v>8</v>
      </c>
      <c r="N2" s="41" t="s">
        <v>9</v>
      </c>
      <c r="O2" s="41" t="s">
        <v>10</v>
      </c>
    </row>
    <row r="3" spans="2:15" ht="15.75">
      <c r="B3" s="53">
        <v>1</v>
      </c>
      <c r="C3" s="547" t="s">
        <v>222</v>
      </c>
      <c r="D3" s="552">
        <v>39539</v>
      </c>
      <c r="E3" s="19">
        <v>44470</v>
      </c>
      <c r="F3" s="564">
        <f>(E3-D3)/365</f>
        <v>13.509589041095891</v>
      </c>
      <c r="G3" s="11">
        <v>20</v>
      </c>
      <c r="H3" s="20">
        <f t="shared" ref="H3:H23" si="0">(95/G3/100)</f>
        <v>4.7500000000000001E-2</v>
      </c>
      <c r="I3" s="566">
        <v>281685</v>
      </c>
      <c r="J3" s="31">
        <v>13956</v>
      </c>
      <c r="K3" s="36">
        <v>0.22</v>
      </c>
      <c r="L3" s="55">
        <f t="shared" ref="L3:L23" si="1">I3*(1+K3)</f>
        <v>343655.7</v>
      </c>
      <c r="M3" s="55">
        <f t="shared" ref="M3:M23" si="2">F3*H3*L3</f>
        <v>220525.74573493152</v>
      </c>
      <c r="N3" s="56">
        <f t="shared" ref="N3:N22" si="3">IF(L3-M3&lt;=0,5%*L3,L3-M3)</f>
        <v>123129.95426506849</v>
      </c>
      <c r="O3" s="57">
        <f t="shared" ref="O3:O22" si="4">IF(N3=L3*5%,N3,N3*0.9)</f>
        <v>110816.95883856164</v>
      </c>
    </row>
    <row r="4" spans="2:15" ht="15.75">
      <c r="B4" s="53">
        <v>2</v>
      </c>
      <c r="C4" s="547" t="s">
        <v>222</v>
      </c>
      <c r="D4" s="552">
        <v>39547</v>
      </c>
      <c r="E4" s="19">
        <v>44470</v>
      </c>
      <c r="F4" s="564">
        <f t="shared" ref="F4:F23" si="5">(E4-D4)/365</f>
        <v>13.487671232876712</v>
      </c>
      <c r="G4" s="605">
        <v>20</v>
      </c>
      <c r="H4" s="20">
        <f t="shared" si="0"/>
        <v>4.7500000000000001E-2</v>
      </c>
      <c r="I4" s="566">
        <v>277875</v>
      </c>
      <c r="J4" s="31">
        <v>13893.75</v>
      </c>
      <c r="K4" s="36">
        <v>0.22</v>
      </c>
      <c r="L4" s="55">
        <f t="shared" si="1"/>
        <v>339007.5</v>
      </c>
      <c r="M4" s="55">
        <f t="shared" si="2"/>
        <v>217190.03101027396</v>
      </c>
      <c r="N4" s="56">
        <f t="shared" si="3"/>
        <v>121817.46898972604</v>
      </c>
      <c r="O4" s="57">
        <f t="shared" si="4"/>
        <v>109635.72209075344</v>
      </c>
    </row>
    <row r="5" spans="2:15" ht="15.75">
      <c r="B5" s="53">
        <v>3</v>
      </c>
      <c r="C5" s="547" t="s">
        <v>222</v>
      </c>
      <c r="D5" s="552">
        <v>39548</v>
      </c>
      <c r="E5" s="19">
        <v>44470</v>
      </c>
      <c r="F5" s="564">
        <f t="shared" si="5"/>
        <v>13.484931506849316</v>
      </c>
      <c r="G5" s="605">
        <v>20</v>
      </c>
      <c r="H5" s="20">
        <f t="shared" si="0"/>
        <v>4.7500000000000001E-2</v>
      </c>
      <c r="I5" s="566">
        <v>22042</v>
      </c>
      <c r="J5" s="31">
        <v>1102.0999999999985</v>
      </c>
      <c r="K5" s="36">
        <v>0.22</v>
      </c>
      <c r="L5" s="55">
        <f t="shared" si="1"/>
        <v>26891.239999999998</v>
      </c>
      <c r="M5" s="55">
        <f t="shared" si="2"/>
        <v>17224.760152876712</v>
      </c>
      <c r="N5" s="56">
        <f t="shared" si="3"/>
        <v>9666.4798471232862</v>
      </c>
      <c r="O5" s="57">
        <f t="shared" si="4"/>
        <v>8699.8318624109579</v>
      </c>
    </row>
    <row r="6" spans="2:15" ht="15.75">
      <c r="B6" s="53">
        <v>4</v>
      </c>
      <c r="C6" s="547" t="s">
        <v>222</v>
      </c>
      <c r="D6" s="552">
        <v>39561</v>
      </c>
      <c r="E6" s="19">
        <v>44470</v>
      </c>
      <c r="F6" s="564">
        <f t="shared" si="5"/>
        <v>13.449315068493151</v>
      </c>
      <c r="G6" s="605">
        <v>20</v>
      </c>
      <c r="H6" s="20">
        <f t="shared" si="0"/>
        <v>4.7500000000000001E-2</v>
      </c>
      <c r="I6" s="566">
        <v>500000</v>
      </c>
      <c r="J6" s="31">
        <v>25000</v>
      </c>
      <c r="K6" s="36">
        <v>0.22</v>
      </c>
      <c r="L6" s="55">
        <f t="shared" si="1"/>
        <v>610000</v>
      </c>
      <c r="M6" s="55">
        <f t="shared" si="2"/>
        <v>389693.90410958912</v>
      </c>
      <c r="N6" s="56">
        <f t="shared" si="3"/>
        <v>220306.09589041088</v>
      </c>
      <c r="O6" s="57">
        <f t="shared" si="4"/>
        <v>198275.48630136979</v>
      </c>
    </row>
    <row r="7" spans="2:15" ht="15.75">
      <c r="B7" s="53">
        <v>5</v>
      </c>
      <c r="C7" s="547" t="s">
        <v>222</v>
      </c>
      <c r="D7" s="552">
        <v>39568</v>
      </c>
      <c r="E7" s="19">
        <v>44470</v>
      </c>
      <c r="F7" s="564">
        <f t="shared" si="5"/>
        <v>13.43013698630137</v>
      </c>
      <c r="G7" s="605">
        <v>20</v>
      </c>
      <c r="H7" s="20">
        <f t="shared" si="0"/>
        <v>4.7500000000000001E-2</v>
      </c>
      <c r="I7" s="566">
        <v>26000</v>
      </c>
      <c r="J7" s="31">
        <v>1300</v>
      </c>
      <c r="K7" s="36">
        <v>0.22</v>
      </c>
      <c r="L7" s="55">
        <f t="shared" si="1"/>
        <v>31720</v>
      </c>
      <c r="M7" s="55">
        <f t="shared" si="2"/>
        <v>20235.187397260273</v>
      </c>
      <c r="N7" s="56">
        <f t="shared" si="3"/>
        <v>11484.812602739727</v>
      </c>
      <c r="O7" s="57">
        <f t="shared" si="4"/>
        <v>10336.331342465754</v>
      </c>
    </row>
    <row r="8" spans="2:15" ht="15.75">
      <c r="B8" s="53">
        <v>6</v>
      </c>
      <c r="C8" s="547" t="s">
        <v>222</v>
      </c>
      <c r="D8" s="552">
        <v>39571</v>
      </c>
      <c r="E8" s="19">
        <v>44470</v>
      </c>
      <c r="F8" s="564">
        <f t="shared" si="5"/>
        <v>13.421917808219177</v>
      </c>
      <c r="G8" s="605">
        <v>20</v>
      </c>
      <c r="H8" s="20">
        <f t="shared" si="0"/>
        <v>4.7500000000000001E-2</v>
      </c>
      <c r="I8" s="566">
        <v>8200</v>
      </c>
      <c r="J8" s="31">
        <v>410</v>
      </c>
      <c r="K8" s="36">
        <v>0.22</v>
      </c>
      <c r="L8" s="55">
        <f t="shared" si="1"/>
        <v>10004</v>
      </c>
      <c r="M8" s="55">
        <f t="shared" si="2"/>
        <v>6377.9611232876714</v>
      </c>
      <c r="N8" s="56">
        <f t="shared" si="3"/>
        <v>3626.0388767123286</v>
      </c>
      <c r="O8" s="57">
        <f t="shared" si="4"/>
        <v>3263.4349890410958</v>
      </c>
    </row>
    <row r="9" spans="2:15" ht="15.75">
      <c r="B9" s="53">
        <v>7</v>
      </c>
      <c r="C9" s="547" t="s">
        <v>222</v>
      </c>
      <c r="D9" s="552">
        <v>39578</v>
      </c>
      <c r="E9" s="19">
        <v>44470</v>
      </c>
      <c r="F9" s="564">
        <f t="shared" si="5"/>
        <v>13.402739726027397</v>
      </c>
      <c r="G9" s="605">
        <v>20</v>
      </c>
      <c r="H9" s="20">
        <f t="shared" si="0"/>
        <v>4.7500000000000001E-2</v>
      </c>
      <c r="I9" s="566">
        <v>3100</v>
      </c>
      <c r="J9" s="31">
        <v>155</v>
      </c>
      <c r="K9" s="36">
        <v>0.22</v>
      </c>
      <c r="L9" s="55">
        <f t="shared" si="1"/>
        <v>3782</v>
      </c>
      <c r="M9" s="55">
        <f t="shared" si="2"/>
        <v>2407.7351780821919</v>
      </c>
      <c r="N9" s="56">
        <f t="shared" si="3"/>
        <v>1374.2648219178081</v>
      </c>
      <c r="O9" s="57">
        <f t="shared" si="4"/>
        <v>1236.8383397260275</v>
      </c>
    </row>
    <row r="10" spans="2:15" ht="15.75">
      <c r="B10" s="53">
        <v>8</v>
      </c>
      <c r="C10" s="547" t="s">
        <v>222</v>
      </c>
      <c r="D10" s="552">
        <v>39580</v>
      </c>
      <c r="E10" s="19">
        <v>44470</v>
      </c>
      <c r="F10" s="564">
        <f t="shared" si="5"/>
        <v>13.397260273972602</v>
      </c>
      <c r="G10" s="605">
        <v>20</v>
      </c>
      <c r="H10" s="20">
        <f t="shared" si="0"/>
        <v>4.7500000000000001E-2</v>
      </c>
      <c r="I10" s="566">
        <v>3400</v>
      </c>
      <c r="J10" s="31">
        <v>170</v>
      </c>
      <c r="K10" s="36">
        <v>0.22</v>
      </c>
      <c r="L10" s="55">
        <f t="shared" si="1"/>
        <v>4148</v>
      </c>
      <c r="M10" s="55">
        <f t="shared" si="2"/>
        <v>2639.6621917808216</v>
      </c>
      <c r="N10" s="56">
        <f t="shared" si="3"/>
        <v>1508.3378082191784</v>
      </c>
      <c r="O10" s="57">
        <f t="shared" si="4"/>
        <v>1357.5040273972606</v>
      </c>
    </row>
    <row r="11" spans="2:15" ht="15.75">
      <c r="B11" s="53">
        <v>9</v>
      </c>
      <c r="C11" s="547" t="s">
        <v>222</v>
      </c>
      <c r="D11" s="552">
        <v>39903</v>
      </c>
      <c r="E11" s="19">
        <v>44470</v>
      </c>
      <c r="F11" s="564">
        <f t="shared" si="5"/>
        <v>12.512328767123288</v>
      </c>
      <c r="G11" s="605">
        <v>20</v>
      </c>
      <c r="H11" s="20">
        <f t="shared" si="0"/>
        <v>4.7500000000000001E-2</v>
      </c>
      <c r="I11" s="566">
        <f>2747889+5501475</f>
        <v>8249364</v>
      </c>
      <c r="J11" s="31">
        <v>412468.20000000019</v>
      </c>
      <c r="K11" s="36">
        <v>0.19</v>
      </c>
      <c r="L11" s="55">
        <f t="shared" si="1"/>
        <v>9816743.1600000001</v>
      </c>
      <c r="M11" s="55">
        <f t="shared" si="2"/>
        <v>5834440.0974156167</v>
      </c>
      <c r="N11" s="56">
        <f t="shared" si="3"/>
        <v>3982303.0625843834</v>
      </c>
      <c r="O11" s="57">
        <f t="shared" si="4"/>
        <v>3584072.7563259453</v>
      </c>
    </row>
    <row r="12" spans="2:15" ht="15.75">
      <c r="B12" s="53">
        <v>10</v>
      </c>
      <c r="C12" s="547" t="s">
        <v>223</v>
      </c>
      <c r="D12" s="552">
        <v>39903</v>
      </c>
      <c r="E12" s="19">
        <v>44470</v>
      </c>
      <c r="F12" s="564">
        <f t="shared" si="5"/>
        <v>12.512328767123288</v>
      </c>
      <c r="G12" s="11">
        <v>15</v>
      </c>
      <c r="H12" s="20">
        <f t="shared" si="0"/>
        <v>6.3333333333333325E-2</v>
      </c>
      <c r="I12" s="566">
        <v>7993916</v>
      </c>
      <c r="J12" s="31">
        <v>399695.79999999981</v>
      </c>
      <c r="K12" s="36">
        <v>0.04</v>
      </c>
      <c r="L12" s="55">
        <f t="shared" si="1"/>
        <v>8313672.6400000006</v>
      </c>
      <c r="M12" s="55">
        <f t="shared" si="2"/>
        <v>6588149.0044814609</v>
      </c>
      <c r="N12" s="56">
        <f t="shared" si="3"/>
        <v>1725523.6355185397</v>
      </c>
      <c r="O12" s="57">
        <f t="shared" si="4"/>
        <v>1552971.2719666858</v>
      </c>
    </row>
    <row r="13" spans="2:15" s="7" customFormat="1" ht="15.75">
      <c r="B13" s="663">
        <v>11</v>
      </c>
      <c r="C13" s="547" t="s">
        <v>224</v>
      </c>
      <c r="D13" s="552">
        <v>39903</v>
      </c>
      <c r="E13" s="19">
        <v>44470</v>
      </c>
      <c r="F13" s="564">
        <f t="shared" si="5"/>
        <v>12.512328767123288</v>
      </c>
      <c r="G13" s="605">
        <v>20</v>
      </c>
      <c r="H13" s="20">
        <f t="shared" si="0"/>
        <v>4.7500000000000001E-2</v>
      </c>
      <c r="I13" s="566">
        <v>12314973</v>
      </c>
      <c r="J13" s="31">
        <v>615748.65000000037</v>
      </c>
      <c r="K13" s="36">
        <v>0.32</v>
      </c>
      <c r="L13" s="18">
        <f t="shared" si="1"/>
        <v>16255764.360000001</v>
      </c>
      <c r="M13" s="18">
        <f t="shared" si="2"/>
        <v>9661379.7315772623</v>
      </c>
      <c r="N13" s="30">
        <f t="shared" si="3"/>
        <v>6594384.628422739</v>
      </c>
      <c r="O13" s="29">
        <f t="shared" si="4"/>
        <v>5934946.1655804655</v>
      </c>
    </row>
    <row r="14" spans="2:15" s="7" customFormat="1" ht="15.75">
      <c r="B14" s="663">
        <v>12</v>
      </c>
      <c r="C14" s="547" t="s">
        <v>225</v>
      </c>
      <c r="D14" s="552">
        <v>39903</v>
      </c>
      <c r="E14" s="19">
        <v>44470</v>
      </c>
      <c r="F14" s="564">
        <f t="shared" si="5"/>
        <v>12.512328767123288</v>
      </c>
      <c r="G14" s="605">
        <v>20</v>
      </c>
      <c r="H14" s="20">
        <f t="shared" si="0"/>
        <v>4.7500000000000001E-2</v>
      </c>
      <c r="I14" s="566">
        <v>970775</v>
      </c>
      <c r="J14" s="31">
        <v>48538.75</v>
      </c>
      <c r="K14" s="36">
        <v>0.32</v>
      </c>
      <c r="L14" s="18">
        <f t="shared" si="1"/>
        <v>1281423</v>
      </c>
      <c r="M14" s="18">
        <f t="shared" si="2"/>
        <v>761595.32862328773</v>
      </c>
      <c r="N14" s="30">
        <f t="shared" si="3"/>
        <v>519827.67137671227</v>
      </c>
      <c r="O14" s="29">
        <f t="shared" si="4"/>
        <v>467844.90423904103</v>
      </c>
    </row>
    <row r="15" spans="2:15" ht="15.75">
      <c r="B15" s="53">
        <v>13</v>
      </c>
      <c r="C15" s="547" t="s">
        <v>222</v>
      </c>
      <c r="D15" s="552">
        <v>40481</v>
      </c>
      <c r="E15" s="19">
        <v>44470</v>
      </c>
      <c r="F15" s="564">
        <f t="shared" si="5"/>
        <v>10.92876712328767</v>
      </c>
      <c r="G15" s="11">
        <v>20</v>
      </c>
      <c r="H15" s="20">
        <f t="shared" si="0"/>
        <v>4.7500000000000001E-2</v>
      </c>
      <c r="I15" s="566">
        <v>50186400</v>
      </c>
      <c r="J15" s="31">
        <v>2509320.6200000048</v>
      </c>
      <c r="K15" s="36">
        <v>0.2</v>
      </c>
      <c r="L15" s="55">
        <f t="shared" si="1"/>
        <v>60223680</v>
      </c>
      <c r="M15" s="55">
        <f t="shared" si="2"/>
        <v>31263102.266301371</v>
      </c>
      <c r="N15" s="56">
        <f t="shared" si="3"/>
        <v>28960577.733698629</v>
      </c>
      <c r="O15" s="57">
        <f t="shared" si="4"/>
        <v>26064519.960328765</v>
      </c>
    </row>
    <row r="16" spans="2:15">
      <c r="B16" s="53">
        <v>14</v>
      </c>
      <c r="C16" s="575" t="s">
        <v>227</v>
      </c>
      <c r="D16" s="574">
        <v>43358</v>
      </c>
      <c r="E16" s="19">
        <v>44470</v>
      </c>
      <c r="F16" s="564">
        <f t="shared" si="5"/>
        <v>3.0465753424657533</v>
      </c>
      <c r="G16" s="11">
        <v>15</v>
      </c>
      <c r="H16" s="20">
        <f t="shared" si="0"/>
        <v>6.3333333333333325E-2</v>
      </c>
      <c r="I16" s="568">
        <v>395974</v>
      </c>
      <c r="J16" s="31">
        <v>300423.59420796891</v>
      </c>
      <c r="K16" s="36">
        <v>0.01</v>
      </c>
      <c r="L16" s="55">
        <f t="shared" si="1"/>
        <v>399933.74</v>
      </c>
      <c r="M16" s="55">
        <f t="shared" si="2"/>
        <v>77167.123823926915</v>
      </c>
      <c r="N16" s="56">
        <f t="shared" si="3"/>
        <v>322766.61617607309</v>
      </c>
      <c r="O16" s="57">
        <f t="shared" si="4"/>
        <v>290489.9545584658</v>
      </c>
    </row>
    <row r="17" spans="2:15">
      <c r="B17" s="53">
        <v>15</v>
      </c>
      <c r="C17" s="562" t="s">
        <v>135</v>
      </c>
      <c r="D17" s="563">
        <v>43782</v>
      </c>
      <c r="E17" s="19">
        <v>44470</v>
      </c>
      <c r="F17" s="564">
        <f t="shared" si="5"/>
        <v>1.8849315068493151</v>
      </c>
      <c r="G17" s="11">
        <v>15</v>
      </c>
      <c r="H17" s="20">
        <f t="shared" si="0"/>
        <v>6.3333333333333325E-2</v>
      </c>
      <c r="I17" s="569">
        <v>217192</v>
      </c>
      <c r="J17" s="31">
        <v>202930.01968998744</v>
      </c>
      <c r="K17" s="36">
        <v>0</v>
      </c>
      <c r="L17" s="55">
        <f t="shared" si="1"/>
        <v>217192</v>
      </c>
      <c r="M17" s="55">
        <f t="shared" si="2"/>
        <v>25928.162776255704</v>
      </c>
      <c r="N17" s="56">
        <f t="shared" si="3"/>
        <v>191263.83722374431</v>
      </c>
      <c r="O17" s="57">
        <f t="shared" si="4"/>
        <v>172137.45350136989</v>
      </c>
    </row>
    <row r="18" spans="2:15">
      <c r="B18" s="53">
        <v>16</v>
      </c>
      <c r="C18" s="562" t="s">
        <v>148</v>
      </c>
      <c r="D18" s="563">
        <v>43823</v>
      </c>
      <c r="E18" s="19">
        <v>44470</v>
      </c>
      <c r="F18" s="564">
        <f t="shared" si="5"/>
        <v>1.7726027397260273</v>
      </c>
      <c r="G18" s="11">
        <v>15</v>
      </c>
      <c r="H18" s="20">
        <f t="shared" si="0"/>
        <v>6.3333333333333325E-2</v>
      </c>
      <c r="I18" s="569">
        <v>35294</v>
      </c>
      <c r="J18" s="31">
        <v>33164.234811163566</v>
      </c>
      <c r="K18" s="36">
        <v>0</v>
      </c>
      <c r="L18" s="55">
        <f t="shared" si="1"/>
        <v>35294</v>
      </c>
      <c r="M18" s="55">
        <f t="shared" si="2"/>
        <v>3962.275269406392</v>
      </c>
      <c r="N18" s="56">
        <f t="shared" si="3"/>
        <v>31331.724730593607</v>
      </c>
      <c r="O18" s="57">
        <f t="shared" si="4"/>
        <v>28198.552257534247</v>
      </c>
    </row>
    <row r="19" spans="2:15">
      <c r="B19" s="53">
        <v>17</v>
      </c>
      <c r="C19" s="562" t="s">
        <v>140</v>
      </c>
      <c r="D19" s="563">
        <v>43825</v>
      </c>
      <c r="E19" s="19">
        <v>44470</v>
      </c>
      <c r="F19" s="564">
        <f t="shared" si="5"/>
        <v>1.7671232876712328</v>
      </c>
      <c r="G19" s="11">
        <v>8</v>
      </c>
      <c r="H19" s="20">
        <f t="shared" si="0"/>
        <v>0.11874999999999999</v>
      </c>
      <c r="I19" s="569">
        <v>19767.599999999999</v>
      </c>
      <c r="J19" s="31">
        <v>18579.884779289285</v>
      </c>
      <c r="K19" s="36">
        <v>0</v>
      </c>
      <c r="L19" s="55">
        <f t="shared" si="1"/>
        <v>19767.599999999999</v>
      </c>
      <c r="M19" s="55">
        <f t="shared" si="2"/>
        <v>4148.1496232876707</v>
      </c>
      <c r="N19" s="56">
        <f t="shared" si="3"/>
        <v>15619.450376712328</v>
      </c>
      <c r="O19" s="57">
        <f t="shared" si="4"/>
        <v>14057.505339041096</v>
      </c>
    </row>
    <row r="20" spans="2:15">
      <c r="B20" s="53">
        <v>18</v>
      </c>
      <c r="C20" s="562" t="s">
        <v>150</v>
      </c>
      <c r="D20" s="563">
        <v>43848</v>
      </c>
      <c r="E20" s="19">
        <v>44470</v>
      </c>
      <c r="F20" s="564">
        <f t="shared" si="5"/>
        <v>1.704109589041096</v>
      </c>
      <c r="G20" s="11">
        <v>8</v>
      </c>
      <c r="H20" s="20">
        <f t="shared" si="0"/>
        <v>0.11874999999999999</v>
      </c>
      <c r="I20" s="569">
        <v>36509</v>
      </c>
      <c r="J20" s="31">
        <v>34424.384141414143</v>
      </c>
      <c r="K20" s="36">
        <v>0</v>
      </c>
      <c r="L20" s="55">
        <f t="shared" si="1"/>
        <v>36509</v>
      </c>
      <c r="M20" s="55">
        <f t="shared" si="2"/>
        <v>7388.0712671232877</v>
      </c>
      <c r="N20" s="56">
        <f t="shared" si="3"/>
        <v>29120.928732876713</v>
      </c>
      <c r="O20" s="57">
        <f t="shared" si="4"/>
        <v>26208.835859589042</v>
      </c>
    </row>
    <row r="21" spans="2:15">
      <c r="B21" s="53">
        <v>19</v>
      </c>
      <c r="C21" s="562" t="s">
        <v>149</v>
      </c>
      <c r="D21" s="563">
        <v>43862</v>
      </c>
      <c r="E21" s="19">
        <v>44470</v>
      </c>
      <c r="F21" s="564">
        <f t="shared" si="5"/>
        <v>1.6657534246575343</v>
      </c>
      <c r="G21" s="11">
        <v>8</v>
      </c>
      <c r="H21" s="20">
        <f t="shared" si="0"/>
        <v>0.11874999999999999</v>
      </c>
      <c r="I21" s="569">
        <v>39322</v>
      </c>
      <c r="J21" s="31">
        <v>37148.220867283526</v>
      </c>
      <c r="K21" s="36">
        <v>0</v>
      </c>
      <c r="L21" s="55">
        <f t="shared" si="1"/>
        <v>39322</v>
      </c>
      <c r="M21" s="55">
        <f t="shared" si="2"/>
        <v>7778.2147945205479</v>
      </c>
      <c r="N21" s="56">
        <f t="shared" si="3"/>
        <v>31543.785205479453</v>
      </c>
      <c r="O21" s="57">
        <f t="shared" si="4"/>
        <v>28389.40668493151</v>
      </c>
    </row>
    <row r="22" spans="2:15">
      <c r="B22" s="53">
        <v>20</v>
      </c>
      <c r="C22" s="586" t="s">
        <v>316</v>
      </c>
      <c r="D22" s="578">
        <v>43987</v>
      </c>
      <c r="E22" s="19">
        <v>44470</v>
      </c>
      <c r="F22" s="564">
        <f t="shared" si="5"/>
        <v>1.3232876712328767</v>
      </c>
      <c r="G22" s="11">
        <v>15</v>
      </c>
      <c r="H22" s="20">
        <f t="shared" si="0"/>
        <v>6.3333333333333325E-2</v>
      </c>
      <c r="I22" s="579">
        <v>80000</v>
      </c>
      <c r="J22" s="31">
        <v>73753.42465753424</v>
      </c>
      <c r="K22" s="36">
        <v>0</v>
      </c>
      <c r="L22" s="55">
        <f t="shared" si="1"/>
        <v>80000</v>
      </c>
      <c r="M22" s="55">
        <f t="shared" si="2"/>
        <v>6704.657534246574</v>
      </c>
      <c r="N22" s="56">
        <f t="shared" si="3"/>
        <v>73295.34246575342</v>
      </c>
      <c r="O22" s="57">
        <f t="shared" si="4"/>
        <v>65965.808219178085</v>
      </c>
    </row>
    <row r="23" spans="2:15" ht="15.75" thickBot="1">
      <c r="B23" s="53">
        <v>21</v>
      </c>
      <c r="C23" s="586" t="s">
        <v>317</v>
      </c>
      <c r="D23" s="578">
        <v>44145</v>
      </c>
      <c r="E23" s="19">
        <v>44470</v>
      </c>
      <c r="F23" s="564">
        <f t="shared" si="5"/>
        <v>0.8904109589041096</v>
      </c>
      <c r="G23" s="11">
        <v>10</v>
      </c>
      <c r="H23" s="20">
        <f t="shared" si="0"/>
        <v>9.5000000000000001E-2</v>
      </c>
      <c r="I23" s="579">
        <v>613850</v>
      </c>
      <c r="J23" s="31">
        <v>591162.77671232878</v>
      </c>
      <c r="K23" s="36">
        <v>0</v>
      </c>
      <c r="L23" s="55">
        <f t="shared" si="1"/>
        <v>613850</v>
      </c>
      <c r="M23" s="55">
        <f t="shared" si="2"/>
        <v>51924.982876712325</v>
      </c>
      <c r="N23" s="56">
        <f t="shared" ref="N23" si="6">IF(L23-M23&lt;=0,5%*L23,L23-M23)</f>
        <v>561925.01712328766</v>
      </c>
      <c r="O23" s="57">
        <f t="shared" ref="O23" si="7">IF(N23=L23*5%,N23,N23*0.9)</f>
        <v>505732.51541095891</v>
      </c>
    </row>
    <row r="24" spans="2:15" s="23" customFormat="1" ht="15.75" thickBot="1">
      <c r="B24" s="703" t="s">
        <v>13</v>
      </c>
      <c r="C24" s="705"/>
      <c r="D24" s="705"/>
      <c r="E24" s="705"/>
      <c r="F24" s="705"/>
      <c r="G24" s="705"/>
      <c r="H24" s="705"/>
      <c r="I24" s="588">
        <f>SUM(I3:I23)</f>
        <v>82275638.599999994</v>
      </c>
      <c r="J24" s="588">
        <f>SUM(J3:J23)</f>
        <v>5333345.4098669756</v>
      </c>
      <c r="K24" s="589"/>
      <c r="L24" s="32">
        <f>SUM(L3:L23)</f>
        <v>98702359.939999983</v>
      </c>
      <c r="M24" s="32">
        <f>SUM(M3:M23)</f>
        <v>55169963.053262554</v>
      </c>
      <c r="N24" s="32">
        <f>SUM(N3:N23)</f>
        <v>43532396.886737444</v>
      </c>
      <c r="O24" s="33">
        <f>SUM(O3:O23)</f>
        <v>39179157.198063716</v>
      </c>
    </row>
    <row r="25" spans="2:15">
      <c r="C25" s="8"/>
      <c r="D25" s="8"/>
      <c r="I25" s="9"/>
      <c r="J25" s="9"/>
    </row>
    <row r="26" spans="2:15">
      <c r="C26" s="3"/>
      <c r="D26" s="3"/>
      <c r="I26" s="4"/>
      <c r="J26" s="4"/>
    </row>
    <row r="27" spans="2:15">
      <c r="C27" s="3"/>
      <c r="D27" s="3"/>
      <c r="I27" s="4"/>
      <c r="J27" s="4"/>
    </row>
    <row r="28" spans="2:15">
      <c r="C28" s="3"/>
      <c r="D28" s="3"/>
      <c r="I28" s="4"/>
      <c r="J28" s="4"/>
    </row>
    <row r="29" spans="2:15">
      <c r="C29" s="3"/>
      <c r="D29" s="3"/>
      <c r="I29" s="4"/>
      <c r="J29" s="4"/>
    </row>
    <row r="30" spans="2:15">
      <c r="C30" s="3"/>
      <c r="D30" s="3"/>
      <c r="I30" s="4"/>
      <c r="J30" s="4"/>
    </row>
    <row r="31" spans="2:15">
      <c r="C31" s="3"/>
      <c r="D31" s="3"/>
      <c r="I31" s="4"/>
      <c r="J31" s="4"/>
    </row>
    <row r="32" spans="2:15">
      <c r="C32" s="3"/>
      <c r="D32" s="3"/>
      <c r="I32" s="4"/>
      <c r="J32" s="4"/>
    </row>
    <row r="33" spans="3:10">
      <c r="C33" s="3"/>
      <c r="D33" s="3"/>
      <c r="I33" s="4"/>
      <c r="J33" s="4"/>
    </row>
    <row r="34" spans="3:10">
      <c r="C34" s="3"/>
      <c r="D34" s="3"/>
      <c r="I34" s="4"/>
      <c r="J34" s="4"/>
    </row>
    <row r="35" spans="3:10">
      <c r="C35" s="3"/>
      <c r="D35" s="3"/>
      <c r="I35" s="4"/>
      <c r="J35" s="4"/>
    </row>
    <row r="36" spans="3:10">
      <c r="C36" s="3"/>
      <c r="D36" s="3"/>
      <c r="I36" s="4"/>
      <c r="J36" s="4"/>
    </row>
    <row r="37" spans="3:10">
      <c r="C37" s="3"/>
      <c r="D37" s="3"/>
      <c r="I37" s="4"/>
      <c r="J37" s="4"/>
    </row>
    <row r="38" spans="3:10">
      <c r="C38" s="3"/>
      <c r="D38" s="3"/>
      <c r="I38" s="4"/>
      <c r="J38" s="4"/>
    </row>
    <row r="39" spans="3:10">
      <c r="C39" s="3"/>
      <c r="D39" s="3"/>
      <c r="I39" s="4"/>
      <c r="J39" s="4"/>
    </row>
    <row r="40" spans="3:10">
      <c r="C40" s="3"/>
      <c r="D40" s="3"/>
      <c r="I40" s="4"/>
      <c r="J40" s="4"/>
    </row>
    <row r="41" spans="3:10">
      <c r="C41" s="3"/>
      <c r="D41" s="3"/>
      <c r="I41" s="4"/>
      <c r="J41" s="4"/>
    </row>
    <row r="42" spans="3:10">
      <c r="C42" s="3"/>
      <c r="D42" s="3"/>
      <c r="I42" s="4"/>
      <c r="J42" s="4"/>
    </row>
    <row r="43" spans="3:10">
      <c r="C43" s="3"/>
      <c r="D43" s="3"/>
      <c r="I43" s="4"/>
      <c r="J43" s="4"/>
    </row>
    <row r="44" spans="3:10">
      <c r="C44" s="3"/>
      <c r="D44" s="3"/>
      <c r="I44" s="4"/>
      <c r="J44" s="4"/>
    </row>
    <row r="45" spans="3:10">
      <c r="C45" s="3"/>
      <c r="D45" s="3"/>
      <c r="I45" s="4"/>
      <c r="J45" s="4"/>
    </row>
    <row r="46" spans="3:10">
      <c r="C46" s="3"/>
      <c r="D46" s="3"/>
      <c r="I46" s="4"/>
      <c r="J46" s="4"/>
    </row>
    <row r="47" spans="3:10">
      <c r="C47" s="3"/>
      <c r="D47" s="3"/>
      <c r="I47" s="4"/>
      <c r="J47" s="4"/>
    </row>
    <row r="48" spans="3:10">
      <c r="C48" s="3"/>
      <c r="D48" s="3"/>
      <c r="I48" s="4"/>
      <c r="J48" s="4"/>
    </row>
    <row r="49" spans="3:10">
      <c r="C49" s="3"/>
      <c r="D49" s="3"/>
      <c r="I49" s="4"/>
      <c r="J49" s="4"/>
    </row>
    <row r="50" spans="3:10">
      <c r="C50" s="3"/>
      <c r="D50" s="3"/>
      <c r="I50" s="4"/>
      <c r="J50" s="4"/>
    </row>
    <row r="51" spans="3:10">
      <c r="C51" s="3"/>
      <c r="D51" s="3"/>
      <c r="I51" s="4"/>
      <c r="J51" s="4"/>
    </row>
    <row r="52" spans="3:10">
      <c r="C52" s="3"/>
      <c r="D52" s="3"/>
      <c r="I52" s="4"/>
      <c r="J52" s="4"/>
    </row>
    <row r="53" spans="3:10">
      <c r="C53" s="3"/>
      <c r="D53" s="3"/>
      <c r="I53" s="4"/>
      <c r="J53" s="4"/>
    </row>
    <row r="54" spans="3:10">
      <c r="C54" s="3"/>
      <c r="D54" s="3"/>
      <c r="I54" s="4"/>
      <c r="J54" s="4"/>
    </row>
    <row r="55" spans="3:10">
      <c r="C55" s="3"/>
      <c r="D55" s="3"/>
      <c r="I55" s="4"/>
      <c r="J55" s="4"/>
    </row>
    <row r="56" spans="3:10">
      <c r="C56" s="3"/>
      <c r="D56" s="3"/>
      <c r="I56" s="4"/>
      <c r="J56" s="4"/>
    </row>
    <row r="57" spans="3:10">
      <c r="C57" s="3"/>
      <c r="D57" s="3"/>
      <c r="I57" s="4"/>
      <c r="J57" s="4"/>
    </row>
    <row r="58" spans="3:10">
      <c r="C58" s="3"/>
      <c r="D58" s="3"/>
      <c r="I58" s="4"/>
      <c r="J58" s="4"/>
    </row>
    <row r="59" spans="3:10">
      <c r="C59" s="3"/>
      <c r="D59" s="3"/>
      <c r="I59" s="4"/>
      <c r="J59" s="4"/>
    </row>
    <row r="60" spans="3:10">
      <c r="C60" s="3"/>
      <c r="D60" s="3"/>
      <c r="I60" s="4"/>
      <c r="J60" s="4"/>
    </row>
    <row r="61" spans="3:10">
      <c r="C61" s="3"/>
      <c r="D61" s="3"/>
      <c r="I61" s="4"/>
      <c r="J61" s="4"/>
    </row>
    <row r="62" spans="3:10">
      <c r="C62" s="3"/>
      <c r="D62" s="3"/>
      <c r="I62" s="4"/>
      <c r="J62" s="4"/>
    </row>
    <row r="63" spans="3:10">
      <c r="C63" s="3"/>
      <c r="D63" s="3"/>
      <c r="I63" s="4"/>
      <c r="J63" s="4"/>
    </row>
    <row r="64" spans="3:10">
      <c r="C64" s="3"/>
      <c r="D64" s="3"/>
      <c r="I64" s="4"/>
      <c r="J64" s="4"/>
    </row>
    <row r="65" spans="3:10">
      <c r="C65" s="3"/>
      <c r="D65" s="3"/>
      <c r="I65" s="4"/>
      <c r="J65" s="4"/>
    </row>
    <row r="66" spans="3:10">
      <c r="C66" s="3"/>
      <c r="D66" s="3"/>
      <c r="I66" s="4"/>
      <c r="J66" s="4"/>
    </row>
    <row r="67" spans="3:10">
      <c r="C67" s="3"/>
      <c r="D67" s="3"/>
      <c r="I67" s="4"/>
      <c r="J67" s="4"/>
    </row>
    <row r="68" spans="3:10">
      <c r="C68" s="3"/>
      <c r="D68" s="3"/>
      <c r="I68" s="4"/>
      <c r="J68" s="4"/>
    </row>
    <row r="69" spans="3:10">
      <c r="C69" s="3"/>
      <c r="D69" s="3"/>
      <c r="I69" s="4"/>
      <c r="J69" s="4"/>
    </row>
    <row r="70" spans="3:10">
      <c r="C70" s="3"/>
      <c r="D70" s="3"/>
      <c r="I70" s="4"/>
      <c r="J70" s="4"/>
    </row>
    <row r="71" spans="3:10">
      <c r="C71" s="3"/>
      <c r="D71" s="3"/>
      <c r="I71" s="4"/>
      <c r="J71" s="4"/>
    </row>
    <row r="72" spans="3:10">
      <c r="C72" s="3"/>
      <c r="D72" s="3"/>
      <c r="I72" s="4"/>
      <c r="J72" s="4"/>
    </row>
    <row r="73" spans="3:10">
      <c r="C73" s="3"/>
      <c r="D73" s="3"/>
      <c r="I73" s="4"/>
      <c r="J73" s="4"/>
    </row>
    <row r="74" spans="3:10">
      <c r="C74" s="3"/>
      <c r="D74" s="3"/>
      <c r="I74" s="4"/>
      <c r="J74" s="4"/>
    </row>
    <row r="75" spans="3:10">
      <c r="C75" s="3"/>
      <c r="D75" s="3"/>
      <c r="I75" s="4"/>
      <c r="J75" s="4"/>
    </row>
    <row r="76" spans="3:10">
      <c r="C76" s="3"/>
      <c r="D76" s="3"/>
      <c r="I76" s="4"/>
      <c r="J76" s="4"/>
    </row>
    <row r="77" spans="3:10">
      <c r="C77" s="3"/>
      <c r="D77" s="3"/>
      <c r="I77" s="4"/>
      <c r="J77" s="4"/>
    </row>
    <row r="78" spans="3:10">
      <c r="C78" s="3"/>
      <c r="D78" s="3"/>
      <c r="I78" s="4"/>
      <c r="J78" s="4"/>
    </row>
    <row r="79" spans="3:10">
      <c r="C79" s="3"/>
      <c r="D79" s="3"/>
      <c r="I79" s="4"/>
      <c r="J79" s="4"/>
    </row>
    <row r="80" spans="3:10">
      <c r="C80" s="3"/>
      <c r="D80" s="3"/>
      <c r="I80" s="4"/>
      <c r="J80" s="4"/>
    </row>
    <row r="81" spans="3:10">
      <c r="C81" s="3"/>
      <c r="D81" s="3"/>
      <c r="I81" s="4"/>
      <c r="J81" s="4"/>
    </row>
    <row r="82" spans="3:10">
      <c r="C82" s="3"/>
      <c r="D82" s="3"/>
      <c r="I82" s="4"/>
      <c r="J82" s="4"/>
    </row>
    <row r="83" spans="3:10">
      <c r="C83" s="3"/>
      <c r="D83" s="3"/>
      <c r="I83" s="4"/>
      <c r="J83" s="4"/>
    </row>
    <row r="84" spans="3:10">
      <c r="C84" s="3"/>
      <c r="D84" s="3"/>
      <c r="I84" s="4"/>
      <c r="J84" s="4"/>
    </row>
    <row r="85" spans="3:10">
      <c r="C85" s="3"/>
      <c r="D85" s="3"/>
      <c r="I85" s="4"/>
      <c r="J85" s="4"/>
    </row>
    <row r="86" spans="3:10">
      <c r="C86" s="3"/>
      <c r="D86" s="3"/>
      <c r="I86" s="4"/>
      <c r="J86" s="4"/>
    </row>
    <row r="87" spans="3:10">
      <c r="C87" s="3"/>
      <c r="D87" s="3"/>
      <c r="I87" s="4"/>
      <c r="J87" s="4"/>
    </row>
    <row r="88" spans="3:10">
      <c r="C88" s="3"/>
      <c r="D88" s="3"/>
      <c r="I88" s="4"/>
      <c r="J88" s="4"/>
    </row>
    <row r="89" spans="3:10">
      <c r="C89" s="3"/>
      <c r="D89" s="3"/>
      <c r="I89" s="4"/>
      <c r="J89" s="4"/>
    </row>
    <row r="90" spans="3:10">
      <c r="C90" s="3"/>
      <c r="D90" s="3"/>
      <c r="I90" s="4"/>
      <c r="J90" s="4"/>
    </row>
    <row r="91" spans="3:10">
      <c r="C91" s="3"/>
      <c r="D91" s="3"/>
      <c r="I91" s="4"/>
      <c r="J91" s="4"/>
    </row>
    <row r="92" spans="3:10">
      <c r="C92" s="3"/>
      <c r="D92" s="3"/>
      <c r="I92" s="4"/>
      <c r="J92" s="4"/>
    </row>
    <row r="93" spans="3:10">
      <c r="C93" s="3"/>
      <c r="D93" s="3"/>
      <c r="I93" s="4"/>
      <c r="J93" s="4"/>
    </row>
    <row r="94" spans="3:10">
      <c r="C94" s="3"/>
      <c r="D94" s="3"/>
      <c r="I94" s="4"/>
      <c r="J94" s="4"/>
    </row>
    <row r="95" spans="3:10">
      <c r="C95" s="3"/>
      <c r="D95" s="3"/>
      <c r="I95" s="4"/>
      <c r="J95" s="4"/>
    </row>
    <row r="96" spans="3:10">
      <c r="C96" s="3"/>
      <c r="D96" s="3"/>
      <c r="I96" s="4"/>
      <c r="J96" s="4"/>
    </row>
    <row r="97" spans="3:10">
      <c r="C97" s="3"/>
      <c r="D97" s="3"/>
      <c r="I97" s="4"/>
      <c r="J97" s="4"/>
    </row>
    <row r="98" spans="3:10">
      <c r="C98" s="3"/>
      <c r="D98" s="3"/>
      <c r="I98" s="4"/>
      <c r="J98" s="4"/>
    </row>
    <row r="99" spans="3:10">
      <c r="C99" s="3"/>
      <c r="D99" s="3"/>
      <c r="I99" s="4"/>
      <c r="J99" s="4"/>
    </row>
    <row r="100" spans="3:10">
      <c r="C100" s="3"/>
      <c r="D100" s="3"/>
      <c r="I100" s="4"/>
      <c r="J100" s="4"/>
    </row>
    <row r="101" spans="3:10">
      <c r="C101" s="3"/>
      <c r="D101" s="3"/>
      <c r="I101" s="4"/>
      <c r="J101" s="4"/>
    </row>
    <row r="102" spans="3:10">
      <c r="C102" s="3"/>
      <c r="D102" s="3"/>
      <c r="I102" s="4"/>
      <c r="J102" s="4"/>
    </row>
    <row r="103" spans="3:10">
      <c r="C103" s="3"/>
      <c r="D103" s="3"/>
      <c r="I103" s="4"/>
      <c r="J103" s="4"/>
    </row>
    <row r="104" spans="3:10">
      <c r="C104" s="3"/>
      <c r="D104" s="3"/>
      <c r="I104" s="4"/>
      <c r="J104" s="4"/>
    </row>
    <row r="105" spans="3:10">
      <c r="C105" s="3"/>
      <c r="D105" s="3"/>
      <c r="I105" s="4"/>
      <c r="J105" s="4"/>
    </row>
    <row r="106" spans="3:10">
      <c r="C106" s="3"/>
      <c r="D106" s="3"/>
      <c r="I106" s="4"/>
      <c r="J106" s="4"/>
    </row>
    <row r="107" spans="3:10">
      <c r="C107" s="3"/>
      <c r="D107" s="3"/>
      <c r="I107" s="4"/>
      <c r="J107" s="4"/>
    </row>
    <row r="108" spans="3:10">
      <c r="C108" s="3"/>
      <c r="D108" s="3"/>
      <c r="I108" s="4"/>
      <c r="J108" s="4"/>
    </row>
    <row r="109" spans="3:10">
      <c r="C109" s="3"/>
      <c r="D109" s="3"/>
      <c r="I109" s="4"/>
      <c r="J109" s="4"/>
    </row>
    <row r="110" spans="3:10">
      <c r="C110" s="3"/>
      <c r="D110" s="3"/>
      <c r="I110" s="4"/>
      <c r="J110" s="4"/>
    </row>
    <row r="111" spans="3:10">
      <c r="C111" s="3"/>
      <c r="D111" s="3"/>
      <c r="I111" s="4"/>
      <c r="J111" s="4"/>
    </row>
    <row r="112" spans="3:10">
      <c r="C112" s="3"/>
      <c r="D112" s="3"/>
      <c r="I112" s="4"/>
      <c r="J112" s="4"/>
    </row>
    <row r="113" spans="3:10">
      <c r="C113" s="3"/>
      <c r="D113" s="3"/>
      <c r="I113" s="4"/>
      <c r="J113" s="4"/>
    </row>
    <row r="114" spans="3:10">
      <c r="C114" s="3"/>
      <c r="D114" s="3"/>
      <c r="I114" s="4"/>
      <c r="J114" s="4"/>
    </row>
    <row r="115" spans="3:10">
      <c r="C115" s="3"/>
      <c r="D115" s="3"/>
      <c r="I115" s="4"/>
      <c r="J115" s="4"/>
    </row>
    <row r="116" spans="3:10">
      <c r="C116" s="3"/>
      <c r="D116" s="3"/>
      <c r="I116" s="4"/>
      <c r="J116" s="4"/>
    </row>
    <row r="117" spans="3:10">
      <c r="C117" s="3"/>
      <c r="D117" s="3"/>
      <c r="I117" s="4"/>
      <c r="J117" s="4"/>
    </row>
    <row r="118" spans="3:10">
      <c r="C118" s="3"/>
      <c r="D118" s="3"/>
      <c r="I118" s="4"/>
      <c r="J118" s="4"/>
    </row>
    <row r="119" spans="3:10">
      <c r="C119" s="3"/>
      <c r="D119" s="3"/>
      <c r="I119" s="4"/>
      <c r="J119" s="4"/>
    </row>
    <row r="120" spans="3:10">
      <c r="C120" s="3"/>
      <c r="D120" s="3"/>
      <c r="I120" s="4"/>
      <c r="J120" s="4"/>
    </row>
    <row r="121" spans="3:10">
      <c r="C121" s="3"/>
      <c r="D121" s="3"/>
      <c r="I121" s="4"/>
      <c r="J121" s="4"/>
    </row>
    <row r="122" spans="3:10">
      <c r="C122" s="3"/>
      <c r="D122" s="3"/>
      <c r="I122" s="4"/>
      <c r="J122" s="4"/>
    </row>
    <row r="123" spans="3:10">
      <c r="C123" s="3"/>
      <c r="D123" s="3"/>
      <c r="I123" s="4"/>
      <c r="J123" s="4"/>
    </row>
    <row r="124" spans="3:10">
      <c r="C124" s="3"/>
      <c r="D124" s="3"/>
      <c r="I124" s="4"/>
      <c r="J124" s="4"/>
    </row>
    <row r="125" spans="3:10">
      <c r="C125" s="3"/>
      <c r="D125" s="3"/>
      <c r="I125" s="4"/>
      <c r="J125" s="4"/>
    </row>
    <row r="126" spans="3:10">
      <c r="C126" s="3"/>
      <c r="D126" s="3"/>
      <c r="I126" s="4"/>
      <c r="J126" s="4"/>
    </row>
    <row r="127" spans="3:10">
      <c r="C127" s="3"/>
      <c r="D127" s="3"/>
      <c r="I127" s="4"/>
      <c r="J127" s="4"/>
    </row>
    <row r="128" spans="3:10">
      <c r="C128" s="3"/>
      <c r="D128" s="3"/>
      <c r="I128" s="4"/>
      <c r="J128" s="4"/>
    </row>
    <row r="129" spans="3:10">
      <c r="C129" s="3"/>
      <c r="D129" s="3"/>
      <c r="I129" s="4"/>
      <c r="J129" s="4"/>
    </row>
    <row r="130" spans="3:10">
      <c r="C130" s="3"/>
      <c r="D130" s="3"/>
      <c r="I130" s="4"/>
      <c r="J130" s="4"/>
    </row>
    <row r="131" spans="3:10">
      <c r="C131" s="3"/>
      <c r="D131" s="3"/>
      <c r="I131" s="4"/>
      <c r="J131" s="4"/>
    </row>
    <row r="132" spans="3:10">
      <c r="C132" s="3"/>
      <c r="D132" s="3"/>
      <c r="I132" s="4"/>
      <c r="J132" s="4"/>
    </row>
    <row r="133" spans="3:10">
      <c r="C133" s="3"/>
      <c r="D133" s="3"/>
      <c r="I133" s="4"/>
      <c r="J133" s="4"/>
    </row>
    <row r="134" spans="3:10">
      <c r="C134" s="3"/>
      <c r="D134" s="3"/>
      <c r="I134" s="4"/>
      <c r="J134" s="4"/>
    </row>
    <row r="135" spans="3:10">
      <c r="C135" s="3"/>
      <c r="D135" s="3"/>
      <c r="I135" s="4"/>
      <c r="J135" s="4"/>
    </row>
    <row r="136" spans="3:10">
      <c r="C136" s="3"/>
      <c r="D136" s="3"/>
      <c r="I136" s="4"/>
      <c r="J136" s="4"/>
    </row>
    <row r="137" spans="3:10">
      <c r="C137" s="3"/>
      <c r="D137" s="3"/>
      <c r="I137" s="4"/>
      <c r="J137" s="4"/>
    </row>
    <row r="138" spans="3:10">
      <c r="C138" s="3"/>
      <c r="D138" s="3"/>
      <c r="I138" s="4"/>
      <c r="J138" s="4"/>
    </row>
    <row r="139" spans="3:10">
      <c r="C139" s="3"/>
      <c r="D139" s="3"/>
      <c r="I139" s="4"/>
      <c r="J139" s="4"/>
    </row>
    <row r="140" spans="3:10">
      <c r="C140" s="3"/>
      <c r="D140" s="3"/>
      <c r="I140" s="4"/>
      <c r="J140" s="4"/>
    </row>
    <row r="141" spans="3:10">
      <c r="C141" s="3"/>
      <c r="D141" s="3"/>
      <c r="I141" s="4"/>
      <c r="J141" s="4"/>
    </row>
    <row r="142" spans="3:10">
      <c r="C142" s="3"/>
      <c r="D142" s="3"/>
      <c r="I142" s="4"/>
      <c r="J142" s="4"/>
    </row>
    <row r="143" spans="3:10">
      <c r="C143" s="3"/>
      <c r="D143" s="3"/>
      <c r="I143" s="4"/>
      <c r="J143" s="4"/>
    </row>
    <row r="144" spans="3:10">
      <c r="C144" s="3"/>
      <c r="D144" s="3"/>
      <c r="I144" s="4"/>
      <c r="J144" s="4"/>
    </row>
    <row r="145" spans="3:10">
      <c r="C145" s="3"/>
      <c r="D145" s="3"/>
      <c r="I145" s="4"/>
      <c r="J145" s="4"/>
    </row>
    <row r="146" spans="3:10">
      <c r="C146" s="3"/>
      <c r="D146" s="3"/>
      <c r="I146" s="4"/>
      <c r="J146" s="4"/>
    </row>
    <row r="147" spans="3:10">
      <c r="C147" s="3"/>
      <c r="D147" s="3"/>
      <c r="I147" s="4"/>
      <c r="J147" s="4"/>
    </row>
    <row r="148" spans="3:10">
      <c r="C148" s="3"/>
      <c r="D148" s="3"/>
      <c r="I148" s="4"/>
      <c r="J148" s="4"/>
    </row>
    <row r="149" spans="3:10">
      <c r="C149" s="3"/>
      <c r="D149" s="3"/>
      <c r="I149" s="4"/>
      <c r="J149" s="4"/>
    </row>
    <row r="150" spans="3:10">
      <c r="C150" s="3"/>
      <c r="D150" s="3"/>
      <c r="I150" s="4"/>
      <c r="J150" s="4"/>
    </row>
    <row r="151" spans="3:10">
      <c r="C151" s="3"/>
      <c r="D151" s="3"/>
      <c r="I151" s="4"/>
      <c r="J151" s="4"/>
    </row>
    <row r="152" spans="3:10">
      <c r="C152" s="3"/>
      <c r="D152" s="3"/>
      <c r="I152" s="4"/>
      <c r="J152" s="4"/>
    </row>
    <row r="153" spans="3:10">
      <c r="C153" s="3"/>
      <c r="D153" s="3"/>
      <c r="I153" s="4"/>
      <c r="J153" s="4"/>
    </row>
    <row r="154" spans="3:10">
      <c r="C154" s="3"/>
      <c r="D154" s="3"/>
      <c r="I154" s="4"/>
      <c r="J154" s="4"/>
    </row>
    <row r="155" spans="3:10">
      <c r="C155" s="3"/>
      <c r="D155" s="3"/>
      <c r="I155" s="4"/>
      <c r="J155" s="4"/>
    </row>
    <row r="156" spans="3:10">
      <c r="C156" s="3"/>
      <c r="D156" s="3"/>
      <c r="I156" s="4"/>
      <c r="J156" s="4"/>
    </row>
    <row r="157" spans="3:10">
      <c r="C157" s="3"/>
      <c r="D157" s="3"/>
      <c r="I157" s="4"/>
      <c r="J157" s="4"/>
    </row>
    <row r="158" spans="3:10">
      <c r="C158" s="3"/>
      <c r="D158" s="3"/>
      <c r="I158" s="4"/>
      <c r="J158" s="4"/>
    </row>
    <row r="159" spans="3:10">
      <c r="C159" s="3"/>
      <c r="D159" s="3"/>
      <c r="I159" s="4"/>
      <c r="J159" s="4"/>
    </row>
    <row r="160" spans="3:10">
      <c r="C160" s="3"/>
      <c r="D160" s="3"/>
      <c r="I160" s="4"/>
      <c r="J160" s="4"/>
    </row>
    <row r="161" spans="3:10">
      <c r="C161" s="3"/>
      <c r="D161" s="3"/>
      <c r="I161" s="4"/>
      <c r="J161" s="4"/>
    </row>
    <row r="162" spans="3:10">
      <c r="C162" s="3"/>
      <c r="D162" s="3"/>
      <c r="I162" s="4"/>
      <c r="J162" s="4"/>
    </row>
    <row r="163" spans="3:10">
      <c r="C163" s="3"/>
      <c r="D163" s="3"/>
      <c r="I163" s="4"/>
      <c r="J163" s="4"/>
    </row>
    <row r="164" spans="3:10">
      <c r="C164" s="3"/>
      <c r="D164" s="3"/>
      <c r="I164" s="4"/>
      <c r="J164" s="4"/>
    </row>
    <row r="165" spans="3:10">
      <c r="C165" s="3"/>
      <c r="D165" s="3"/>
      <c r="I165" s="4"/>
      <c r="J165" s="4"/>
    </row>
    <row r="166" spans="3:10">
      <c r="C166" s="3"/>
      <c r="D166" s="3"/>
      <c r="I166" s="4"/>
      <c r="J166" s="4"/>
    </row>
    <row r="167" spans="3:10">
      <c r="C167" s="3"/>
      <c r="D167" s="3"/>
      <c r="I167" s="4"/>
      <c r="J167" s="4"/>
    </row>
    <row r="168" spans="3:10">
      <c r="C168" s="3"/>
      <c r="D168" s="3"/>
      <c r="I168" s="4"/>
      <c r="J168" s="4"/>
    </row>
    <row r="169" spans="3:10">
      <c r="C169" s="3"/>
      <c r="D169" s="3"/>
      <c r="I169" s="4"/>
      <c r="J169" s="4"/>
    </row>
    <row r="170" spans="3:10">
      <c r="C170" s="3"/>
      <c r="D170" s="3"/>
      <c r="I170" s="4"/>
      <c r="J170" s="4"/>
    </row>
    <row r="171" spans="3:10">
      <c r="C171" s="3"/>
      <c r="D171" s="3"/>
      <c r="I171" s="4"/>
      <c r="J171" s="4"/>
    </row>
    <row r="172" spans="3:10">
      <c r="C172" s="3"/>
      <c r="D172" s="3"/>
      <c r="I172" s="4"/>
      <c r="J172" s="4"/>
    </row>
    <row r="173" spans="3:10">
      <c r="C173" s="3"/>
      <c r="D173" s="3"/>
      <c r="I173" s="4"/>
      <c r="J173" s="4"/>
    </row>
    <row r="174" spans="3:10">
      <c r="C174" s="3"/>
      <c r="D174" s="3"/>
      <c r="I174" s="4"/>
      <c r="J174" s="4"/>
    </row>
    <row r="175" spans="3:10">
      <c r="C175" s="3"/>
      <c r="D175" s="3"/>
      <c r="I175" s="4"/>
      <c r="J175" s="4"/>
    </row>
    <row r="176" spans="3:10">
      <c r="C176" s="3"/>
      <c r="D176" s="3"/>
      <c r="I176" s="4"/>
      <c r="J176" s="4"/>
    </row>
    <row r="177" spans="3:10">
      <c r="C177" s="3"/>
      <c r="D177" s="3"/>
      <c r="I177" s="4"/>
      <c r="J177" s="4"/>
    </row>
    <row r="178" spans="3:10">
      <c r="C178" s="3"/>
      <c r="D178" s="3"/>
      <c r="I178" s="4"/>
      <c r="J178" s="4"/>
    </row>
    <row r="179" spans="3:10">
      <c r="C179" s="3"/>
      <c r="D179" s="3"/>
      <c r="I179" s="4"/>
      <c r="J179" s="4"/>
    </row>
    <row r="180" spans="3:10">
      <c r="C180" s="3"/>
      <c r="D180" s="3"/>
      <c r="I180" s="4"/>
      <c r="J180" s="4"/>
    </row>
    <row r="181" spans="3:10">
      <c r="C181" s="3"/>
      <c r="D181" s="3"/>
      <c r="I181" s="4"/>
      <c r="J181" s="4"/>
    </row>
    <row r="182" spans="3:10">
      <c r="C182" s="3"/>
      <c r="D182" s="3"/>
      <c r="I182" s="4"/>
      <c r="J182" s="4"/>
    </row>
    <row r="183" spans="3:10">
      <c r="C183" s="3"/>
      <c r="D183" s="3"/>
      <c r="I183" s="4"/>
      <c r="J183" s="4"/>
    </row>
    <row r="184" spans="3:10">
      <c r="C184" s="3"/>
      <c r="D184" s="3"/>
      <c r="I184" s="4"/>
      <c r="J184" s="4"/>
    </row>
    <row r="185" spans="3:10">
      <c r="C185" s="3"/>
      <c r="D185" s="3"/>
      <c r="I185" s="4"/>
      <c r="J185" s="4"/>
    </row>
    <row r="186" spans="3:10">
      <c r="C186" s="3"/>
      <c r="D186" s="3"/>
      <c r="I186" s="4"/>
      <c r="J186" s="4"/>
    </row>
    <row r="187" spans="3:10">
      <c r="C187" s="3"/>
      <c r="D187" s="3"/>
      <c r="I187" s="4"/>
      <c r="J187" s="4"/>
    </row>
    <row r="188" spans="3:10">
      <c r="C188" s="3"/>
      <c r="D188" s="3"/>
      <c r="I188" s="4"/>
      <c r="J188" s="4"/>
    </row>
    <row r="189" spans="3:10">
      <c r="C189" s="3"/>
      <c r="D189" s="3"/>
      <c r="I189" s="4"/>
      <c r="J189" s="4"/>
    </row>
    <row r="190" spans="3:10">
      <c r="C190" s="3"/>
      <c r="D190" s="3"/>
      <c r="I190" s="4"/>
      <c r="J190" s="4"/>
    </row>
    <row r="191" spans="3:10">
      <c r="C191" s="3"/>
      <c r="D191" s="3"/>
      <c r="I191" s="4"/>
      <c r="J191" s="4"/>
    </row>
    <row r="192" spans="3:10">
      <c r="C192" s="3"/>
      <c r="D192" s="3"/>
      <c r="I192" s="4"/>
      <c r="J192" s="4"/>
    </row>
    <row r="193" spans="3:10">
      <c r="C193" s="3"/>
      <c r="D193" s="3"/>
      <c r="I193" s="4"/>
      <c r="J193" s="4"/>
    </row>
    <row r="194" spans="3:10">
      <c r="C194" s="3"/>
      <c r="D194" s="3"/>
      <c r="I194" s="4"/>
      <c r="J194" s="4"/>
    </row>
    <row r="195" spans="3:10">
      <c r="C195" s="3"/>
      <c r="D195" s="3"/>
      <c r="I195" s="4"/>
      <c r="J195" s="4"/>
    </row>
    <row r="196" spans="3:10">
      <c r="C196" s="3"/>
      <c r="D196" s="3"/>
      <c r="I196" s="4"/>
      <c r="J196" s="4"/>
    </row>
    <row r="197" spans="3:10">
      <c r="C197" s="3"/>
      <c r="D197" s="3"/>
      <c r="I197" s="4"/>
      <c r="J197" s="4"/>
    </row>
    <row r="198" spans="3:10">
      <c r="C198" s="3"/>
      <c r="D198" s="3"/>
      <c r="I198" s="4"/>
      <c r="J198" s="4"/>
    </row>
    <row r="199" spans="3:10">
      <c r="C199" s="3"/>
      <c r="D199" s="3"/>
      <c r="I199" s="4"/>
      <c r="J199" s="4"/>
    </row>
    <row r="200" spans="3:10">
      <c r="C200" s="3"/>
      <c r="D200" s="3"/>
      <c r="I200" s="4"/>
      <c r="J200" s="4"/>
    </row>
    <row r="201" spans="3:10">
      <c r="C201" s="3"/>
      <c r="D201" s="3"/>
      <c r="I201" s="4"/>
      <c r="J201" s="4"/>
    </row>
    <row r="202" spans="3:10">
      <c r="C202" s="3"/>
      <c r="D202" s="3"/>
      <c r="I202" s="4"/>
      <c r="J202" s="4"/>
    </row>
    <row r="203" spans="3:10">
      <c r="C203" s="3"/>
      <c r="D203" s="3"/>
      <c r="I203" s="4"/>
      <c r="J203" s="4"/>
    </row>
    <row r="204" spans="3:10">
      <c r="C204" s="3"/>
      <c r="D204" s="3"/>
      <c r="I204" s="4"/>
      <c r="J204" s="4"/>
    </row>
    <row r="205" spans="3:10">
      <c r="C205" s="3"/>
      <c r="D205" s="3"/>
      <c r="I205" s="4"/>
      <c r="J205" s="4"/>
    </row>
    <row r="206" spans="3:10">
      <c r="C206" s="3"/>
      <c r="D206" s="3"/>
      <c r="I206" s="4"/>
      <c r="J206" s="4"/>
    </row>
    <row r="207" spans="3:10">
      <c r="C207" s="3"/>
      <c r="D207" s="3"/>
      <c r="I207" s="4"/>
      <c r="J207" s="4"/>
    </row>
    <row r="208" spans="3:10">
      <c r="C208" s="3"/>
      <c r="D208" s="3"/>
      <c r="I208" s="4"/>
      <c r="J208" s="4"/>
    </row>
    <row r="209" spans="3:10">
      <c r="C209" s="3"/>
      <c r="D209" s="3"/>
      <c r="I209" s="4"/>
      <c r="J209" s="4"/>
    </row>
    <row r="210" spans="3:10">
      <c r="C210" s="3"/>
      <c r="D210" s="3"/>
      <c r="I210" s="4"/>
      <c r="J210" s="4"/>
    </row>
    <row r="211" spans="3:10">
      <c r="C211" s="3"/>
      <c r="D211" s="3"/>
      <c r="I211" s="4"/>
      <c r="J211" s="4"/>
    </row>
    <row r="212" spans="3:10">
      <c r="C212" s="3"/>
      <c r="D212" s="3"/>
      <c r="I212" s="4"/>
      <c r="J212" s="4"/>
    </row>
    <row r="213" spans="3:10">
      <c r="C213" s="3"/>
      <c r="D213" s="3"/>
      <c r="I213" s="4"/>
      <c r="J213" s="4"/>
    </row>
    <row r="214" spans="3:10">
      <c r="C214" s="3"/>
      <c r="D214" s="3"/>
      <c r="I214" s="4"/>
      <c r="J214" s="4"/>
    </row>
    <row r="215" spans="3:10">
      <c r="C215" s="3"/>
      <c r="D215" s="3"/>
      <c r="I215" s="4"/>
      <c r="J215" s="4"/>
    </row>
    <row r="216" spans="3:10">
      <c r="C216" s="3"/>
      <c r="D216" s="3"/>
      <c r="I216" s="4"/>
      <c r="J216" s="4"/>
    </row>
    <row r="217" spans="3:10">
      <c r="C217" s="3"/>
      <c r="D217" s="3"/>
      <c r="I217" s="4"/>
      <c r="J217" s="4"/>
    </row>
    <row r="218" spans="3:10">
      <c r="C218" s="3"/>
      <c r="D218" s="3"/>
      <c r="I218" s="4"/>
      <c r="J218" s="4"/>
    </row>
    <row r="219" spans="3:10">
      <c r="C219" s="3"/>
      <c r="D219" s="3"/>
      <c r="I219" s="4"/>
      <c r="J219" s="4"/>
    </row>
    <row r="220" spans="3:10">
      <c r="C220" s="3"/>
      <c r="D220" s="3"/>
      <c r="I220" s="4"/>
      <c r="J220" s="4"/>
    </row>
    <row r="221" spans="3:10">
      <c r="C221" s="3"/>
      <c r="D221" s="3"/>
      <c r="I221" s="4"/>
      <c r="J221" s="4"/>
    </row>
    <row r="222" spans="3:10">
      <c r="C222" s="3"/>
      <c r="D222" s="3"/>
      <c r="I222" s="4"/>
      <c r="J222" s="4"/>
    </row>
    <row r="223" spans="3:10">
      <c r="C223" s="3"/>
      <c r="D223" s="3"/>
      <c r="I223" s="4"/>
      <c r="J223" s="4"/>
    </row>
    <row r="224" spans="3:10">
      <c r="C224" s="3"/>
      <c r="D224" s="3"/>
      <c r="I224" s="4"/>
      <c r="J224" s="4"/>
    </row>
    <row r="225" spans="3:10">
      <c r="C225" s="3"/>
      <c r="D225" s="3"/>
      <c r="I225" s="4"/>
      <c r="J225" s="4"/>
    </row>
    <row r="226" spans="3:10">
      <c r="C226" s="3"/>
      <c r="D226" s="3"/>
      <c r="I226" s="4"/>
      <c r="J226" s="4"/>
    </row>
    <row r="227" spans="3:10">
      <c r="C227" s="3"/>
      <c r="D227" s="3"/>
      <c r="I227" s="4"/>
      <c r="J227" s="4"/>
    </row>
    <row r="228" spans="3:10">
      <c r="C228" s="3"/>
      <c r="D228" s="3"/>
      <c r="I228" s="4"/>
      <c r="J228" s="4"/>
    </row>
    <row r="229" spans="3:10">
      <c r="C229" s="3"/>
      <c r="D229" s="3"/>
      <c r="I229" s="4"/>
      <c r="J229" s="4"/>
    </row>
    <row r="230" spans="3:10">
      <c r="C230" s="3"/>
      <c r="D230" s="3"/>
      <c r="I230" s="4"/>
      <c r="J230" s="4"/>
    </row>
    <row r="231" spans="3:10">
      <c r="C231" s="3"/>
      <c r="D231" s="3"/>
      <c r="I231" s="4"/>
      <c r="J231" s="4"/>
    </row>
    <row r="232" spans="3:10">
      <c r="C232" s="3"/>
      <c r="D232" s="3"/>
      <c r="I232" s="4"/>
      <c r="J232" s="4"/>
    </row>
    <row r="233" spans="3:10">
      <c r="C233" s="3"/>
      <c r="D233" s="3"/>
      <c r="I233" s="4"/>
      <c r="J233" s="4"/>
    </row>
    <row r="234" spans="3:10">
      <c r="C234" s="3"/>
      <c r="D234" s="3"/>
      <c r="I234" s="4"/>
      <c r="J234" s="4"/>
    </row>
    <row r="235" spans="3:10">
      <c r="C235" s="3"/>
      <c r="D235" s="3"/>
      <c r="I235" s="4"/>
      <c r="J235" s="4"/>
    </row>
    <row r="236" spans="3:10">
      <c r="C236" s="3"/>
      <c r="D236" s="3"/>
      <c r="I236" s="4"/>
      <c r="J236" s="4"/>
    </row>
    <row r="237" spans="3:10">
      <c r="C237" s="3"/>
      <c r="D237" s="3"/>
      <c r="I237" s="4"/>
      <c r="J237" s="4"/>
    </row>
    <row r="238" spans="3:10">
      <c r="C238" s="3"/>
      <c r="D238" s="3"/>
      <c r="I238" s="4"/>
      <c r="J238" s="4"/>
    </row>
    <row r="239" spans="3:10">
      <c r="C239" s="3"/>
      <c r="D239" s="3"/>
      <c r="I239" s="4"/>
      <c r="J239" s="4"/>
    </row>
    <row r="240" spans="3:10">
      <c r="C240" s="3"/>
      <c r="D240" s="3"/>
      <c r="I240" s="4"/>
      <c r="J240" s="4"/>
    </row>
    <row r="241" spans="3:10">
      <c r="C241" s="3"/>
      <c r="D241" s="3"/>
      <c r="I241" s="4"/>
      <c r="J241" s="4"/>
    </row>
    <row r="242" spans="3:10">
      <c r="C242" s="3"/>
      <c r="D242" s="3"/>
      <c r="I242" s="4"/>
      <c r="J242" s="4"/>
    </row>
    <row r="243" spans="3:10">
      <c r="C243" s="3"/>
      <c r="D243" s="3"/>
      <c r="I243" s="4"/>
      <c r="J243" s="4"/>
    </row>
    <row r="244" spans="3:10">
      <c r="C244" s="3"/>
      <c r="D244" s="3"/>
      <c r="I244" s="4"/>
      <c r="J244" s="4"/>
    </row>
    <row r="245" spans="3:10">
      <c r="C245" s="3"/>
      <c r="D245" s="3"/>
      <c r="I245" s="4"/>
      <c r="J245" s="4"/>
    </row>
    <row r="246" spans="3:10">
      <c r="C246" s="3"/>
      <c r="D246" s="3"/>
      <c r="I246" s="4"/>
      <c r="J246" s="4"/>
    </row>
    <row r="247" spans="3:10">
      <c r="C247" s="3"/>
      <c r="D247" s="3"/>
      <c r="I247" s="4"/>
      <c r="J247" s="4"/>
    </row>
    <row r="248" spans="3:10">
      <c r="C248" s="3"/>
      <c r="D248" s="3"/>
      <c r="I248" s="4"/>
      <c r="J248" s="4"/>
    </row>
    <row r="249" spans="3:10">
      <c r="C249" s="3"/>
      <c r="D249" s="3"/>
      <c r="I249" s="4"/>
      <c r="J249" s="4"/>
    </row>
    <row r="250" spans="3:10">
      <c r="C250" s="3"/>
      <c r="D250" s="3"/>
      <c r="I250" s="4"/>
      <c r="J250" s="4"/>
    </row>
    <row r="251" spans="3:10">
      <c r="C251" s="3"/>
      <c r="D251" s="3"/>
      <c r="I251" s="4"/>
      <c r="J251" s="4"/>
    </row>
    <row r="252" spans="3:10">
      <c r="C252" s="3"/>
      <c r="D252" s="3"/>
      <c r="I252" s="4"/>
      <c r="J252" s="4"/>
    </row>
    <row r="253" spans="3:10">
      <c r="C253" s="3"/>
      <c r="D253" s="3"/>
      <c r="I253" s="4"/>
      <c r="J253" s="4"/>
    </row>
    <row r="254" spans="3:10">
      <c r="C254" s="3"/>
      <c r="D254" s="3"/>
      <c r="I254" s="4"/>
      <c r="J254" s="4"/>
    </row>
    <row r="255" spans="3:10">
      <c r="C255" s="3"/>
      <c r="D255" s="3"/>
      <c r="I255" s="4"/>
      <c r="J255" s="4"/>
    </row>
    <row r="256" spans="3:10">
      <c r="C256" s="3"/>
      <c r="D256" s="3"/>
      <c r="I256" s="4"/>
      <c r="J256" s="4"/>
    </row>
    <row r="257" spans="3:10">
      <c r="C257" s="3"/>
      <c r="D257" s="3"/>
      <c r="I257" s="4"/>
      <c r="J257" s="4"/>
    </row>
    <row r="258" spans="3:10">
      <c r="C258" s="3"/>
      <c r="D258" s="3"/>
      <c r="I258" s="4"/>
      <c r="J258" s="4"/>
    </row>
    <row r="259" spans="3:10">
      <c r="C259" s="3"/>
      <c r="D259" s="3"/>
      <c r="I259" s="4"/>
      <c r="J259" s="4"/>
    </row>
    <row r="260" spans="3:10">
      <c r="C260" s="3"/>
      <c r="D260" s="3"/>
      <c r="I260" s="4"/>
      <c r="J260" s="4"/>
    </row>
    <row r="261" spans="3:10">
      <c r="C261" s="3"/>
      <c r="D261" s="3"/>
      <c r="I261" s="4"/>
      <c r="J261" s="4"/>
    </row>
    <row r="262" spans="3:10">
      <c r="C262" s="3"/>
      <c r="D262" s="3"/>
      <c r="I262" s="4"/>
      <c r="J262" s="4"/>
    </row>
    <row r="263" spans="3:10">
      <c r="C263" s="3"/>
      <c r="D263" s="3"/>
      <c r="I263" s="4"/>
      <c r="J263" s="4"/>
    </row>
    <row r="264" spans="3:10">
      <c r="C264" s="3"/>
      <c r="D264" s="3"/>
      <c r="I264" s="4"/>
      <c r="J264" s="4"/>
    </row>
    <row r="265" spans="3:10">
      <c r="C265" s="3"/>
      <c r="D265" s="3"/>
      <c r="I265" s="4"/>
      <c r="J265" s="4"/>
    </row>
    <row r="266" spans="3:10">
      <c r="C266" s="3"/>
      <c r="D266" s="3"/>
      <c r="I266" s="4"/>
      <c r="J266" s="4"/>
    </row>
    <row r="267" spans="3:10">
      <c r="C267" s="3"/>
      <c r="D267" s="3"/>
      <c r="I267" s="4"/>
      <c r="J267" s="4"/>
    </row>
    <row r="268" spans="3:10">
      <c r="C268" s="3"/>
      <c r="D268" s="3"/>
      <c r="I268" s="4"/>
      <c r="J268" s="4"/>
    </row>
    <row r="269" spans="3:10">
      <c r="C269" s="3"/>
      <c r="D269" s="3"/>
      <c r="I269" s="4"/>
      <c r="J269" s="4"/>
    </row>
    <row r="270" spans="3:10">
      <c r="C270" s="3"/>
      <c r="D270" s="3"/>
      <c r="I270" s="4"/>
      <c r="J270" s="4"/>
    </row>
    <row r="271" spans="3:10">
      <c r="C271" s="3"/>
      <c r="D271" s="3"/>
      <c r="I271" s="4"/>
      <c r="J271" s="4"/>
    </row>
    <row r="272" spans="3:10">
      <c r="C272" s="3"/>
      <c r="D272" s="3"/>
      <c r="I272" s="4"/>
      <c r="J272" s="4"/>
    </row>
    <row r="273" spans="3:10">
      <c r="C273" s="3"/>
      <c r="D273" s="3"/>
      <c r="I273" s="4"/>
      <c r="J273" s="4"/>
    </row>
    <row r="274" spans="3:10">
      <c r="C274" s="3"/>
      <c r="D274" s="3"/>
      <c r="I274" s="4"/>
      <c r="J274" s="4"/>
    </row>
    <row r="275" spans="3:10">
      <c r="C275" s="3"/>
      <c r="D275" s="3"/>
      <c r="I275" s="4"/>
      <c r="J275" s="4"/>
    </row>
    <row r="276" spans="3:10">
      <c r="C276" s="3"/>
      <c r="D276" s="3"/>
      <c r="I276" s="4"/>
      <c r="J276" s="4"/>
    </row>
    <row r="277" spans="3:10">
      <c r="C277" s="3"/>
      <c r="D277" s="3"/>
      <c r="I277" s="4"/>
      <c r="J277" s="4"/>
    </row>
    <row r="278" spans="3:10">
      <c r="C278" s="3"/>
      <c r="D278" s="3"/>
      <c r="I278" s="4"/>
      <c r="J278" s="4"/>
    </row>
    <row r="279" spans="3:10">
      <c r="C279" s="3"/>
      <c r="D279" s="3"/>
      <c r="I279" s="4"/>
      <c r="J279" s="4"/>
    </row>
    <row r="280" spans="3:10">
      <c r="C280" s="3"/>
      <c r="D280" s="3"/>
      <c r="I280" s="4"/>
      <c r="J280" s="4"/>
    </row>
    <row r="281" spans="3:10">
      <c r="C281" s="3"/>
      <c r="D281" s="3"/>
      <c r="I281" s="4"/>
      <c r="J281" s="4"/>
    </row>
    <row r="282" spans="3:10">
      <c r="C282" s="3"/>
      <c r="D282" s="3"/>
      <c r="I282" s="4"/>
      <c r="J282" s="4"/>
    </row>
    <row r="283" spans="3:10">
      <c r="C283" s="3"/>
      <c r="D283" s="3"/>
      <c r="I283" s="4"/>
      <c r="J283" s="4"/>
    </row>
    <row r="284" spans="3:10">
      <c r="C284" s="3"/>
      <c r="D284" s="3"/>
      <c r="I284" s="4"/>
      <c r="J284" s="4"/>
    </row>
    <row r="285" spans="3:10">
      <c r="C285" s="3"/>
      <c r="D285" s="3"/>
      <c r="I285" s="4"/>
      <c r="J285" s="4"/>
    </row>
    <row r="286" spans="3:10">
      <c r="C286" s="3"/>
      <c r="D286" s="3"/>
      <c r="I286" s="4"/>
      <c r="J286" s="4"/>
    </row>
    <row r="287" spans="3:10">
      <c r="C287" s="3"/>
      <c r="D287" s="3"/>
      <c r="I287" s="4"/>
      <c r="J287" s="4"/>
    </row>
    <row r="288" spans="3:10">
      <c r="C288" s="3"/>
      <c r="D288" s="3"/>
      <c r="I288" s="4"/>
      <c r="J288" s="4"/>
    </row>
    <row r="289" spans="3:10">
      <c r="C289" s="3"/>
      <c r="D289" s="3"/>
      <c r="I289" s="4"/>
      <c r="J289" s="4"/>
    </row>
    <row r="290" spans="3:10">
      <c r="C290" s="3"/>
      <c r="D290" s="3"/>
      <c r="I290" s="4"/>
      <c r="J290" s="4"/>
    </row>
    <row r="291" spans="3:10">
      <c r="C291" s="3"/>
      <c r="D291" s="3"/>
      <c r="I291" s="4"/>
      <c r="J291" s="4"/>
    </row>
    <row r="292" spans="3:10">
      <c r="C292" s="3"/>
      <c r="D292" s="3"/>
      <c r="I292" s="4"/>
      <c r="J292" s="4"/>
    </row>
    <row r="293" spans="3:10">
      <c r="C293" s="3"/>
      <c r="D293" s="3"/>
      <c r="I293" s="4"/>
      <c r="J293" s="4"/>
    </row>
    <row r="294" spans="3:10">
      <c r="C294" s="3"/>
      <c r="D294" s="3"/>
      <c r="I294" s="4"/>
      <c r="J294" s="4"/>
    </row>
    <row r="295" spans="3:10">
      <c r="C295" s="3"/>
      <c r="D295" s="3"/>
      <c r="I295" s="4"/>
      <c r="J295" s="4"/>
    </row>
    <row r="296" spans="3:10">
      <c r="C296" s="3"/>
      <c r="D296" s="3"/>
      <c r="I296" s="4"/>
      <c r="J296" s="4"/>
    </row>
    <row r="297" spans="3:10">
      <c r="C297" s="3"/>
      <c r="D297" s="3"/>
      <c r="I297" s="4"/>
      <c r="J297" s="4"/>
    </row>
    <row r="298" spans="3:10">
      <c r="C298" s="3"/>
      <c r="D298" s="3"/>
      <c r="I298" s="4"/>
      <c r="J298" s="4"/>
    </row>
    <row r="299" spans="3:10">
      <c r="C299" s="3"/>
      <c r="D299" s="3"/>
      <c r="I299" s="4"/>
      <c r="J299" s="4"/>
    </row>
    <row r="300" spans="3:10">
      <c r="C300" s="3"/>
      <c r="D300" s="3"/>
      <c r="I300" s="4"/>
      <c r="J300" s="4"/>
    </row>
    <row r="301" spans="3:10">
      <c r="C301" s="3"/>
      <c r="D301" s="3"/>
      <c r="I301" s="4"/>
      <c r="J301" s="4"/>
    </row>
    <row r="302" spans="3:10">
      <c r="C302" s="3"/>
      <c r="D302" s="3"/>
      <c r="I302" s="4"/>
      <c r="J302" s="4"/>
    </row>
    <row r="303" spans="3:10">
      <c r="C303" s="3"/>
      <c r="D303" s="3"/>
      <c r="I303" s="4"/>
      <c r="J303" s="4"/>
    </row>
    <row r="304" spans="3:10">
      <c r="C304" s="3"/>
      <c r="D304" s="3"/>
      <c r="I304" s="4"/>
      <c r="J304" s="4"/>
    </row>
    <row r="305" spans="3:10">
      <c r="C305" s="3"/>
      <c r="D305" s="3"/>
      <c r="I305" s="4"/>
      <c r="J305" s="4"/>
    </row>
    <row r="306" spans="3:10">
      <c r="C306" s="3"/>
      <c r="D306" s="3"/>
      <c r="I306" s="4"/>
      <c r="J306" s="4"/>
    </row>
    <row r="307" spans="3:10">
      <c r="C307" s="3"/>
      <c r="D307" s="3"/>
      <c r="I307" s="4"/>
      <c r="J307" s="4"/>
    </row>
    <row r="308" spans="3:10">
      <c r="C308" s="3"/>
      <c r="D308" s="3"/>
      <c r="I308" s="4"/>
      <c r="J308" s="4"/>
    </row>
    <row r="309" spans="3:10">
      <c r="C309" s="3"/>
      <c r="D309" s="3"/>
      <c r="I309" s="4"/>
      <c r="J309" s="4"/>
    </row>
    <row r="310" spans="3:10">
      <c r="C310" s="3"/>
      <c r="D310" s="3"/>
      <c r="I310" s="4"/>
      <c r="J310" s="4"/>
    </row>
    <row r="311" spans="3:10">
      <c r="C311" s="3"/>
      <c r="D311" s="3"/>
      <c r="I311" s="4"/>
      <c r="J311" s="4"/>
    </row>
    <row r="312" spans="3:10">
      <c r="C312" s="3"/>
      <c r="D312" s="3"/>
      <c r="I312" s="4"/>
      <c r="J312" s="4"/>
    </row>
    <row r="313" spans="3:10">
      <c r="C313" s="3"/>
      <c r="D313" s="3"/>
      <c r="I313" s="4"/>
      <c r="J313" s="4"/>
    </row>
    <row r="314" spans="3:10">
      <c r="C314" s="3"/>
      <c r="D314" s="3"/>
      <c r="I314" s="4"/>
      <c r="J314" s="4"/>
    </row>
    <row r="315" spans="3:10">
      <c r="C315" s="3"/>
      <c r="D315" s="3"/>
      <c r="I315" s="4"/>
      <c r="J315" s="4"/>
    </row>
    <row r="316" spans="3:10">
      <c r="C316" s="3"/>
      <c r="D316" s="3"/>
      <c r="I316" s="4"/>
      <c r="J316" s="4"/>
    </row>
    <row r="317" spans="3:10">
      <c r="C317" s="3"/>
      <c r="D317" s="3"/>
      <c r="I317" s="4"/>
      <c r="J317" s="4"/>
    </row>
    <row r="318" spans="3:10">
      <c r="C318" s="3"/>
      <c r="D318" s="3"/>
      <c r="I318" s="4"/>
      <c r="J318" s="4"/>
    </row>
    <row r="319" spans="3:10">
      <c r="C319" s="3"/>
      <c r="D319" s="3"/>
      <c r="I319" s="4"/>
      <c r="J319" s="4"/>
    </row>
    <row r="320" spans="3:10">
      <c r="C320" s="3"/>
      <c r="D320" s="3"/>
      <c r="I320" s="4"/>
      <c r="J320" s="4"/>
    </row>
    <row r="321" spans="3:10">
      <c r="C321" s="3"/>
      <c r="D321" s="3"/>
      <c r="I321" s="4"/>
      <c r="J321" s="4"/>
    </row>
    <row r="322" spans="3:10">
      <c r="C322" s="3"/>
      <c r="D322" s="3"/>
      <c r="I322" s="4"/>
      <c r="J322" s="4"/>
    </row>
    <row r="323" spans="3:10">
      <c r="C323" s="3"/>
      <c r="D323" s="3"/>
      <c r="I323" s="4"/>
      <c r="J323" s="4"/>
    </row>
    <row r="324" spans="3:10">
      <c r="C324" s="3"/>
      <c r="D324" s="3"/>
      <c r="I324" s="4"/>
      <c r="J324" s="4"/>
    </row>
    <row r="325" spans="3:10">
      <c r="C325" s="3"/>
      <c r="D325" s="3"/>
      <c r="I325" s="4"/>
      <c r="J325" s="4"/>
    </row>
    <row r="326" spans="3:10">
      <c r="C326" s="3"/>
      <c r="D326" s="3"/>
      <c r="I326" s="4"/>
      <c r="J326" s="4"/>
    </row>
    <row r="327" spans="3:10">
      <c r="C327" s="3"/>
      <c r="D327" s="3"/>
      <c r="I327" s="4"/>
      <c r="J327" s="4"/>
    </row>
    <row r="328" spans="3:10">
      <c r="C328" s="3"/>
      <c r="D328" s="3"/>
      <c r="I328" s="4"/>
      <c r="J328" s="4"/>
    </row>
    <row r="329" spans="3:10">
      <c r="C329" s="3"/>
      <c r="D329" s="3"/>
      <c r="I329" s="4"/>
      <c r="J329" s="4"/>
    </row>
    <row r="330" spans="3:10">
      <c r="C330" s="3"/>
      <c r="D330" s="3"/>
      <c r="I330" s="4"/>
      <c r="J330" s="4"/>
    </row>
    <row r="331" spans="3:10">
      <c r="C331" s="3"/>
      <c r="D331" s="3"/>
      <c r="I331" s="4"/>
      <c r="J331" s="4"/>
    </row>
    <row r="332" spans="3:10">
      <c r="C332" s="3"/>
      <c r="D332" s="3"/>
      <c r="I332" s="4"/>
      <c r="J332" s="4"/>
    </row>
    <row r="333" spans="3:10">
      <c r="C333" s="3"/>
      <c r="D333" s="3"/>
      <c r="I333" s="4"/>
      <c r="J333" s="4"/>
    </row>
    <row r="334" spans="3:10">
      <c r="C334" s="3"/>
      <c r="D334" s="3"/>
      <c r="I334" s="4"/>
      <c r="J334" s="4"/>
    </row>
    <row r="335" spans="3:10">
      <c r="C335" s="3"/>
      <c r="D335" s="3"/>
      <c r="I335" s="4"/>
      <c r="J335" s="4"/>
    </row>
    <row r="336" spans="3:10">
      <c r="C336" s="3"/>
      <c r="D336" s="3"/>
      <c r="I336" s="4"/>
      <c r="J336" s="4"/>
    </row>
    <row r="337" spans="3:10">
      <c r="C337" s="3"/>
      <c r="D337" s="3"/>
      <c r="I337" s="4"/>
      <c r="J337" s="4"/>
    </row>
    <row r="338" spans="3:10">
      <c r="C338" s="3"/>
      <c r="D338" s="3"/>
      <c r="I338" s="4"/>
      <c r="J338" s="4"/>
    </row>
    <row r="339" spans="3:10">
      <c r="C339" s="3"/>
      <c r="D339" s="3"/>
      <c r="I339" s="4"/>
      <c r="J339" s="4"/>
    </row>
    <row r="340" spans="3:10">
      <c r="C340" s="3"/>
      <c r="D340" s="3"/>
      <c r="I340" s="4"/>
      <c r="J340" s="4"/>
    </row>
    <row r="341" spans="3:10">
      <c r="C341" s="3"/>
      <c r="D341" s="3"/>
      <c r="I341" s="4"/>
      <c r="J341" s="4"/>
    </row>
    <row r="342" spans="3:10">
      <c r="C342" s="3"/>
      <c r="D342" s="3"/>
      <c r="I342" s="4"/>
      <c r="J342" s="4"/>
    </row>
    <row r="343" spans="3:10">
      <c r="C343" s="3"/>
      <c r="D343" s="3"/>
      <c r="I343" s="4"/>
      <c r="J343" s="4"/>
    </row>
    <row r="344" spans="3:10">
      <c r="C344" s="3"/>
      <c r="D344" s="3"/>
      <c r="I344" s="4"/>
      <c r="J344" s="4"/>
    </row>
    <row r="345" spans="3:10">
      <c r="C345" s="3"/>
      <c r="D345" s="3"/>
      <c r="I345" s="4"/>
      <c r="J345" s="4"/>
    </row>
    <row r="346" spans="3:10">
      <c r="C346" s="3"/>
      <c r="D346" s="3"/>
      <c r="I346" s="4"/>
      <c r="J346" s="4"/>
    </row>
    <row r="347" spans="3:10">
      <c r="C347" s="3"/>
      <c r="D347" s="3"/>
      <c r="I347" s="4"/>
      <c r="J347" s="4"/>
    </row>
    <row r="348" spans="3:10">
      <c r="C348" s="3"/>
      <c r="D348" s="3"/>
      <c r="I348" s="4"/>
      <c r="J348" s="4"/>
    </row>
    <row r="349" spans="3:10">
      <c r="C349" s="3"/>
      <c r="D349" s="3"/>
      <c r="I349" s="4"/>
      <c r="J349" s="4"/>
    </row>
    <row r="350" spans="3:10">
      <c r="C350" s="3"/>
      <c r="D350" s="3"/>
      <c r="I350" s="4"/>
      <c r="J350" s="4"/>
    </row>
    <row r="351" spans="3:10">
      <c r="C351" s="3"/>
      <c r="D351" s="3"/>
      <c r="I351" s="4"/>
      <c r="J351" s="4"/>
    </row>
    <row r="352" spans="3:10">
      <c r="C352" s="3"/>
      <c r="D352" s="3"/>
      <c r="I352" s="4"/>
      <c r="J352" s="4"/>
    </row>
    <row r="353" spans="3:10">
      <c r="C353" s="3"/>
      <c r="D353" s="3"/>
      <c r="I353" s="4"/>
      <c r="J353" s="4"/>
    </row>
    <row r="354" spans="3:10">
      <c r="C354" s="3"/>
      <c r="D354" s="3"/>
      <c r="I354" s="4"/>
      <c r="J354" s="4"/>
    </row>
    <row r="355" spans="3:10">
      <c r="C355" s="3"/>
      <c r="D355" s="3"/>
      <c r="I355" s="4"/>
      <c r="J355" s="4"/>
    </row>
    <row r="356" spans="3:10">
      <c r="C356" s="3"/>
      <c r="D356" s="3"/>
      <c r="I356" s="4"/>
      <c r="J356" s="4"/>
    </row>
    <row r="357" spans="3:10">
      <c r="C357" s="3"/>
      <c r="D357" s="3"/>
      <c r="I357" s="4"/>
      <c r="J357" s="4"/>
    </row>
    <row r="358" spans="3:10">
      <c r="C358" s="3"/>
      <c r="D358" s="3"/>
      <c r="I358" s="4"/>
      <c r="J358" s="4"/>
    </row>
    <row r="359" spans="3:10">
      <c r="C359" s="3"/>
      <c r="D359" s="3"/>
      <c r="I359" s="4"/>
      <c r="J359" s="4"/>
    </row>
    <row r="360" spans="3:10">
      <c r="C360" s="3"/>
      <c r="D360" s="3"/>
      <c r="I360" s="4"/>
      <c r="J360" s="4"/>
    </row>
    <row r="361" spans="3:10">
      <c r="C361" s="3"/>
      <c r="D361" s="3"/>
      <c r="I361" s="4"/>
      <c r="J361" s="4"/>
    </row>
    <row r="362" spans="3:10">
      <c r="C362" s="3"/>
      <c r="D362" s="3"/>
      <c r="I362" s="4"/>
      <c r="J362" s="4"/>
    </row>
    <row r="363" spans="3:10">
      <c r="C363" s="3"/>
      <c r="D363" s="3"/>
      <c r="I363" s="4"/>
      <c r="J363" s="4"/>
    </row>
    <row r="364" spans="3:10">
      <c r="C364" s="3"/>
      <c r="D364" s="3"/>
      <c r="I364" s="4"/>
      <c r="J364" s="4"/>
    </row>
    <row r="365" spans="3:10">
      <c r="C365" s="3"/>
      <c r="D365" s="3"/>
      <c r="I365" s="4"/>
      <c r="J365" s="4"/>
    </row>
    <row r="366" spans="3:10">
      <c r="C366" s="3"/>
      <c r="D366" s="3"/>
      <c r="I366" s="4"/>
      <c r="J366" s="4"/>
    </row>
    <row r="367" spans="3:10">
      <c r="C367" s="3"/>
      <c r="D367" s="3"/>
      <c r="I367" s="4"/>
      <c r="J367" s="4"/>
    </row>
    <row r="368" spans="3:10">
      <c r="C368" s="3"/>
      <c r="D368" s="3"/>
      <c r="I368" s="4"/>
      <c r="J368" s="4"/>
    </row>
    <row r="369" spans="3:10">
      <c r="C369" s="3"/>
      <c r="D369" s="3"/>
      <c r="I369" s="4"/>
      <c r="J369" s="4"/>
    </row>
    <row r="370" spans="3:10">
      <c r="C370" s="3"/>
      <c r="D370" s="3"/>
      <c r="I370" s="4"/>
      <c r="J370" s="4"/>
    </row>
    <row r="371" spans="3:10">
      <c r="C371" s="3"/>
      <c r="D371" s="3"/>
      <c r="I371" s="4"/>
      <c r="J371" s="4"/>
    </row>
    <row r="372" spans="3:10">
      <c r="C372" s="3"/>
      <c r="D372" s="3"/>
      <c r="I372" s="4"/>
      <c r="J372" s="4"/>
    </row>
    <row r="373" spans="3:10">
      <c r="C373" s="3"/>
      <c r="D373" s="3"/>
      <c r="I373" s="4"/>
      <c r="J373" s="4"/>
    </row>
    <row r="374" spans="3:10">
      <c r="C374" s="3"/>
      <c r="D374" s="3"/>
      <c r="I374" s="4"/>
      <c r="J374" s="4"/>
    </row>
    <row r="375" spans="3:10">
      <c r="C375" s="3"/>
      <c r="D375" s="3"/>
      <c r="I375" s="4"/>
      <c r="J375" s="4"/>
    </row>
    <row r="376" spans="3:10">
      <c r="C376" s="3"/>
      <c r="D376" s="3"/>
      <c r="I376" s="4"/>
      <c r="J376" s="4"/>
    </row>
    <row r="377" spans="3:10">
      <c r="C377" s="3"/>
      <c r="D377" s="3"/>
      <c r="I377" s="4"/>
      <c r="J377" s="4"/>
    </row>
    <row r="378" spans="3:10">
      <c r="C378" s="3"/>
      <c r="D378" s="3"/>
      <c r="I378" s="4"/>
      <c r="J378" s="4"/>
    </row>
    <row r="379" spans="3:10">
      <c r="C379" s="3"/>
      <c r="D379" s="3"/>
      <c r="I379" s="4"/>
      <c r="J379" s="4"/>
    </row>
    <row r="380" spans="3:10">
      <c r="C380" s="3"/>
      <c r="D380" s="3"/>
      <c r="I380" s="4"/>
      <c r="J380" s="4"/>
    </row>
    <row r="381" spans="3:10">
      <c r="C381" s="3"/>
      <c r="D381" s="3"/>
      <c r="I381" s="4"/>
      <c r="J381" s="4"/>
    </row>
    <row r="382" spans="3:10">
      <c r="C382" s="3"/>
      <c r="D382" s="3"/>
      <c r="I382" s="4"/>
      <c r="J382" s="4"/>
    </row>
    <row r="383" spans="3:10">
      <c r="C383" s="3"/>
      <c r="D383" s="3"/>
      <c r="I383" s="4"/>
      <c r="J383" s="4"/>
    </row>
    <row r="384" spans="3:10">
      <c r="C384" s="3"/>
      <c r="D384" s="3"/>
      <c r="I384" s="4"/>
      <c r="J384" s="4"/>
    </row>
    <row r="385" spans="3:10">
      <c r="C385" s="3"/>
      <c r="D385" s="3"/>
      <c r="I385" s="4"/>
      <c r="J385" s="4"/>
    </row>
    <row r="386" spans="3:10">
      <c r="C386" s="3"/>
      <c r="D386" s="3"/>
      <c r="I386" s="4"/>
      <c r="J386" s="4"/>
    </row>
    <row r="387" spans="3:10">
      <c r="C387" s="3"/>
      <c r="D387" s="3"/>
      <c r="I387" s="4"/>
      <c r="J387" s="4"/>
    </row>
    <row r="388" spans="3:10">
      <c r="C388" s="3"/>
      <c r="D388" s="3"/>
      <c r="I388" s="4"/>
      <c r="J388" s="4"/>
    </row>
    <row r="389" spans="3:10">
      <c r="C389" s="3"/>
      <c r="D389" s="3"/>
      <c r="I389" s="4"/>
      <c r="J389" s="4"/>
    </row>
    <row r="390" spans="3:10">
      <c r="C390" s="3"/>
      <c r="D390" s="3"/>
      <c r="I390" s="4"/>
      <c r="J390" s="4"/>
    </row>
    <row r="391" spans="3:10">
      <c r="C391" s="3"/>
      <c r="D391" s="3"/>
      <c r="I391" s="4"/>
      <c r="J391" s="4"/>
    </row>
    <row r="392" spans="3:10">
      <c r="C392" s="3"/>
      <c r="D392" s="3"/>
      <c r="I392" s="4"/>
      <c r="J392" s="4"/>
    </row>
    <row r="393" spans="3:10">
      <c r="C393" s="3"/>
      <c r="D393" s="3"/>
      <c r="I393" s="4"/>
      <c r="J393" s="4"/>
    </row>
    <row r="394" spans="3:10">
      <c r="C394" s="3"/>
      <c r="D394" s="3"/>
      <c r="I394" s="4"/>
      <c r="J394" s="4"/>
    </row>
    <row r="395" spans="3:10">
      <c r="C395" s="3"/>
      <c r="D395" s="3"/>
      <c r="I395" s="4"/>
      <c r="J395" s="4"/>
    </row>
    <row r="396" spans="3:10">
      <c r="C396" s="3"/>
      <c r="D396" s="3"/>
      <c r="I396" s="4"/>
      <c r="J396" s="4"/>
    </row>
    <row r="397" spans="3:10">
      <c r="C397" s="3"/>
      <c r="D397" s="3"/>
      <c r="I397" s="4"/>
      <c r="J397" s="4"/>
    </row>
    <row r="398" spans="3:10">
      <c r="C398" s="3"/>
      <c r="D398" s="3"/>
      <c r="I398" s="4"/>
      <c r="J398" s="4"/>
    </row>
    <row r="399" spans="3:10">
      <c r="C399" s="3"/>
      <c r="D399" s="3"/>
      <c r="I399" s="4"/>
      <c r="J399" s="4"/>
    </row>
    <row r="400" spans="3:10">
      <c r="C400" s="3"/>
      <c r="D400" s="3"/>
      <c r="I400" s="4"/>
      <c r="J400" s="4"/>
    </row>
    <row r="401" spans="3:10">
      <c r="C401" s="3"/>
      <c r="D401" s="3"/>
      <c r="I401" s="4"/>
      <c r="J401" s="4"/>
    </row>
    <row r="402" spans="3:10">
      <c r="C402" s="3"/>
      <c r="D402" s="3"/>
      <c r="I402" s="4"/>
      <c r="J402" s="4"/>
    </row>
    <row r="403" spans="3:10">
      <c r="C403" s="3"/>
      <c r="D403" s="3"/>
      <c r="I403" s="4"/>
      <c r="J403" s="4"/>
    </row>
    <row r="404" spans="3:10">
      <c r="C404" s="3"/>
      <c r="D404" s="3"/>
      <c r="I404" s="4"/>
      <c r="J404" s="4"/>
    </row>
    <row r="405" spans="3:10">
      <c r="C405" s="3"/>
      <c r="D405" s="3"/>
      <c r="I405" s="4"/>
      <c r="J405" s="4"/>
    </row>
    <row r="406" spans="3:10">
      <c r="C406" s="3"/>
      <c r="D406" s="3"/>
      <c r="I406" s="4"/>
      <c r="J406" s="4"/>
    </row>
    <row r="407" spans="3:10">
      <c r="C407" s="3"/>
      <c r="D407" s="3"/>
      <c r="I407" s="4"/>
      <c r="J407" s="4"/>
    </row>
    <row r="408" spans="3:10">
      <c r="C408" s="3"/>
      <c r="D408" s="3"/>
      <c r="I408" s="4"/>
      <c r="J408" s="4"/>
    </row>
    <row r="409" spans="3:10">
      <c r="C409" s="3"/>
      <c r="D409" s="3"/>
      <c r="I409" s="4"/>
      <c r="J409" s="4"/>
    </row>
    <row r="410" spans="3:10">
      <c r="C410" s="3"/>
      <c r="D410" s="3"/>
      <c r="I410" s="4"/>
      <c r="J410" s="4"/>
    </row>
    <row r="411" spans="3:10">
      <c r="C411" s="3"/>
      <c r="D411" s="3"/>
      <c r="I411" s="4"/>
      <c r="J411" s="4"/>
    </row>
    <row r="412" spans="3:10">
      <c r="C412" s="3"/>
      <c r="D412" s="3"/>
      <c r="I412" s="4"/>
      <c r="J412" s="4"/>
    </row>
    <row r="413" spans="3:10">
      <c r="C413" s="3"/>
      <c r="D413" s="3"/>
      <c r="I413" s="4"/>
      <c r="J413" s="4"/>
    </row>
    <row r="414" spans="3:10">
      <c r="C414" s="3"/>
      <c r="D414" s="3"/>
      <c r="I414" s="4"/>
      <c r="J414" s="4"/>
    </row>
    <row r="415" spans="3:10">
      <c r="C415" s="3"/>
      <c r="D415" s="3"/>
      <c r="I415" s="4"/>
      <c r="J415" s="4"/>
    </row>
    <row r="416" spans="3:10">
      <c r="C416" s="3"/>
      <c r="D416" s="3"/>
      <c r="I416" s="4"/>
      <c r="J416" s="4"/>
    </row>
    <row r="417" spans="3:10">
      <c r="C417" s="3"/>
      <c r="D417" s="3"/>
      <c r="I417" s="4"/>
      <c r="J417" s="4"/>
    </row>
    <row r="418" spans="3:10">
      <c r="C418" s="3"/>
      <c r="D418" s="3"/>
      <c r="I418" s="4"/>
      <c r="J418" s="4"/>
    </row>
    <row r="419" spans="3:10">
      <c r="C419" s="3"/>
      <c r="D419" s="3"/>
      <c r="I419" s="4"/>
      <c r="J419" s="4"/>
    </row>
    <row r="420" spans="3:10">
      <c r="C420" s="3"/>
      <c r="D420" s="3"/>
      <c r="I420" s="4"/>
      <c r="J420" s="4"/>
    </row>
    <row r="421" spans="3:10">
      <c r="C421" s="3"/>
      <c r="D421" s="3"/>
      <c r="I421" s="4"/>
      <c r="J421" s="4"/>
    </row>
    <row r="422" spans="3:10">
      <c r="C422" s="3"/>
      <c r="D422" s="3"/>
      <c r="I422" s="4"/>
      <c r="J422" s="4"/>
    </row>
    <row r="423" spans="3:10">
      <c r="C423" s="3"/>
      <c r="D423" s="3"/>
      <c r="I423" s="4"/>
      <c r="J423" s="4"/>
    </row>
    <row r="424" spans="3:10">
      <c r="C424" s="3"/>
      <c r="D424" s="3"/>
      <c r="I424" s="4"/>
      <c r="J424" s="4"/>
    </row>
    <row r="425" spans="3:10">
      <c r="C425" s="3"/>
      <c r="D425" s="3"/>
      <c r="I425" s="4"/>
      <c r="J425" s="4"/>
    </row>
    <row r="426" spans="3:10">
      <c r="C426" s="3"/>
      <c r="D426" s="3"/>
      <c r="I426" s="4"/>
      <c r="J426" s="4"/>
    </row>
    <row r="427" spans="3:10">
      <c r="C427" s="3"/>
      <c r="D427" s="3"/>
      <c r="I427" s="4"/>
      <c r="J427" s="4"/>
    </row>
    <row r="428" spans="3:10">
      <c r="C428" s="3"/>
      <c r="D428" s="3"/>
      <c r="I428" s="4"/>
      <c r="J428" s="4"/>
    </row>
    <row r="429" spans="3:10">
      <c r="C429" s="3"/>
      <c r="D429" s="3"/>
      <c r="I429" s="4"/>
      <c r="J429" s="4"/>
    </row>
    <row r="430" spans="3:10">
      <c r="C430" s="3"/>
      <c r="D430" s="3"/>
      <c r="I430" s="4"/>
      <c r="J430" s="4"/>
    </row>
    <row r="431" spans="3:10">
      <c r="C431" s="3"/>
      <c r="D431" s="3"/>
      <c r="I431" s="4"/>
      <c r="J431" s="4"/>
    </row>
    <row r="432" spans="3:10">
      <c r="C432" s="3"/>
      <c r="D432" s="3"/>
      <c r="I432" s="4"/>
      <c r="J432" s="4"/>
    </row>
    <row r="433" spans="3:10">
      <c r="C433" s="3"/>
      <c r="D433" s="3"/>
      <c r="I433" s="4"/>
      <c r="J433" s="4"/>
    </row>
    <row r="434" spans="3:10">
      <c r="C434" s="3"/>
      <c r="D434" s="3"/>
      <c r="I434" s="4"/>
      <c r="J434" s="4"/>
    </row>
    <row r="435" spans="3:10">
      <c r="C435" s="3"/>
      <c r="D435" s="3"/>
      <c r="I435" s="4"/>
      <c r="J435" s="4"/>
    </row>
    <row r="436" spans="3:10">
      <c r="C436" s="3"/>
      <c r="D436" s="3"/>
      <c r="I436" s="4"/>
      <c r="J436" s="4"/>
    </row>
    <row r="437" spans="3:10">
      <c r="C437" s="3"/>
      <c r="D437" s="3"/>
      <c r="I437" s="4"/>
      <c r="J437" s="4"/>
    </row>
    <row r="438" spans="3:10">
      <c r="C438" s="3"/>
      <c r="D438" s="3"/>
      <c r="I438" s="4"/>
      <c r="J438" s="4"/>
    </row>
    <row r="439" spans="3:10">
      <c r="C439" s="3"/>
      <c r="D439" s="3"/>
      <c r="I439" s="4"/>
      <c r="J439" s="4"/>
    </row>
    <row r="440" spans="3:10">
      <c r="C440" s="3"/>
      <c r="D440" s="3"/>
      <c r="I440" s="4"/>
      <c r="J440" s="4"/>
    </row>
    <row r="441" spans="3:10">
      <c r="C441" s="3"/>
      <c r="D441" s="3"/>
      <c r="I441" s="4"/>
      <c r="J441" s="4"/>
    </row>
    <row r="442" spans="3:10">
      <c r="C442" s="3"/>
      <c r="D442" s="3"/>
      <c r="I442" s="4"/>
      <c r="J442" s="4"/>
    </row>
    <row r="443" spans="3:10">
      <c r="C443" s="3"/>
      <c r="D443" s="3"/>
      <c r="I443" s="4"/>
      <c r="J443" s="4"/>
    </row>
    <row r="444" spans="3:10">
      <c r="C444" s="3"/>
      <c r="D444" s="3"/>
      <c r="I444" s="4"/>
      <c r="J444" s="4"/>
    </row>
    <row r="445" spans="3:10">
      <c r="C445" s="3"/>
      <c r="D445" s="3"/>
      <c r="I445" s="4"/>
      <c r="J445" s="4"/>
    </row>
    <row r="446" spans="3:10">
      <c r="C446" s="3"/>
      <c r="D446" s="3"/>
      <c r="I446" s="4"/>
      <c r="J446" s="4"/>
    </row>
    <row r="447" spans="3:10">
      <c r="C447" s="3"/>
      <c r="D447" s="3"/>
      <c r="I447" s="4"/>
      <c r="J447" s="4"/>
    </row>
    <row r="448" spans="3:10">
      <c r="C448" s="3"/>
      <c r="D448" s="3"/>
      <c r="I448" s="4"/>
      <c r="J448" s="4"/>
    </row>
    <row r="449" spans="3:10">
      <c r="C449" s="3"/>
      <c r="D449" s="3"/>
      <c r="I449" s="4"/>
      <c r="J449" s="4"/>
    </row>
    <row r="450" spans="3:10">
      <c r="C450" s="3"/>
      <c r="D450" s="3"/>
      <c r="I450" s="4"/>
      <c r="J450" s="4"/>
    </row>
    <row r="451" spans="3:10">
      <c r="C451" s="3"/>
      <c r="D451" s="3"/>
      <c r="I451" s="4"/>
      <c r="J451" s="4"/>
    </row>
    <row r="452" spans="3:10">
      <c r="C452" s="3"/>
      <c r="D452" s="3"/>
      <c r="I452" s="4"/>
      <c r="J452" s="4"/>
    </row>
    <row r="453" spans="3:10">
      <c r="C453" s="3"/>
      <c r="D453" s="3"/>
      <c r="I453" s="4"/>
      <c r="J453" s="4"/>
    </row>
    <row r="454" spans="3:10">
      <c r="C454" s="3"/>
      <c r="D454" s="3"/>
      <c r="I454" s="4"/>
      <c r="J454" s="4"/>
    </row>
    <row r="455" spans="3:10">
      <c r="C455" s="3"/>
      <c r="D455" s="3"/>
      <c r="I455" s="4"/>
      <c r="J455" s="4"/>
    </row>
    <row r="456" spans="3:10">
      <c r="C456" s="3"/>
      <c r="D456" s="3"/>
      <c r="I456" s="4"/>
      <c r="J456" s="4"/>
    </row>
    <row r="457" spans="3:10">
      <c r="C457" s="3"/>
      <c r="D457" s="3"/>
      <c r="I457" s="4"/>
      <c r="J457" s="4"/>
    </row>
    <row r="458" spans="3:10">
      <c r="C458" s="3"/>
      <c r="D458" s="3"/>
      <c r="I458" s="4"/>
      <c r="J458" s="4"/>
    </row>
    <row r="459" spans="3:10">
      <c r="C459" s="3"/>
      <c r="D459" s="3"/>
      <c r="I459" s="4"/>
      <c r="J459" s="4"/>
    </row>
    <row r="460" spans="3:10">
      <c r="C460" s="3"/>
      <c r="D460" s="3"/>
      <c r="I460" s="4"/>
      <c r="J460" s="4"/>
    </row>
    <row r="461" spans="3:10">
      <c r="C461" s="3"/>
      <c r="D461" s="3"/>
      <c r="I461" s="4"/>
      <c r="J461" s="4"/>
    </row>
    <row r="462" spans="3:10">
      <c r="C462" s="3"/>
      <c r="D462" s="3"/>
      <c r="I462" s="4"/>
      <c r="J462" s="4"/>
    </row>
    <row r="463" spans="3:10">
      <c r="C463" s="3"/>
      <c r="D463" s="3"/>
      <c r="I463" s="4"/>
      <c r="J463" s="4"/>
    </row>
    <row r="464" spans="3:10">
      <c r="C464" s="3"/>
      <c r="D464" s="3"/>
      <c r="I464" s="4"/>
      <c r="J464" s="4"/>
    </row>
    <row r="465" spans="3:10">
      <c r="C465" s="3"/>
      <c r="D465" s="3"/>
      <c r="I465" s="4"/>
      <c r="J465" s="4"/>
    </row>
    <row r="466" spans="3:10">
      <c r="C466" s="3"/>
      <c r="D466" s="3"/>
      <c r="I466" s="4"/>
      <c r="J466" s="4"/>
    </row>
    <row r="467" spans="3:10">
      <c r="C467" s="3"/>
      <c r="D467" s="3"/>
      <c r="I467" s="4"/>
      <c r="J467" s="4"/>
    </row>
    <row r="468" spans="3:10">
      <c r="C468" s="3"/>
      <c r="D468" s="3"/>
      <c r="I468" s="4"/>
      <c r="J468" s="4"/>
    </row>
    <row r="469" spans="3:10">
      <c r="C469" s="3"/>
      <c r="D469" s="3"/>
      <c r="I469" s="4"/>
      <c r="J469" s="4"/>
    </row>
    <row r="470" spans="3:10">
      <c r="C470" s="3"/>
      <c r="D470" s="3"/>
      <c r="I470" s="4"/>
      <c r="J470" s="4"/>
    </row>
    <row r="471" spans="3:10">
      <c r="C471" s="3"/>
      <c r="D471" s="3"/>
      <c r="I471" s="4"/>
      <c r="J471" s="4"/>
    </row>
    <row r="472" spans="3:10">
      <c r="C472" s="3"/>
      <c r="D472" s="3"/>
      <c r="I472" s="4"/>
      <c r="J472" s="4"/>
    </row>
    <row r="473" spans="3:10">
      <c r="C473" s="3"/>
      <c r="D473" s="3"/>
      <c r="I473" s="4"/>
      <c r="J473" s="4"/>
    </row>
    <row r="474" spans="3:10">
      <c r="C474" s="3"/>
      <c r="D474" s="3"/>
      <c r="I474" s="4"/>
      <c r="J474" s="4"/>
    </row>
    <row r="475" spans="3:10">
      <c r="C475" s="3"/>
      <c r="D475" s="3"/>
      <c r="I475" s="4"/>
      <c r="J475" s="4"/>
    </row>
    <row r="476" spans="3:10">
      <c r="C476" s="3"/>
      <c r="D476" s="3"/>
      <c r="I476" s="4"/>
      <c r="J476" s="4"/>
    </row>
    <row r="477" spans="3:10">
      <c r="C477" s="3"/>
      <c r="D477" s="3"/>
      <c r="I477" s="4"/>
      <c r="J477" s="4"/>
    </row>
    <row r="478" spans="3:10">
      <c r="C478" s="3"/>
      <c r="D478" s="3"/>
      <c r="I478" s="4"/>
      <c r="J478" s="4"/>
    </row>
    <row r="479" spans="3:10">
      <c r="C479" s="3"/>
      <c r="D479" s="3"/>
      <c r="I479" s="4"/>
      <c r="J479" s="4"/>
    </row>
    <row r="480" spans="3:10">
      <c r="C480" s="3"/>
      <c r="D480" s="3"/>
      <c r="I480" s="4"/>
      <c r="J480" s="4"/>
    </row>
    <row r="481" spans="3:10">
      <c r="C481" s="3"/>
      <c r="D481" s="3"/>
      <c r="I481" s="4"/>
      <c r="J481" s="4"/>
    </row>
    <row r="482" spans="3:10">
      <c r="C482" s="3"/>
      <c r="D482" s="3"/>
      <c r="I482" s="4"/>
      <c r="J482" s="4"/>
    </row>
    <row r="483" spans="3:10">
      <c r="C483" s="3"/>
      <c r="D483" s="3"/>
      <c r="I483" s="4"/>
      <c r="J483" s="4"/>
    </row>
    <row r="484" spans="3:10">
      <c r="C484" s="3"/>
      <c r="D484" s="3"/>
      <c r="I484" s="4"/>
      <c r="J484" s="4"/>
    </row>
    <row r="485" spans="3:10">
      <c r="C485" s="3"/>
      <c r="D485" s="3"/>
      <c r="I485" s="4"/>
      <c r="J485" s="4"/>
    </row>
    <row r="486" spans="3:10">
      <c r="C486" s="3"/>
      <c r="D486" s="3"/>
      <c r="I486" s="4"/>
      <c r="J486" s="4"/>
    </row>
    <row r="487" spans="3:10">
      <c r="C487" s="3"/>
      <c r="D487" s="3"/>
      <c r="I487" s="4"/>
      <c r="J487" s="4"/>
    </row>
    <row r="488" spans="3:10">
      <c r="C488" s="3"/>
      <c r="D488" s="3"/>
      <c r="I488" s="4"/>
      <c r="J488" s="4"/>
    </row>
    <row r="489" spans="3:10">
      <c r="C489" s="3"/>
      <c r="D489" s="3"/>
      <c r="I489" s="4"/>
      <c r="J489" s="4"/>
    </row>
    <row r="490" spans="3:10">
      <c r="C490" s="3"/>
      <c r="D490" s="3"/>
      <c r="I490" s="4"/>
      <c r="J490" s="4"/>
    </row>
    <row r="491" spans="3:10">
      <c r="C491" s="3"/>
      <c r="D491" s="3"/>
      <c r="I491" s="4"/>
      <c r="J491" s="4"/>
    </row>
    <row r="492" spans="3:10">
      <c r="C492" s="3"/>
      <c r="D492" s="3"/>
      <c r="I492" s="4"/>
      <c r="J492" s="4"/>
    </row>
    <row r="493" spans="3:10">
      <c r="C493" s="3"/>
      <c r="D493" s="3"/>
      <c r="I493" s="4"/>
      <c r="J493" s="4"/>
    </row>
    <row r="494" spans="3:10">
      <c r="C494" s="3"/>
      <c r="D494" s="3"/>
      <c r="I494" s="4"/>
      <c r="J494" s="4"/>
    </row>
    <row r="495" spans="3:10">
      <c r="C495" s="3"/>
      <c r="D495" s="3"/>
      <c r="I495" s="4"/>
      <c r="J495" s="4"/>
    </row>
    <row r="496" spans="3:10">
      <c r="C496" s="3"/>
      <c r="D496" s="3"/>
      <c r="I496" s="4"/>
      <c r="J496" s="4"/>
    </row>
    <row r="497" spans="3:10">
      <c r="C497" s="3"/>
      <c r="D497" s="3"/>
      <c r="I497" s="4"/>
      <c r="J497" s="4"/>
    </row>
    <row r="498" spans="3:10">
      <c r="C498" s="3"/>
      <c r="D498" s="3"/>
      <c r="I498" s="4"/>
      <c r="J498" s="4"/>
    </row>
    <row r="499" spans="3:10">
      <c r="C499" s="3"/>
      <c r="D499" s="3"/>
      <c r="I499" s="4"/>
      <c r="J499" s="4"/>
    </row>
    <row r="500" spans="3:10">
      <c r="C500" s="3"/>
      <c r="D500" s="3"/>
      <c r="I500" s="4"/>
      <c r="J500" s="4"/>
    </row>
    <row r="501" spans="3:10">
      <c r="C501" s="3"/>
      <c r="D501" s="3"/>
      <c r="I501" s="4"/>
      <c r="J501" s="4"/>
    </row>
    <row r="502" spans="3:10">
      <c r="C502" s="3"/>
      <c r="D502" s="3"/>
      <c r="I502" s="4"/>
      <c r="J502" s="4"/>
    </row>
    <row r="503" spans="3:10">
      <c r="C503" s="3"/>
      <c r="D503" s="3"/>
      <c r="I503" s="4"/>
      <c r="J503" s="4"/>
    </row>
    <row r="504" spans="3:10">
      <c r="C504" s="3"/>
      <c r="D504" s="3"/>
      <c r="I504" s="4"/>
      <c r="J504" s="4"/>
    </row>
    <row r="505" spans="3:10">
      <c r="C505" s="3"/>
      <c r="D505" s="3"/>
      <c r="I505" s="4"/>
      <c r="J505" s="4"/>
    </row>
    <row r="506" spans="3:10">
      <c r="C506" s="3"/>
      <c r="D506" s="3"/>
      <c r="I506" s="4"/>
      <c r="J506" s="4"/>
    </row>
    <row r="507" spans="3:10">
      <c r="C507" s="3"/>
      <c r="D507" s="3"/>
      <c r="I507" s="4"/>
      <c r="J507" s="4"/>
    </row>
    <row r="508" spans="3:10">
      <c r="C508" s="3"/>
      <c r="D508" s="3"/>
      <c r="I508" s="4"/>
      <c r="J508" s="4"/>
    </row>
    <row r="509" spans="3:10">
      <c r="C509" s="3"/>
      <c r="D509" s="3"/>
      <c r="I509" s="4"/>
      <c r="J509" s="4"/>
    </row>
    <row r="510" spans="3:10">
      <c r="C510" s="3"/>
      <c r="D510" s="3"/>
      <c r="I510" s="4"/>
      <c r="J510" s="4"/>
    </row>
    <row r="511" spans="3:10">
      <c r="C511" s="3"/>
      <c r="D511" s="3"/>
      <c r="I511" s="4"/>
      <c r="J511" s="4"/>
    </row>
    <row r="512" spans="3:10">
      <c r="C512" s="3"/>
      <c r="D512" s="3"/>
      <c r="I512" s="4"/>
      <c r="J512" s="4"/>
    </row>
    <row r="513" spans="3:10">
      <c r="C513" s="3"/>
      <c r="D513" s="3"/>
      <c r="I513" s="4"/>
      <c r="J513" s="4"/>
    </row>
    <row r="514" spans="3:10">
      <c r="C514" s="3"/>
      <c r="D514" s="3"/>
      <c r="I514" s="4"/>
      <c r="J514" s="4"/>
    </row>
    <row r="515" spans="3:10">
      <c r="C515" s="3"/>
      <c r="D515" s="3"/>
      <c r="I515" s="4"/>
      <c r="J515" s="4"/>
    </row>
    <row r="516" spans="3:10">
      <c r="C516" s="3"/>
      <c r="D516" s="3"/>
      <c r="I516" s="4"/>
      <c r="J516" s="4"/>
    </row>
    <row r="517" spans="3:10">
      <c r="C517" s="3"/>
      <c r="D517" s="3"/>
      <c r="I517" s="4"/>
      <c r="J517" s="4"/>
    </row>
    <row r="518" spans="3:10">
      <c r="C518" s="3"/>
      <c r="D518" s="3"/>
      <c r="I518" s="4"/>
      <c r="J518" s="4"/>
    </row>
    <row r="519" spans="3:10">
      <c r="C519" s="3"/>
      <c r="D519" s="3"/>
      <c r="I519" s="4"/>
      <c r="J519" s="4"/>
    </row>
    <row r="520" spans="3:10">
      <c r="C520" s="3"/>
      <c r="D520" s="3"/>
      <c r="I520" s="4"/>
      <c r="J520" s="4"/>
    </row>
    <row r="521" spans="3:10">
      <c r="C521" s="3"/>
      <c r="D521" s="3"/>
      <c r="I521" s="4"/>
      <c r="J521" s="4"/>
    </row>
    <row r="522" spans="3:10">
      <c r="C522" s="3"/>
      <c r="D522" s="3"/>
      <c r="I522" s="4"/>
      <c r="J522" s="4"/>
    </row>
    <row r="523" spans="3:10">
      <c r="C523" s="3"/>
      <c r="D523" s="3"/>
      <c r="I523" s="4"/>
      <c r="J523" s="4"/>
    </row>
    <row r="524" spans="3:10">
      <c r="C524" s="3"/>
      <c r="D524" s="3"/>
      <c r="I524" s="4"/>
      <c r="J524" s="4"/>
    </row>
    <row r="525" spans="3:10">
      <c r="C525" s="3"/>
      <c r="D525" s="3"/>
      <c r="I525" s="4"/>
      <c r="J525" s="4"/>
    </row>
    <row r="526" spans="3:10">
      <c r="C526" s="3"/>
      <c r="D526" s="3"/>
      <c r="I526" s="4"/>
      <c r="J526" s="4"/>
    </row>
    <row r="527" spans="3:10">
      <c r="C527" s="3"/>
      <c r="D527" s="3"/>
      <c r="I527" s="4"/>
      <c r="J527" s="4"/>
    </row>
    <row r="528" spans="3:10">
      <c r="C528" s="3"/>
      <c r="D528" s="3"/>
      <c r="I528" s="4"/>
      <c r="J528" s="4"/>
    </row>
    <row r="529" spans="3:10">
      <c r="C529" s="3"/>
      <c r="D529" s="3"/>
      <c r="I529" s="4"/>
      <c r="J529" s="4"/>
    </row>
    <row r="530" spans="3:10">
      <c r="C530" s="3"/>
      <c r="D530" s="3"/>
      <c r="I530" s="4"/>
      <c r="J530" s="4"/>
    </row>
    <row r="531" spans="3:10">
      <c r="C531" s="3"/>
      <c r="D531" s="3"/>
      <c r="I531" s="4"/>
      <c r="J531" s="4"/>
    </row>
    <row r="532" spans="3:10">
      <c r="C532" s="3"/>
      <c r="D532" s="3"/>
      <c r="I532" s="4"/>
      <c r="J532" s="4"/>
    </row>
    <row r="533" spans="3:10">
      <c r="C533" s="3"/>
      <c r="D533" s="3"/>
      <c r="I533" s="4"/>
      <c r="J533" s="4"/>
    </row>
    <row r="534" spans="3:10">
      <c r="C534" s="3"/>
      <c r="D534" s="3"/>
      <c r="I534" s="4"/>
      <c r="J534" s="4"/>
    </row>
    <row r="535" spans="3:10">
      <c r="C535" s="3"/>
      <c r="D535" s="3"/>
      <c r="I535" s="4"/>
      <c r="J535" s="4"/>
    </row>
    <row r="536" spans="3:10">
      <c r="C536" s="3"/>
      <c r="D536" s="3"/>
      <c r="I536" s="4"/>
      <c r="J536" s="4"/>
    </row>
    <row r="537" spans="3:10">
      <c r="C537" s="3"/>
      <c r="D537" s="3"/>
      <c r="I537" s="4"/>
      <c r="J537" s="4"/>
    </row>
    <row r="538" spans="3:10">
      <c r="C538" s="3"/>
      <c r="D538" s="3"/>
      <c r="I538" s="4"/>
      <c r="J538" s="4"/>
    </row>
    <row r="539" spans="3:10">
      <c r="C539" s="3"/>
      <c r="D539" s="3"/>
      <c r="I539" s="4"/>
      <c r="J539" s="4"/>
    </row>
    <row r="540" spans="3:10">
      <c r="C540" s="3"/>
      <c r="D540" s="3"/>
      <c r="I540" s="4"/>
      <c r="J540" s="4"/>
    </row>
    <row r="541" spans="3:10">
      <c r="C541" s="3"/>
      <c r="D541" s="3"/>
      <c r="I541" s="4"/>
      <c r="J541" s="4"/>
    </row>
    <row r="542" spans="3:10">
      <c r="C542" s="3"/>
      <c r="D542" s="3"/>
      <c r="I542" s="4"/>
      <c r="J542" s="4"/>
    </row>
    <row r="543" spans="3:10">
      <c r="C543" s="3"/>
      <c r="D543" s="3"/>
      <c r="I543" s="4"/>
      <c r="J543" s="4"/>
    </row>
    <row r="544" spans="3:10">
      <c r="C544" s="3"/>
      <c r="D544" s="3"/>
      <c r="I544" s="4"/>
      <c r="J544" s="4"/>
    </row>
    <row r="545" spans="3:10">
      <c r="C545" s="3"/>
      <c r="D545" s="3"/>
      <c r="I545" s="4"/>
      <c r="J545" s="4"/>
    </row>
    <row r="546" spans="3:10">
      <c r="C546" s="3"/>
      <c r="D546" s="3"/>
      <c r="I546" s="4"/>
      <c r="J546" s="4"/>
    </row>
    <row r="547" spans="3:10">
      <c r="C547" s="3"/>
      <c r="D547" s="3"/>
      <c r="I547" s="4"/>
      <c r="J547" s="4"/>
    </row>
    <row r="548" spans="3:10">
      <c r="C548" s="3"/>
      <c r="D548" s="3"/>
      <c r="I548" s="4"/>
      <c r="J548" s="4"/>
    </row>
    <row r="549" spans="3:10">
      <c r="C549" s="3"/>
      <c r="D549" s="3"/>
      <c r="I549" s="4"/>
      <c r="J549" s="4"/>
    </row>
    <row r="550" spans="3:10">
      <c r="C550" s="3"/>
      <c r="D550" s="3"/>
      <c r="I550" s="4"/>
      <c r="J550" s="4"/>
    </row>
    <row r="551" spans="3:10">
      <c r="C551" s="3"/>
      <c r="D551" s="3"/>
      <c r="I551" s="4"/>
      <c r="J551" s="4"/>
    </row>
    <row r="552" spans="3:10">
      <c r="C552" s="3"/>
      <c r="D552" s="3"/>
      <c r="I552" s="4"/>
      <c r="J552" s="4"/>
    </row>
    <row r="553" spans="3:10">
      <c r="C553" s="3"/>
      <c r="D553" s="3"/>
      <c r="I553" s="4"/>
      <c r="J553" s="4"/>
    </row>
    <row r="554" spans="3:10">
      <c r="C554" s="3"/>
      <c r="D554" s="3"/>
      <c r="I554" s="4"/>
      <c r="J554" s="4"/>
    </row>
    <row r="555" spans="3:10">
      <c r="C555" s="3"/>
      <c r="D555" s="3"/>
      <c r="I555" s="4"/>
      <c r="J555" s="4"/>
    </row>
    <row r="556" spans="3:10">
      <c r="C556" s="3"/>
      <c r="D556" s="3"/>
      <c r="I556" s="4"/>
      <c r="J556" s="4"/>
    </row>
    <row r="557" spans="3:10">
      <c r="C557" s="3"/>
      <c r="D557" s="3"/>
      <c r="I557" s="4"/>
      <c r="J557" s="4"/>
    </row>
    <row r="558" spans="3:10">
      <c r="C558" s="3"/>
      <c r="D558" s="3"/>
      <c r="I558" s="4"/>
      <c r="J558" s="4"/>
    </row>
    <row r="559" spans="3:10">
      <c r="C559" s="3"/>
      <c r="D559" s="3"/>
      <c r="I559" s="4"/>
      <c r="J559" s="4"/>
    </row>
    <row r="560" spans="3:10">
      <c r="C560" s="3"/>
      <c r="D560" s="3"/>
      <c r="I560" s="4"/>
      <c r="J560" s="4"/>
    </row>
    <row r="561" spans="3:10">
      <c r="C561" s="3"/>
      <c r="D561" s="3"/>
      <c r="I561" s="4"/>
      <c r="J561" s="4"/>
    </row>
    <row r="562" spans="3:10">
      <c r="C562" s="3"/>
      <c r="D562" s="3"/>
      <c r="I562" s="4"/>
      <c r="J562" s="4"/>
    </row>
    <row r="563" spans="3:10">
      <c r="C563" s="3"/>
      <c r="D563" s="3"/>
      <c r="I563" s="4"/>
      <c r="J563" s="4"/>
    </row>
    <row r="564" spans="3:10">
      <c r="C564" s="3"/>
      <c r="D564" s="3"/>
      <c r="I564" s="4"/>
      <c r="J564" s="4"/>
    </row>
    <row r="565" spans="3:10">
      <c r="C565" s="3"/>
      <c r="D565" s="3"/>
      <c r="I565" s="4"/>
      <c r="J565" s="4"/>
    </row>
    <row r="566" spans="3:10">
      <c r="C566" s="3"/>
      <c r="D566" s="3"/>
      <c r="I566" s="4"/>
      <c r="J566" s="4"/>
    </row>
    <row r="567" spans="3:10">
      <c r="C567" s="3"/>
      <c r="D567" s="3"/>
      <c r="I567" s="4"/>
      <c r="J567" s="4"/>
    </row>
    <row r="568" spans="3:10">
      <c r="C568" s="3"/>
      <c r="D568" s="3"/>
      <c r="I568" s="4"/>
      <c r="J568" s="4"/>
    </row>
    <row r="569" spans="3:10">
      <c r="C569" s="3"/>
      <c r="D569" s="3"/>
      <c r="I569" s="4"/>
      <c r="J569" s="4"/>
    </row>
    <row r="570" spans="3:10">
      <c r="C570" s="3"/>
      <c r="D570" s="3"/>
      <c r="I570" s="4"/>
      <c r="J570" s="4"/>
    </row>
    <row r="571" spans="3:10">
      <c r="C571" s="3"/>
      <c r="D571" s="3"/>
      <c r="I571" s="4"/>
      <c r="J571" s="4"/>
    </row>
    <row r="572" spans="3:10">
      <c r="C572" s="3"/>
      <c r="D572" s="3"/>
      <c r="I572" s="4"/>
      <c r="J572" s="4"/>
    </row>
    <row r="573" spans="3:10">
      <c r="C573" s="3"/>
      <c r="D573" s="3"/>
      <c r="I573" s="4"/>
      <c r="J573" s="4"/>
    </row>
    <row r="574" spans="3:10">
      <c r="C574" s="3"/>
      <c r="D574" s="3"/>
      <c r="I574" s="4"/>
      <c r="J574" s="4"/>
    </row>
    <row r="575" spans="3:10">
      <c r="C575" s="3"/>
      <c r="D575" s="3"/>
      <c r="I575" s="4"/>
      <c r="J575" s="4"/>
    </row>
    <row r="576" spans="3:10">
      <c r="C576" s="3"/>
      <c r="D576" s="3"/>
      <c r="I576" s="4"/>
      <c r="J576" s="4"/>
    </row>
    <row r="577" spans="3:10">
      <c r="C577" s="3"/>
      <c r="D577" s="3"/>
      <c r="I577" s="4"/>
      <c r="J577" s="4"/>
    </row>
    <row r="578" spans="3:10">
      <c r="C578" s="3"/>
      <c r="D578" s="3"/>
      <c r="I578" s="4"/>
      <c r="J578" s="4"/>
    </row>
    <row r="579" spans="3:10">
      <c r="C579" s="3"/>
      <c r="D579" s="3"/>
      <c r="I579" s="4"/>
      <c r="J579" s="4"/>
    </row>
    <row r="580" spans="3:10">
      <c r="C580" s="3"/>
      <c r="D580" s="3"/>
      <c r="I580" s="4"/>
      <c r="J580" s="4"/>
    </row>
    <row r="581" spans="3:10">
      <c r="C581" s="3"/>
      <c r="D581" s="3"/>
      <c r="I581" s="4"/>
      <c r="J581" s="4"/>
    </row>
    <row r="582" spans="3:10">
      <c r="C582" s="3"/>
      <c r="D582" s="3"/>
      <c r="I582" s="4"/>
      <c r="J582" s="4"/>
    </row>
    <row r="583" spans="3:10">
      <c r="C583" s="3"/>
      <c r="D583" s="3"/>
      <c r="I583" s="4"/>
      <c r="J583" s="4"/>
    </row>
    <row r="584" spans="3:10">
      <c r="C584" s="3"/>
      <c r="D584" s="3"/>
      <c r="I584" s="4"/>
      <c r="J584" s="4"/>
    </row>
    <row r="585" spans="3:10">
      <c r="C585" s="3"/>
      <c r="D585" s="3"/>
      <c r="I585" s="4"/>
      <c r="J585" s="4"/>
    </row>
    <row r="586" spans="3:10">
      <c r="C586" s="3"/>
      <c r="D586" s="3"/>
      <c r="I586" s="4"/>
      <c r="J586" s="4"/>
    </row>
    <row r="587" spans="3:10">
      <c r="C587" s="3"/>
      <c r="D587" s="3"/>
      <c r="I587" s="4"/>
      <c r="J587" s="4"/>
    </row>
    <row r="588" spans="3:10">
      <c r="C588" s="3"/>
      <c r="D588" s="3"/>
      <c r="I588" s="4"/>
      <c r="J588" s="4"/>
    </row>
    <row r="589" spans="3:10">
      <c r="C589" s="3"/>
      <c r="D589" s="3"/>
      <c r="I589" s="4"/>
      <c r="J589" s="4"/>
    </row>
    <row r="590" spans="3:10">
      <c r="C590" s="3"/>
      <c r="D590" s="3"/>
      <c r="I590" s="4"/>
      <c r="J590" s="4"/>
    </row>
    <row r="591" spans="3:10">
      <c r="C591" s="3"/>
      <c r="D591" s="3"/>
      <c r="I591" s="4"/>
      <c r="J591" s="4"/>
    </row>
    <row r="592" spans="3:10">
      <c r="C592" s="3"/>
      <c r="D592" s="3"/>
      <c r="I592" s="4"/>
      <c r="J592" s="4"/>
    </row>
    <row r="593" spans="3:10">
      <c r="C593" s="3"/>
      <c r="D593" s="3"/>
      <c r="I593" s="4"/>
      <c r="J593" s="4"/>
    </row>
    <row r="594" spans="3:10">
      <c r="C594" s="3"/>
      <c r="D594" s="3"/>
      <c r="I594" s="4"/>
      <c r="J594" s="4"/>
    </row>
    <row r="595" spans="3:10">
      <c r="C595" s="3"/>
      <c r="D595" s="3"/>
      <c r="I595" s="4"/>
      <c r="J595" s="4"/>
    </row>
    <row r="596" spans="3:10">
      <c r="C596" s="3"/>
      <c r="D596" s="3"/>
      <c r="I596" s="4"/>
      <c r="J596" s="4"/>
    </row>
    <row r="597" spans="3:10">
      <c r="C597" s="3"/>
      <c r="D597" s="3"/>
      <c r="I597" s="4"/>
      <c r="J597" s="4"/>
    </row>
    <row r="598" spans="3:10">
      <c r="C598" s="3"/>
      <c r="D598" s="3"/>
      <c r="I598" s="4"/>
      <c r="J598" s="4"/>
    </row>
    <row r="599" spans="3:10">
      <c r="C599" s="3"/>
      <c r="D599" s="3"/>
      <c r="I599" s="4"/>
      <c r="J599" s="4"/>
    </row>
    <row r="600" spans="3:10">
      <c r="C600" s="3"/>
      <c r="D600" s="3"/>
      <c r="I600" s="4"/>
      <c r="J600" s="4"/>
    </row>
    <row r="601" spans="3:10">
      <c r="C601" s="3"/>
      <c r="D601" s="3"/>
      <c r="I601" s="4"/>
      <c r="J601" s="4"/>
    </row>
    <row r="602" spans="3:10">
      <c r="C602" s="3"/>
      <c r="D602" s="3"/>
      <c r="I602" s="4"/>
      <c r="J602" s="4"/>
    </row>
    <row r="603" spans="3:10">
      <c r="C603" s="3"/>
      <c r="D603" s="3"/>
      <c r="I603" s="4"/>
      <c r="J603" s="4"/>
    </row>
    <row r="604" spans="3:10">
      <c r="C604" s="3"/>
      <c r="D604" s="3"/>
      <c r="I604" s="4"/>
      <c r="J604" s="4"/>
    </row>
    <row r="605" spans="3:10">
      <c r="C605" s="3"/>
      <c r="D605" s="3"/>
      <c r="I605" s="4"/>
      <c r="J605" s="4"/>
    </row>
    <row r="606" spans="3:10">
      <c r="C606" s="3"/>
      <c r="D606" s="3"/>
      <c r="I606" s="4"/>
      <c r="J606" s="4"/>
    </row>
    <row r="607" spans="3:10">
      <c r="C607" s="3"/>
      <c r="D607" s="3"/>
      <c r="I607" s="4"/>
      <c r="J607" s="4"/>
    </row>
    <row r="608" spans="3:10">
      <c r="C608" s="3"/>
      <c r="D608" s="3"/>
      <c r="I608" s="4"/>
      <c r="J608" s="4"/>
    </row>
    <row r="609" spans="3:10">
      <c r="C609" s="3"/>
      <c r="D609" s="3"/>
      <c r="I609" s="4"/>
      <c r="J609" s="4"/>
    </row>
    <row r="610" spans="3:10">
      <c r="C610" s="3"/>
      <c r="D610" s="3"/>
      <c r="I610" s="4"/>
      <c r="J610" s="4"/>
    </row>
    <row r="611" spans="3:10">
      <c r="C611" s="3"/>
      <c r="D611" s="3"/>
      <c r="I611" s="4"/>
      <c r="J611" s="4"/>
    </row>
    <row r="612" spans="3:10">
      <c r="C612" s="3"/>
      <c r="D612" s="3"/>
      <c r="I612" s="4"/>
      <c r="J612" s="4"/>
    </row>
    <row r="613" spans="3:10">
      <c r="C613" s="3"/>
      <c r="D613" s="3"/>
      <c r="I613" s="4"/>
      <c r="J613" s="4"/>
    </row>
    <row r="614" spans="3:10">
      <c r="C614" s="3"/>
      <c r="D614" s="3"/>
      <c r="I614" s="4"/>
      <c r="J614" s="4"/>
    </row>
    <row r="615" spans="3:10">
      <c r="C615" s="3"/>
      <c r="D615" s="3"/>
      <c r="I615" s="4"/>
      <c r="J615" s="4"/>
    </row>
    <row r="616" spans="3:10">
      <c r="C616" s="3"/>
      <c r="D616" s="3"/>
      <c r="I616" s="4"/>
      <c r="J616" s="4"/>
    </row>
    <row r="617" spans="3:10">
      <c r="C617" s="3"/>
      <c r="D617" s="3"/>
      <c r="I617" s="4"/>
      <c r="J617" s="4"/>
    </row>
    <row r="618" spans="3:10">
      <c r="C618" s="3"/>
      <c r="D618" s="3"/>
      <c r="I618" s="4"/>
      <c r="J618" s="4"/>
    </row>
    <row r="619" spans="3:10">
      <c r="C619" s="3"/>
      <c r="D619" s="3"/>
      <c r="I619" s="4"/>
      <c r="J619" s="4"/>
    </row>
    <row r="620" spans="3:10">
      <c r="C620" s="3"/>
      <c r="D620" s="3"/>
      <c r="I620" s="4"/>
      <c r="J620" s="4"/>
    </row>
    <row r="621" spans="3:10">
      <c r="C621" s="3"/>
      <c r="D621" s="3"/>
      <c r="I621" s="4"/>
      <c r="J621" s="4"/>
    </row>
    <row r="622" spans="3:10">
      <c r="C622" s="3"/>
      <c r="D622" s="3"/>
      <c r="I622" s="4"/>
      <c r="J622" s="4"/>
    </row>
    <row r="623" spans="3:10">
      <c r="C623" s="3"/>
      <c r="D623" s="3"/>
      <c r="I623" s="4"/>
      <c r="J623" s="4"/>
    </row>
    <row r="624" spans="3:10">
      <c r="C624" s="3"/>
      <c r="D624" s="3"/>
      <c r="I624" s="4"/>
      <c r="J624" s="4"/>
    </row>
    <row r="625" spans="3:10">
      <c r="C625" s="3"/>
      <c r="D625" s="3"/>
      <c r="I625" s="4"/>
      <c r="J625" s="4"/>
    </row>
    <row r="626" spans="3:10">
      <c r="C626" s="3"/>
      <c r="D626" s="3"/>
      <c r="I626" s="4"/>
      <c r="J626" s="4"/>
    </row>
    <row r="627" spans="3:10">
      <c r="C627" s="3"/>
      <c r="D627" s="3"/>
      <c r="I627" s="4"/>
      <c r="J627" s="4"/>
    </row>
    <row r="628" spans="3:10">
      <c r="C628" s="3"/>
      <c r="D628" s="3"/>
      <c r="I628" s="4"/>
      <c r="J628" s="4"/>
    </row>
    <row r="629" spans="3:10">
      <c r="C629" s="3"/>
      <c r="D629" s="3"/>
      <c r="I629" s="4"/>
      <c r="J629" s="4"/>
    </row>
    <row r="630" spans="3:10">
      <c r="C630" s="3"/>
      <c r="D630" s="3"/>
      <c r="I630" s="4"/>
      <c r="J630" s="4"/>
    </row>
    <row r="631" spans="3:10">
      <c r="C631" s="3"/>
      <c r="D631" s="3"/>
      <c r="I631" s="4"/>
      <c r="J631" s="4"/>
    </row>
    <row r="632" spans="3:10">
      <c r="C632" s="3"/>
      <c r="D632" s="3"/>
      <c r="I632" s="4"/>
      <c r="J632" s="4"/>
    </row>
    <row r="633" spans="3:10">
      <c r="C633" s="3"/>
      <c r="D633" s="3"/>
      <c r="I633" s="4"/>
      <c r="J633" s="4"/>
    </row>
    <row r="634" spans="3:10">
      <c r="C634" s="3"/>
      <c r="D634" s="3"/>
      <c r="I634" s="4"/>
      <c r="J634" s="4"/>
    </row>
    <row r="635" spans="3:10">
      <c r="C635" s="3"/>
      <c r="D635" s="3"/>
      <c r="I635" s="4"/>
      <c r="J635" s="4"/>
    </row>
    <row r="636" spans="3:10">
      <c r="C636" s="3"/>
      <c r="D636" s="3"/>
      <c r="I636" s="4"/>
      <c r="J636" s="4"/>
    </row>
    <row r="637" spans="3:10">
      <c r="C637" s="3"/>
      <c r="D637" s="3"/>
      <c r="I637" s="4"/>
      <c r="J637" s="4"/>
    </row>
    <row r="638" spans="3:10">
      <c r="C638" s="3"/>
      <c r="D638" s="3"/>
      <c r="I638" s="4"/>
      <c r="J638" s="4"/>
    </row>
    <row r="639" spans="3:10">
      <c r="C639" s="3"/>
      <c r="D639" s="3"/>
      <c r="I639" s="4"/>
      <c r="J639" s="4"/>
    </row>
    <row r="640" spans="3:10">
      <c r="C640" s="3"/>
      <c r="D640" s="3"/>
      <c r="I640" s="4"/>
      <c r="J640" s="4"/>
    </row>
    <row r="641" spans="3:11">
      <c r="C641" s="3"/>
      <c r="D641" s="3"/>
      <c r="I641" s="4"/>
      <c r="J641" s="4"/>
    </row>
    <row r="642" spans="3:11">
      <c r="C642" s="3"/>
      <c r="D642" s="3"/>
      <c r="I642" s="4"/>
      <c r="J642" s="4"/>
    </row>
    <row r="643" spans="3:11">
      <c r="C643" s="3"/>
      <c r="D643" s="3"/>
      <c r="I643" s="4"/>
      <c r="J643" s="4"/>
    </row>
    <row r="644" spans="3:11">
      <c r="C644" s="3"/>
      <c r="D644" s="3"/>
      <c r="I644" s="4"/>
      <c r="J644" s="4"/>
    </row>
    <row r="645" spans="3:11">
      <c r="C645" s="3"/>
      <c r="D645" s="3"/>
      <c r="I645" s="4"/>
      <c r="J645" s="4"/>
    </row>
    <row r="646" spans="3:11">
      <c r="C646" s="3"/>
      <c r="D646" s="3"/>
      <c r="I646" s="4"/>
      <c r="J646" s="4"/>
    </row>
    <row r="647" spans="3:11">
      <c r="C647" s="3"/>
      <c r="D647" s="3"/>
      <c r="I647" s="4"/>
      <c r="J647" s="4"/>
    </row>
    <row r="648" spans="3:11">
      <c r="C648" s="3"/>
      <c r="D648" s="3"/>
      <c r="I648" s="4"/>
      <c r="J648" s="4"/>
    </row>
    <row r="649" spans="3:11">
      <c r="C649" s="3"/>
      <c r="D649" s="3"/>
      <c r="I649" s="4"/>
      <c r="J649" s="4"/>
    </row>
    <row r="650" spans="3:11">
      <c r="C650" s="3"/>
      <c r="D650" s="3"/>
      <c r="I650" s="4"/>
      <c r="J650" s="4"/>
    </row>
    <row r="651" spans="3:11">
      <c r="C651" s="3"/>
      <c r="D651" s="3"/>
      <c r="I651" s="4"/>
      <c r="J651" s="4"/>
    </row>
    <row r="652" spans="3:11">
      <c r="C652" s="3"/>
      <c r="D652" s="3"/>
      <c r="I652" s="4"/>
      <c r="J652" s="4"/>
    </row>
    <row r="653" spans="3:11">
      <c r="C653" s="3"/>
      <c r="D653" s="3"/>
      <c r="I653" s="4"/>
      <c r="J653" s="4"/>
    </row>
    <row r="654" spans="3:11">
      <c r="C654" s="3"/>
      <c r="D654" s="3"/>
      <c r="I654" s="4"/>
      <c r="J654" s="4"/>
    </row>
    <row r="655" spans="3:11">
      <c r="C655" s="3"/>
      <c r="D655" s="3"/>
      <c r="I655" s="4"/>
      <c r="J655" s="4"/>
    </row>
    <row r="656" spans="3:11" s="6" customFormat="1">
      <c r="K656" s="38"/>
    </row>
  </sheetData>
  <autoFilter ref="B2:O24"/>
  <mergeCells count="2">
    <mergeCell ref="B24:H24"/>
    <mergeCell ref="B1:O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9"/>
  <sheetViews>
    <sheetView topLeftCell="D1" workbookViewId="0">
      <pane ySplit="2" topLeftCell="A90" activePane="bottomLeft" state="frozen"/>
      <selection activeCell="D1" sqref="D1"/>
      <selection pane="bottomLeft" activeCell="O102" sqref="O102"/>
    </sheetView>
  </sheetViews>
  <sheetFormatPr defaultRowHeight="15"/>
  <cols>
    <col min="2" max="2" width="6.85546875" customWidth="1"/>
    <col min="3" max="3" width="26.140625" style="593" customWidth="1"/>
    <col min="4" max="4" width="15.7109375" style="639" bestFit="1" customWidth="1"/>
    <col min="5" max="5" width="14.28515625" style="604" bestFit="1" customWidth="1"/>
    <col min="6" max="6" width="15.140625" bestFit="1" customWidth="1"/>
    <col min="7" max="7" width="14.28515625" bestFit="1" customWidth="1"/>
    <col min="8" max="8" width="15.85546875" bestFit="1" customWidth="1"/>
    <col min="9" max="9" width="16.5703125" style="13" bestFit="1" customWidth="1"/>
    <col min="10" max="10" width="14.7109375" style="13" bestFit="1" customWidth="1"/>
    <col min="11" max="11" width="9.140625" style="37"/>
    <col min="12" max="12" width="18.42578125" customWidth="1"/>
    <col min="13" max="13" width="15.85546875" bestFit="1" customWidth="1"/>
    <col min="14" max="14" width="17.28515625" bestFit="1" customWidth="1"/>
    <col min="15" max="15" width="12.42578125" customWidth="1"/>
  </cols>
  <sheetData>
    <row r="1" spans="2:15" ht="15.75" thickBot="1">
      <c r="B1" s="706" t="s">
        <v>652</v>
      </c>
      <c r="C1" s="706"/>
      <c r="D1" s="706"/>
      <c r="E1" s="707"/>
      <c r="F1" s="707"/>
      <c r="G1" s="707"/>
      <c r="H1" s="707"/>
      <c r="I1" s="707"/>
      <c r="J1" s="707"/>
      <c r="K1" s="708"/>
      <c r="L1" s="706"/>
      <c r="M1" s="706"/>
      <c r="N1" s="706"/>
      <c r="O1" s="706"/>
    </row>
    <row r="2" spans="2:15" ht="60" customHeight="1">
      <c r="B2" s="40" t="s">
        <v>1</v>
      </c>
      <c r="C2" s="40" t="s">
        <v>2</v>
      </c>
      <c r="D2" s="40" t="s">
        <v>12</v>
      </c>
      <c r="E2" s="40" t="s">
        <v>3</v>
      </c>
      <c r="F2" s="40" t="s">
        <v>27</v>
      </c>
      <c r="G2" s="40" t="s">
        <v>28</v>
      </c>
      <c r="H2" s="40" t="s">
        <v>4</v>
      </c>
      <c r="I2" s="41" t="s">
        <v>5</v>
      </c>
      <c r="J2" s="41" t="s">
        <v>11</v>
      </c>
      <c r="K2" s="42" t="s">
        <v>6</v>
      </c>
      <c r="L2" s="41" t="s">
        <v>7</v>
      </c>
      <c r="M2" s="41" t="s">
        <v>8</v>
      </c>
      <c r="N2" s="41" t="s">
        <v>9</v>
      </c>
      <c r="O2" s="41" t="s">
        <v>10</v>
      </c>
    </row>
    <row r="3" spans="2:15" s="7" customFormat="1">
      <c r="B3" s="594">
        <v>1</v>
      </c>
      <c r="C3" s="630" t="s">
        <v>230</v>
      </c>
      <c r="D3" s="649">
        <v>39152</v>
      </c>
      <c r="E3" s="649">
        <v>44470</v>
      </c>
      <c r="F3" s="631">
        <f>(E3-D3)/365</f>
        <v>14.56986301369863</v>
      </c>
      <c r="G3" s="635">
        <v>3</v>
      </c>
      <c r="H3" s="632">
        <f t="shared" ref="H3:H66" si="0">(95/G3/100)</f>
        <v>0.31666666666666665</v>
      </c>
      <c r="I3" s="568">
        <v>24200</v>
      </c>
      <c r="J3" s="633">
        <v>1210</v>
      </c>
      <c r="K3" s="634">
        <v>0</v>
      </c>
      <c r="L3" s="655">
        <f t="shared" ref="L3:L27" si="1">I3*(1+K3)</f>
        <v>24200</v>
      </c>
      <c r="M3" s="655">
        <f t="shared" ref="M3:M27" si="2">F3*H3*L3</f>
        <v>111653.71689497716</v>
      </c>
      <c r="N3" s="655">
        <f t="shared" ref="N3:N27" si="3">IF(L3-M3&lt;=0,5%*L3,L3-M3)</f>
        <v>1210</v>
      </c>
      <c r="O3" s="655">
        <f t="shared" ref="O3:O27" si="4">IF(N3=L3*5%,N3,N3*0.9)</f>
        <v>1210</v>
      </c>
    </row>
    <row r="4" spans="2:15" s="7" customFormat="1">
      <c r="B4" s="594">
        <v>2</v>
      </c>
      <c r="C4" s="630" t="s">
        <v>230</v>
      </c>
      <c r="D4" s="649">
        <v>39526</v>
      </c>
      <c r="E4" s="653">
        <v>44470</v>
      </c>
      <c r="F4" s="631">
        <f t="shared" ref="F4:F67" si="5">(E4-D4)/365</f>
        <v>13.545205479452054</v>
      </c>
      <c r="G4" s="635">
        <v>3</v>
      </c>
      <c r="H4" s="632">
        <f t="shared" si="0"/>
        <v>0.31666666666666665</v>
      </c>
      <c r="I4" s="568">
        <v>73514</v>
      </c>
      <c r="J4" s="633">
        <v>3675.7000000000003</v>
      </c>
      <c r="K4" s="634">
        <v>0</v>
      </c>
      <c r="L4" s="655">
        <f t="shared" si="1"/>
        <v>73514</v>
      </c>
      <c r="M4" s="655">
        <f t="shared" si="2"/>
        <v>315324.70794520545</v>
      </c>
      <c r="N4" s="655">
        <f t="shared" si="3"/>
        <v>3675.7000000000003</v>
      </c>
      <c r="O4" s="655">
        <f t="shared" si="4"/>
        <v>3675.7000000000003</v>
      </c>
    </row>
    <row r="5" spans="2:15" s="7" customFormat="1">
      <c r="B5" s="594">
        <v>3</v>
      </c>
      <c r="C5" s="630" t="s">
        <v>231</v>
      </c>
      <c r="D5" s="649">
        <v>39569</v>
      </c>
      <c r="E5" s="653">
        <v>44470</v>
      </c>
      <c r="F5" s="631">
        <f t="shared" si="5"/>
        <v>13.427397260273972</v>
      </c>
      <c r="G5" s="635">
        <v>3</v>
      </c>
      <c r="H5" s="632">
        <f t="shared" si="0"/>
        <v>0.31666666666666665</v>
      </c>
      <c r="I5" s="568">
        <v>39500</v>
      </c>
      <c r="J5" s="633">
        <v>1975</v>
      </c>
      <c r="K5" s="634">
        <v>0</v>
      </c>
      <c r="L5" s="655">
        <f t="shared" si="1"/>
        <v>39500</v>
      </c>
      <c r="M5" s="655">
        <f t="shared" si="2"/>
        <v>167954.36073059359</v>
      </c>
      <c r="N5" s="655">
        <f t="shared" si="3"/>
        <v>1975</v>
      </c>
      <c r="O5" s="655">
        <f t="shared" si="4"/>
        <v>1975</v>
      </c>
    </row>
    <row r="6" spans="2:15" s="7" customFormat="1">
      <c r="B6" s="594">
        <v>4</v>
      </c>
      <c r="C6" s="630" t="s">
        <v>231</v>
      </c>
      <c r="D6" s="649">
        <v>39582</v>
      </c>
      <c r="E6" s="653">
        <v>44470</v>
      </c>
      <c r="F6" s="631">
        <f t="shared" si="5"/>
        <v>13.391780821917807</v>
      </c>
      <c r="G6" s="635">
        <v>3</v>
      </c>
      <c r="H6" s="632">
        <f t="shared" si="0"/>
        <v>0.31666666666666665</v>
      </c>
      <c r="I6" s="568">
        <v>1650</v>
      </c>
      <c r="J6" s="633">
        <v>82.5</v>
      </c>
      <c r="K6" s="634">
        <v>0</v>
      </c>
      <c r="L6" s="655">
        <f t="shared" si="1"/>
        <v>1650</v>
      </c>
      <c r="M6" s="655">
        <f t="shared" si="2"/>
        <v>6997.2054794520545</v>
      </c>
      <c r="N6" s="655">
        <f t="shared" si="3"/>
        <v>82.5</v>
      </c>
      <c r="O6" s="655">
        <f t="shared" si="4"/>
        <v>82.5</v>
      </c>
    </row>
    <row r="7" spans="2:15" s="7" customFormat="1">
      <c r="B7" s="594">
        <v>5</v>
      </c>
      <c r="C7" s="630" t="s">
        <v>232</v>
      </c>
      <c r="D7" s="649">
        <v>39899</v>
      </c>
      <c r="E7" s="653">
        <v>44470</v>
      </c>
      <c r="F7" s="631">
        <f t="shared" si="5"/>
        <v>12.523287671232877</v>
      </c>
      <c r="G7" s="635">
        <v>3</v>
      </c>
      <c r="H7" s="632">
        <f t="shared" si="0"/>
        <v>0.31666666666666665</v>
      </c>
      <c r="I7" s="568">
        <v>85362</v>
      </c>
      <c r="J7" s="633">
        <v>4268.1000000000004</v>
      </c>
      <c r="K7" s="634">
        <v>0</v>
      </c>
      <c r="L7" s="655">
        <f t="shared" si="1"/>
        <v>85362</v>
      </c>
      <c r="M7" s="655">
        <f t="shared" si="2"/>
        <v>338520.74602739728</v>
      </c>
      <c r="N7" s="655">
        <f t="shared" si="3"/>
        <v>4268.1000000000004</v>
      </c>
      <c r="O7" s="655">
        <f t="shared" si="4"/>
        <v>4268.1000000000004</v>
      </c>
    </row>
    <row r="8" spans="2:15" s="7" customFormat="1">
      <c r="B8" s="594">
        <v>6</v>
      </c>
      <c r="C8" s="630" t="s">
        <v>233</v>
      </c>
      <c r="D8" s="649">
        <v>39940</v>
      </c>
      <c r="E8" s="653">
        <v>44470</v>
      </c>
      <c r="F8" s="631">
        <f t="shared" si="5"/>
        <v>12.41095890410959</v>
      </c>
      <c r="G8" s="635">
        <v>3</v>
      </c>
      <c r="H8" s="632">
        <f t="shared" si="0"/>
        <v>0.31666666666666665</v>
      </c>
      <c r="I8" s="568">
        <v>19000</v>
      </c>
      <c r="J8" s="633">
        <v>950</v>
      </c>
      <c r="K8" s="634">
        <v>0</v>
      </c>
      <c r="L8" s="655">
        <f t="shared" si="1"/>
        <v>19000</v>
      </c>
      <c r="M8" s="655">
        <f t="shared" si="2"/>
        <v>74672.602739726033</v>
      </c>
      <c r="N8" s="655">
        <f t="shared" si="3"/>
        <v>950</v>
      </c>
      <c r="O8" s="655">
        <f t="shared" si="4"/>
        <v>950</v>
      </c>
    </row>
    <row r="9" spans="2:15" s="7" customFormat="1">
      <c r="B9" s="594">
        <v>7</v>
      </c>
      <c r="C9" s="630" t="s">
        <v>233</v>
      </c>
      <c r="D9" s="649">
        <v>40168</v>
      </c>
      <c r="E9" s="653">
        <v>44470</v>
      </c>
      <c r="F9" s="631">
        <f t="shared" si="5"/>
        <v>11.786301369863013</v>
      </c>
      <c r="G9" s="635">
        <v>3</v>
      </c>
      <c r="H9" s="632">
        <f t="shared" si="0"/>
        <v>0.31666666666666665</v>
      </c>
      <c r="I9" s="568">
        <v>42120</v>
      </c>
      <c r="J9" s="633">
        <v>2106</v>
      </c>
      <c r="K9" s="634">
        <v>0</v>
      </c>
      <c r="L9" s="655">
        <f t="shared" si="1"/>
        <v>42120</v>
      </c>
      <c r="M9" s="655">
        <f t="shared" si="2"/>
        <v>157205.68767123285</v>
      </c>
      <c r="N9" s="655">
        <f t="shared" si="3"/>
        <v>2106</v>
      </c>
      <c r="O9" s="655">
        <f t="shared" si="4"/>
        <v>2106</v>
      </c>
    </row>
    <row r="10" spans="2:15" s="7" customFormat="1">
      <c r="B10" s="594">
        <v>8</v>
      </c>
      <c r="C10" s="630" t="s">
        <v>233</v>
      </c>
      <c r="D10" s="649">
        <v>40287</v>
      </c>
      <c r="E10" s="653">
        <v>44470</v>
      </c>
      <c r="F10" s="631">
        <f t="shared" si="5"/>
        <v>11.46027397260274</v>
      </c>
      <c r="G10" s="635">
        <v>3</v>
      </c>
      <c r="H10" s="632">
        <f t="shared" si="0"/>
        <v>0.31666666666666665</v>
      </c>
      <c r="I10" s="568">
        <v>91500</v>
      </c>
      <c r="J10" s="633">
        <v>4575</v>
      </c>
      <c r="K10" s="634">
        <v>0</v>
      </c>
      <c r="L10" s="655">
        <f t="shared" si="1"/>
        <v>91500</v>
      </c>
      <c r="M10" s="655">
        <f t="shared" si="2"/>
        <v>332061.43835616438</v>
      </c>
      <c r="N10" s="655">
        <f t="shared" si="3"/>
        <v>4575</v>
      </c>
      <c r="O10" s="655">
        <f t="shared" si="4"/>
        <v>4575</v>
      </c>
    </row>
    <row r="11" spans="2:15" s="7" customFormat="1">
      <c r="B11" s="594">
        <v>9</v>
      </c>
      <c r="C11" s="630" t="s">
        <v>233</v>
      </c>
      <c r="D11" s="649">
        <v>40289</v>
      </c>
      <c r="E11" s="653">
        <v>44470</v>
      </c>
      <c r="F11" s="631">
        <f t="shared" si="5"/>
        <v>11.454794520547946</v>
      </c>
      <c r="G11" s="635">
        <v>3</v>
      </c>
      <c r="H11" s="632">
        <f t="shared" si="0"/>
        <v>0.31666666666666665</v>
      </c>
      <c r="I11" s="568">
        <v>38000</v>
      </c>
      <c r="J11" s="633">
        <v>1900</v>
      </c>
      <c r="K11" s="634">
        <v>0</v>
      </c>
      <c r="L11" s="655">
        <f t="shared" si="1"/>
        <v>38000</v>
      </c>
      <c r="M11" s="655">
        <f t="shared" si="2"/>
        <v>137839.36073059362</v>
      </c>
      <c r="N11" s="655">
        <f t="shared" si="3"/>
        <v>1900</v>
      </c>
      <c r="O11" s="655">
        <f t="shared" si="4"/>
        <v>1900</v>
      </c>
    </row>
    <row r="12" spans="2:15" s="7" customFormat="1">
      <c r="B12" s="594">
        <v>10</v>
      </c>
      <c r="C12" s="630" t="s">
        <v>233</v>
      </c>
      <c r="D12" s="649">
        <v>40302</v>
      </c>
      <c r="E12" s="653">
        <v>44470</v>
      </c>
      <c r="F12" s="631">
        <f t="shared" si="5"/>
        <v>11.419178082191781</v>
      </c>
      <c r="G12" s="635">
        <v>3</v>
      </c>
      <c r="H12" s="632">
        <f t="shared" si="0"/>
        <v>0.31666666666666665</v>
      </c>
      <c r="I12" s="568">
        <v>31500</v>
      </c>
      <c r="J12" s="633">
        <v>1575</v>
      </c>
      <c r="K12" s="634">
        <v>0</v>
      </c>
      <c r="L12" s="655">
        <f t="shared" si="1"/>
        <v>31500</v>
      </c>
      <c r="M12" s="655">
        <f t="shared" si="2"/>
        <v>113906.30136986301</v>
      </c>
      <c r="N12" s="655">
        <f t="shared" si="3"/>
        <v>1575</v>
      </c>
      <c r="O12" s="655">
        <f t="shared" si="4"/>
        <v>1575</v>
      </c>
    </row>
    <row r="13" spans="2:15" s="7" customFormat="1">
      <c r="B13" s="594">
        <v>11</v>
      </c>
      <c r="C13" s="630" t="s">
        <v>233</v>
      </c>
      <c r="D13" s="649">
        <v>40322</v>
      </c>
      <c r="E13" s="653">
        <v>44470</v>
      </c>
      <c r="F13" s="631">
        <f t="shared" si="5"/>
        <v>11.364383561643836</v>
      </c>
      <c r="G13" s="635">
        <v>3</v>
      </c>
      <c r="H13" s="632">
        <f t="shared" si="0"/>
        <v>0.31666666666666665</v>
      </c>
      <c r="I13" s="568">
        <v>37500</v>
      </c>
      <c r="J13" s="633">
        <v>1875</v>
      </c>
      <c r="K13" s="634">
        <v>0</v>
      </c>
      <c r="L13" s="655">
        <f t="shared" si="1"/>
        <v>37500</v>
      </c>
      <c r="M13" s="655">
        <f t="shared" si="2"/>
        <v>134952.05479452055</v>
      </c>
      <c r="N13" s="655">
        <f t="shared" si="3"/>
        <v>1875</v>
      </c>
      <c r="O13" s="655">
        <f t="shared" si="4"/>
        <v>1875</v>
      </c>
    </row>
    <row r="14" spans="2:15" s="7" customFormat="1">
      <c r="B14" s="594">
        <v>12</v>
      </c>
      <c r="C14" s="630" t="s">
        <v>233</v>
      </c>
      <c r="D14" s="649">
        <v>40344</v>
      </c>
      <c r="E14" s="653">
        <v>44470</v>
      </c>
      <c r="F14" s="631">
        <f t="shared" si="5"/>
        <v>11.304109589041095</v>
      </c>
      <c r="G14" s="635">
        <v>3</v>
      </c>
      <c r="H14" s="632">
        <f t="shared" si="0"/>
        <v>0.31666666666666665</v>
      </c>
      <c r="I14" s="568">
        <v>16000</v>
      </c>
      <c r="J14" s="633">
        <v>800</v>
      </c>
      <c r="K14" s="634">
        <v>0</v>
      </c>
      <c r="L14" s="655">
        <f t="shared" si="1"/>
        <v>16000</v>
      </c>
      <c r="M14" s="655">
        <f t="shared" si="2"/>
        <v>57274.15525114155</v>
      </c>
      <c r="N14" s="655">
        <f t="shared" si="3"/>
        <v>800</v>
      </c>
      <c r="O14" s="655">
        <f t="shared" si="4"/>
        <v>800</v>
      </c>
    </row>
    <row r="15" spans="2:15" s="7" customFormat="1">
      <c r="B15" s="594">
        <v>13</v>
      </c>
      <c r="C15" s="630" t="s">
        <v>233</v>
      </c>
      <c r="D15" s="649">
        <v>40351</v>
      </c>
      <c r="E15" s="653">
        <v>44470</v>
      </c>
      <c r="F15" s="631">
        <f t="shared" si="5"/>
        <v>11.284931506849315</v>
      </c>
      <c r="G15" s="635">
        <v>3</v>
      </c>
      <c r="H15" s="632">
        <f t="shared" si="0"/>
        <v>0.31666666666666665</v>
      </c>
      <c r="I15" s="568">
        <v>31000</v>
      </c>
      <c r="J15" s="633">
        <v>1550</v>
      </c>
      <c r="K15" s="634">
        <v>0</v>
      </c>
      <c r="L15" s="655">
        <f t="shared" si="1"/>
        <v>31000</v>
      </c>
      <c r="M15" s="655">
        <f t="shared" si="2"/>
        <v>110780.4109589041</v>
      </c>
      <c r="N15" s="655">
        <f t="shared" si="3"/>
        <v>1550</v>
      </c>
      <c r="O15" s="655">
        <f t="shared" si="4"/>
        <v>1550</v>
      </c>
    </row>
    <row r="16" spans="2:15" s="7" customFormat="1">
      <c r="B16" s="594">
        <v>14</v>
      </c>
      <c r="C16" s="630" t="s">
        <v>233</v>
      </c>
      <c r="D16" s="649">
        <v>40358</v>
      </c>
      <c r="E16" s="653">
        <v>44470</v>
      </c>
      <c r="F16" s="631">
        <f t="shared" si="5"/>
        <v>11.265753424657534</v>
      </c>
      <c r="G16" s="635">
        <v>3</v>
      </c>
      <c r="H16" s="632">
        <f t="shared" si="0"/>
        <v>0.31666666666666665</v>
      </c>
      <c r="I16" s="568">
        <v>21000</v>
      </c>
      <c r="J16" s="633">
        <v>1050</v>
      </c>
      <c r="K16" s="634">
        <v>0</v>
      </c>
      <c r="L16" s="655">
        <f t="shared" si="1"/>
        <v>21000</v>
      </c>
      <c r="M16" s="655">
        <f t="shared" si="2"/>
        <v>74917.260273972599</v>
      </c>
      <c r="N16" s="655">
        <f t="shared" si="3"/>
        <v>1050</v>
      </c>
      <c r="O16" s="655">
        <f t="shared" si="4"/>
        <v>1050</v>
      </c>
    </row>
    <row r="17" spans="2:17" s="7" customFormat="1">
      <c r="B17" s="594">
        <v>15</v>
      </c>
      <c r="C17" s="630" t="s">
        <v>233</v>
      </c>
      <c r="D17" s="649">
        <v>40432</v>
      </c>
      <c r="E17" s="653">
        <v>44470</v>
      </c>
      <c r="F17" s="631">
        <f t="shared" si="5"/>
        <v>11.063013698630137</v>
      </c>
      <c r="G17" s="635">
        <v>3</v>
      </c>
      <c r="H17" s="632">
        <f t="shared" si="0"/>
        <v>0.31666666666666665</v>
      </c>
      <c r="I17" s="568">
        <v>14352</v>
      </c>
      <c r="J17" s="633">
        <v>717.6</v>
      </c>
      <c r="K17" s="634">
        <v>0</v>
      </c>
      <c r="L17" s="655">
        <f t="shared" si="1"/>
        <v>14352</v>
      </c>
      <c r="M17" s="655">
        <f t="shared" si="2"/>
        <v>50279.184657534242</v>
      </c>
      <c r="N17" s="655">
        <f t="shared" si="3"/>
        <v>717.6</v>
      </c>
      <c r="O17" s="655">
        <f t="shared" si="4"/>
        <v>717.6</v>
      </c>
    </row>
    <row r="18" spans="2:17" s="7" customFormat="1">
      <c r="B18" s="594">
        <v>16</v>
      </c>
      <c r="C18" s="630" t="s">
        <v>233</v>
      </c>
      <c r="D18" s="649">
        <v>40435</v>
      </c>
      <c r="E18" s="653">
        <v>44470</v>
      </c>
      <c r="F18" s="631">
        <f t="shared" si="5"/>
        <v>11.054794520547945</v>
      </c>
      <c r="G18" s="635">
        <v>3</v>
      </c>
      <c r="H18" s="632">
        <f t="shared" si="0"/>
        <v>0.31666666666666665</v>
      </c>
      <c r="I18" s="568">
        <v>28500</v>
      </c>
      <c r="J18" s="633">
        <v>1425</v>
      </c>
      <c r="K18" s="634">
        <v>0</v>
      </c>
      <c r="L18" s="655">
        <f t="shared" si="1"/>
        <v>28500</v>
      </c>
      <c r="M18" s="655">
        <f t="shared" si="2"/>
        <v>99769.520547945198</v>
      </c>
      <c r="N18" s="655">
        <f t="shared" si="3"/>
        <v>1425</v>
      </c>
      <c r="O18" s="655">
        <f t="shared" si="4"/>
        <v>1425</v>
      </c>
    </row>
    <row r="19" spans="2:17" s="7" customFormat="1">
      <c r="B19" s="594">
        <v>17</v>
      </c>
      <c r="C19" s="630" t="s">
        <v>233</v>
      </c>
      <c r="D19" s="649">
        <v>40451</v>
      </c>
      <c r="E19" s="653">
        <v>44470</v>
      </c>
      <c r="F19" s="631">
        <f t="shared" si="5"/>
        <v>11.010958904109589</v>
      </c>
      <c r="G19" s="635">
        <v>3</v>
      </c>
      <c r="H19" s="632">
        <f t="shared" si="0"/>
        <v>0.31666666666666665</v>
      </c>
      <c r="I19" s="568">
        <v>29500</v>
      </c>
      <c r="J19" s="633">
        <v>1475</v>
      </c>
      <c r="K19" s="634">
        <v>0</v>
      </c>
      <c r="L19" s="655">
        <f t="shared" si="1"/>
        <v>29500</v>
      </c>
      <c r="M19" s="655">
        <f t="shared" si="2"/>
        <v>102860.70776255708</v>
      </c>
      <c r="N19" s="655">
        <f t="shared" si="3"/>
        <v>1475</v>
      </c>
      <c r="O19" s="655">
        <f t="shared" si="4"/>
        <v>1475</v>
      </c>
    </row>
    <row r="20" spans="2:17" s="7" customFormat="1">
      <c r="B20" s="594">
        <v>18</v>
      </c>
      <c r="C20" s="630" t="s">
        <v>233</v>
      </c>
      <c r="D20" s="649">
        <v>40458</v>
      </c>
      <c r="E20" s="653">
        <v>44470</v>
      </c>
      <c r="F20" s="631">
        <f t="shared" si="5"/>
        <v>10.991780821917809</v>
      </c>
      <c r="G20" s="635">
        <v>3</v>
      </c>
      <c r="H20" s="632">
        <f t="shared" si="0"/>
        <v>0.31666666666666665</v>
      </c>
      <c r="I20" s="568">
        <v>1800</v>
      </c>
      <c r="J20" s="633">
        <v>90</v>
      </c>
      <c r="K20" s="634">
        <v>0</v>
      </c>
      <c r="L20" s="655">
        <f t="shared" si="1"/>
        <v>1800</v>
      </c>
      <c r="M20" s="655">
        <f t="shared" si="2"/>
        <v>6265.3150684931506</v>
      </c>
      <c r="N20" s="655">
        <f t="shared" si="3"/>
        <v>90</v>
      </c>
      <c r="O20" s="655">
        <f t="shared" si="4"/>
        <v>90</v>
      </c>
    </row>
    <row r="21" spans="2:17" s="7" customFormat="1">
      <c r="B21" s="594">
        <v>19</v>
      </c>
      <c r="C21" s="630" t="s">
        <v>233</v>
      </c>
      <c r="D21" s="649">
        <v>40459</v>
      </c>
      <c r="E21" s="653">
        <v>44470</v>
      </c>
      <c r="F21" s="631">
        <f t="shared" si="5"/>
        <v>10.989041095890411</v>
      </c>
      <c r="G21" s="635">
        <v>3</v>
      </c>
      <c r="H21" s="632">
        <f t="shared" si="0"/>
        <v>0.31666666666666665</v>
      </c>
      <c r="I21" s="568">
        <v>1500</v>
      </c>
      <c r="J21" s="633">
        <v>75</v>
      </c>
      <c r="K21" s="634">
        <v>0</v>
      </c>
      <c r="L21" s="655">
        <f t="shared" si="1"/>
        <v>1500</v>
      </c>
      <c r="M21" s="655">
        <f t="shared" si="2"/>
        <v>5219.7945205479446</v>
      </c>
      <c r="N21" s="655">
        <f t="shared" si="3"/>
        <v>75</v>
      </c>
      <c r="O21" s="655">
        <f t="shared" si="4"/>
        <v>75</v>
      </c>
    </row>
    <row r="22" spans="2:17" s="7" customFormat="1">
      <c r="B22" s="594">
        <v>20</v>
      </c>
      <c r="C22" s="630" t="s">
        <v>233</v>
      </c>
      <c r="D22" s="649">
        <v>40470</v>
      </c>
      <c r="E22" s="653">
        <v>44470</v>
      </c>
      <c r="F22" s="631">
        <f t="shared" si="5"/>
        <v>10.95890410958904</v>
      </c>
      <c r="G22" s="635">
        <v>3</v>
      </c>
      <c r="H22" s="632">
        <f t="shared" si="0"/>
        <v>0.31666666666666665</v>
      </c>
      <c r="I22" s="568">
        <v>29300</v>
      </c>
      <c r="J22" s="633">
        <v>1465</v>
      </c>
      <c r="K22" s="634">
        <v>0</v>
      </c>
      <c r="L22" s="655">
        <f t="shared" si="1"/>
        <v>29300</v>
      </c>
      <c r="M22" s="655">
        <f t="shared" si="2"/>
        <v>101680.36529680365</v>
      </c>
      <c r="N22" s="655">
        <f t="shared" si="3"/>
        <v>1465</v>
      </c>
      <c r="O22" s="655">
        <f t="shared" si="4"/>
        <v>1465</v>
      </c>
    </row>
    <row r="23" spans="2:17" s="7" customFormat="1">
      <c r="B23" s="594">
        <v>21</v>
      </c>
      <c r="C23" s="630" t="s">
        <v>233</v>
      </c>
      <c r="D23" s="649">
        <v>40472</v>
      </c>
      <c r="E23" s="653">
        <v>44470</v>
      </c>
      <c r="F23" s="631">
        <f t="shared" si="5"/>
        <v>10.953424657534246</v>
      </c>
      <c r="G23" s="635">
        <v>3</v>
      </c>
      <c r="H23" s="632">
        <f t="shared" si="0"/>
        <v>0.31666666666666665</v>
      </c>
      <c r="I23" s="568">
        <v>9140</v>
      </c>
      <c r="J23" s="633">
        <v>457</v>
      </c>
      <c r="K23" s="634">
        <v>0</v>
      </c>
      <c r="L23" s="655">
        <f t="shared" si="1"/>
        <v>9140</v>
      </c>
      <c r="M23" s="655">
        <f t="shared" si="2"/>
        <v>31702.862100456616</v>
      </c>
      <c r="N23" s="655">
        <f t="shared" si="3"/>
        <v>457</v>
      </c>
      <c r="O23" s="655">
        <f t="shared" si="4"/>
        <v>457</v>
      </c>
    </row>
    <row r="24" spans="2:17" s="7" customFormat="1">
      <c r="B24" s="594">
        <v>22</v>
      </c>
      <c r="C24" s="630" t="s">
        <v>233</v>
      </c>
      <c r="D24" s="649">
        <v>40481</v>
      </c>
      <c r="E24" s="653">
        <v>44470</v>
      </c>
      <c r="F24" s="631">
        <f t="shared" si="5"/>
        <v>10.92876712328767</v>
      </c>
      <c r="G24" s="635">
        <v>3</v>
      </c>
      <c r="H24" s="632">
        <f t="shared" si="0"/>
        <v>0.31666666666666665</v>
      </c>
      <c r="I24" s="568">
        <v>24200</v>
      </c>
      <c r="J24" s="633">
        <v>1210</v>
      </c>
      <c r="K24" s="634">
        <v>0</v>
      </c>
      <c r="L24" s="655">
        <f t="shared" si="1"/>
        <v>24200</v>
      </c>
      <c r="M24" s="655">
        <f t="shared" si="2"/>
        <v>83750.785388127842</v>
      </c>
      <c r="N24" s="655">
        <f t="shared" si="3"/>
        <v>1210</v>
      </c>
      <c r="O24" s="655">
        <f t="shared" si="4"/>
        <v>1210</v>
      </c>
    </row>
    <row r="25" spans="2:17" s="7" customFormat="1">
      <c r="B25" s="594">
        <v>23</v>
      </c>
      <c r="C25" s="630" t="s">
        <v>233</v>
      </c>
      <c r="D25" s="649">
        <v>40486</v>
      </c>
      <c r="E25" s="653">
        <v>44470</v>
      </c>
      <c r="F25" s="631">
        <f t="shared" si="5"/>
        <v>10.915068493150685</v>
      </c>
      <c r="G25" s="635">
        <v>3</v>
      </c>
      <c r="H25" s="632">
        <f t="shared" si="0"/>
        <v>0.31666666666666665</v>
      </c>
      <c r="I25" s="568">
        <v>1610</v>
      </c>
      <c r="J25" s="633">
        <v>80.5</v>
      </c>
      <c r="K25" s="634">
        <v>0</v>
      </c>
      <c r="L25" s="655">
        <f t="shared" si="1"/>
        <v>1610</v>
      </c>
      <c r="M25" s="655">
        <f t="shared" si="2"/>
        <v>5564.8657534246568</v>
      </c>
      <c r="N25" s="655">
        <f t="shared" si="3"/>
        <v>80.5</v>
      </c>
      <c r="O25" s="655">
        <f t="shared" si="4"/>
        <v>80.5</v>
      </c>
    </row>
    <row r="26" spans="2:17" s="7" customFormat="1">
      <c r="B26" s="594">
        <v>24</v>
      </c>
      <c r="C26" s="630" t="s">
        <v>233</v>
      </c>
      <c r="D26" s="649">
        <v>40487</v>
      </c>
      <c r="E26" s="653">
        <v>44470</v>
      </c>
      <c r="F26" s="631">
        <f t="shared" si="5"/>
        <v>10.912328767123288</v>
      </c>
      <c r="G26" s="635">
        <v>3</v>
      </c>
      <c r="H26" s="632">
        <f t="shared" si="0"/>
        <v>0.31666666666666665</v>
      </c>
      <c r="I26" s="568">
        <v>2640</v>
      </c>
      <c r="J26" s="633">
        <v>132</v>
      </c>
      <c r="K26" s="634">
        <v>0</v>
      </c>
      <c r="L26" s="655">
        <f t="shared" si="1"/>
        <v>2640</v>
      </c>
      <c r="M26" s="655">
        <f t="shared" si="2"/>
        <v>9122.7068493150673</v>
      </c>
      <c r="N26" s="655">
        <f t="shared" si="3"/>
        <v>132</v>
      </c>
      <c r="O26" s="655">
        <f t="shared" si="4"/>
        <v>132</v>
      </c>
    </row>
    <row r="27" spans="2:17" s="7" customFormat="1">
      <c r="B27" s="594">
        <v>25</v>
      </c>
      <c r="C27" s="630" t="s">
        <v>233</v>
      </c>
      <c r="D27" s="649">
        <v>40492</v>
      </c>
      <c r="E27" s="653">
        <v>44470</v>
      </c>
      <c r="F27" s="631">
        <f t="shared" si="5"/>
        <v>10.898630136986302</v>
      </c>
      <c r="G27" s="635">
        <v>3</v>
      </c>
      <c r="H27" s="632">
        <f t="shared" si="0"/>
        <v>0.31666666666666665</v>
      </c>
      <c r="I27" s="568">
        <v>5283</v>
      </c>
      <c r="J27" s="633">
        <v>264.15000000000003</v>
      </c>
      <c r="K27" s="634">
        <v>0</v>
      </c>
      <c r="L27" s="655">
        <f t="shared" si="1"/>
        <v>5283</v>
      </c>
      <c r="M27" s="655">
        <f t="shared" si="2"/>
        <v>18232.863287671233</v>
      </c>
      <c r="N27" s="655">
        <f t="shared" si="3"/>
        <v>264.15000000000003</v>
      </c>
      <c r="O27" s="655">
        <f t="shared" si="4"/>
        <v>264.15000000000003</v>
      </c>
      <c r="Q27" s="7">
        <v>2010</v>
      </c>
    </row>
    <row r="28" spans="2:17" s="7" customFormat="1">
      <c r="B28" s="594">
        <v>26</v>
      </c>
      <c r="C28" s="630" t="s">
        <v>233</v>
      </c>
      <c r="D28" s="649">
        <v>40502</v>
      </c>
      <c r="E28" s="653">
        <v>44470</v>
      </c>
      <c r="F28" s="631">
        <f t="shared" si="5"/>
        <v>10.871232876712329</v>
      </c>
      <c r="G28" s="635">
        <v>3</v>
      </c>
      <c r="H28" s="632">
        <f t="shared" si="0"/>
        <v>0.31666666666666665</v>
      </c>
      <c r="I28" s="568">
        <v>550</v>
      </c>
      <c r="J28" s="633">
        <v>27.5</v>
      </c>
      <c r="K28" s="634">
        <v>0</v>
      </c>
      <c r="L28" s="655">
        <f t="shared" ref="L28:L80" si="6">I28*(1+K28)</f>
        <v>550</v>
      </c>
      <c r="M28" s="655">
        <f t="shared" ref="M28:M80" si="7">F28*H28*L28</f>
        <v>1893.4063926940639</v>
      </c>
      <c r="N28" s="655">
        <f t="shared" ref="N28:N80" si="8">IF(L28-M28&lt;=0,5%*L28,L28-M28)</f>
        <v>27.5</v>
      </c>
      <c r="O28" s="655">
        <f t="shared" ref="O28:O80" si="9">IF(N28=L28*5%,N28,N28*0.9)</f>
        <v>27.5</v>
      </c>
    </row>
    <row r="29" spans="2:17" s="7" customFormat="1">
      <c r="B29" s="594">
        <v>27</v>
      </c>
      <c r="C29" s="630" t="s">
        <v>233</v>
      </c>
      <c r="D29" s="649">
        <v>40657</v>
      </c>
      <c r="E29" s="653">
        <v>44470</v>
      </c>
      <c r="F29" s="631">
        <f t="shared" si="5"/>
        <v>10.446575342465753</v>
      </c>
      <c r="G29" s="635">
        <v>3</v>
      </c>
      <c r="H29" s="632">
        <f t="shared" si="0"/>
        <v>0.31666666666666665</v>
      </c>
      <c r="I29" s="568">
        <v>32000</v>
      </c>
      <c r="J29" s="633">
        <v>1600</v>
      </c>
      <c r="K29" s="634">
        <v>0</v>
      </c>
      <c r="L29" s="655">
        <f t="shared" si="6"/>
        <v>32000</v>
      </c>
      <c r="M29" s="655">
        <f t="shared" si="7"/>
        <v>105858.63013698629</v>
      </c>
      <c r="N29" s="655">
        <f t="shared" si="8"/>
        <v>1600</v>
      </c>
      <c r="O29" s="655">
        <f t="shared" si="9"/>
        <v>1600</v>
      </c>
    </row>
    <row r="30" spans="2:17" s="7" customFormat="1">
      <c r="B30" s="594">
        <v>28</v>
      </c>
      <c r="C30" s="630" t="s">
        <v>233</v>
      </c>
      <c r="D30" s="649">
        <v>41387</v>
      </c>
      <c r="E30" s="653">
        <v>44470</v>
      </c>
      <c r="F30" s="631">
        <f t="shared" si="5"/>
        <v>8.4465753424657528</v>
      </c>
      <c r="G30" s="635">
        <v>3</v>
      </c>
      <c r="H30" s="632">
        <f t="shared" si="0"/>
        <v>0.31666666666666665</v>
      </c>
      <c r="I30" s="568">
        <v>7170</v>
      </c>
      <c r="J30" s="633">
        <v>358.5</v>
      </c>
      <c r="K30" s="634">
        <v>0</v>
      </c>
      <c r="L30" s="655">
        <f t="shared" si="6"/>
        <v>7170</v>
      </c>
      <c r="M30" s="655">
        <f t="shared" si="7"/>
        <v>19177.94931506849</v>
      </c>
      <c r="N30" s="655">
        <f t="shared" si="8"/>
        <v>358.5</v>
      </c>
      <c r="O30" s="655">
        <f t="shared" si="9"/>
        <v>358.5</v>
      </c>
    </row>
    <row r="31" spans="2:17" s="7" customFormat="1">
      <c r="B31" s="594">
        <v>29</v>
      </c>
      <c r="C31" s="630" t="s">
        <v>233</v>
      </c>
      <c r="D31" s="649">
        <v>41606</v>
      </c>
      <c r="E31" s="653">
        <v>44470</v>
      </c>
      <c r="F31" s="631">
        <f t="shared" si="5"/>
        <v>7.8465753424657532</v>
      </c>
      <c r="G31" s="635">
        <v>3</v>
      </c>
      <c r="H31" s="632">
        <f t="shared" si="0"/>
        <v>0.31666666666666665</v>
      </c>
      <c r="I31" s="568">
        <v>39849</v>
      </c>
      <c r="J31" s="633">
        <v>1992.4499999999773</v>
      </c>
      <c r="K31" s="634">
        <v>0</v>
      </c>
      <c r="L31" s="655">
        <f t="shared" si="6"/>
        <v>39849</v>
      </c>
      <c r="M31" s="655">
        <f t="shared" si="7"/>
        <v>99014.757260273967</v>
      </c>
      <c r="N31" s="655">
        <f t="shared" si="8"/>
        <v>1992.45</v>
      </c>
      <c r="O31" s="655">
        <f t="shared" si="9"/>
        <v>1992.45</v>
      </c>
    </row>
    <row r="32" spans="2:17" s="7" customFormat="1">
      <c r="B32" s="594">
        <v>30</v>
      </c>
      <c r="C32" s="630" t="s">
        <v>233</v>
      </c>
      <c r="D32" s="649">
        <v>41676</v>
      </c>
      <c r="E32" s="653">
        <v>44470</v>
      </c>
      <c r="F32" s="631">
        <f t="shared" si="5"/>
        <v>7.6547945205479451</v>
      </c>
      <c r="G32" s="635">
        <v>3</v>
      </c>
      <c r="H32" s="632">
        <f t="shared" si="0"/>
        <v>0.31666666666666665</v>
      </c>
      <c r="I32" s="568">
        <v>68798</v>
      </c>
      <c r="J32" s="633">
        <v>126.11933327552106</v>
      </c>
      <c r="K32" s="634">
        <v>0</v>
      </c>
      <c r="L32" s="655">
        <f t="shared" si="6"/>
        <v>68798</v>
      </c>
      <c r="M32" s="655">
        <f t="shared" si="7"/>
        <v>166767.60858447486</v>
      </c>
      <c r="N32" s="655">
        <f t="shared" si="8"/>
        <v>3439.9</v>
      </c>
      <c r="O32" s="655">
        <f t="shared" si="9"/>
        <v>3439.9</v>
      </c>
    </row>
    <row r="33" spans="2:15" s="7" customFormat="1">
      <c r="B33" s="594">
        <v>31</v>
      </c>
      <c r="C33" s="630" t="s">
        <v>233</v>
      </c>
      <c r="D33" s="649">
        <v>41704</v>
      </c>
      <c r="E33" s="653">
        <v>44470</v>
      </c>
      <c r="F33" s="631">
        <f t="shared" si="5"/>
        <v>7.5780821917808217</v>
      </c>
      <c r="G33" s="635">
        <v>3</v>
      </c>
      <c r="H33" s="632">
        <f t="shared" si="0"/>
        <v>0.31666666666666665</v>
      </c>
      <c r="I33" s="568">
        <v>171124</v>
      </c>
      <c r="J33" s="633">
        <v>4640.6048296491499</v>
      </c>
      <c r="K33" s="634">
        <v>0</v>
      </c>
      <c r="L33" s="655">
        <f t="shared" si="6"/>
        <v>171124</v>
      </c>
      <c r="M33" s="655">
        <f t="shared" si="7"/>
        <v>410650.71671232878</v>
      </c>
      <c r="N33" s="655">
        <f t="shared" si="8"/>
        <v>8556.2000000000007</v>
      </c>
      <c r="O33" s="655">
        <f t="shared" si="9"/>
        <v>8556.2000000000007</v>
      </c>
    </row>
    <row r="34" spans="2:15" s="7" customFormat="1">
      <c r="B34" s="594">
        <v>32</v>
      </c>
      <c r="C34" s="630" t="s">
        <v>230</v>
      </c>
      <c r="D34" s="649">
        <v>41740</v>
      </c>
      <c r="E34" s="653">
        <v>44470</v>
      </c>
      <c r="F34" s="631">
        <f t="shared" si="5"/>
        <v>7.4794520547945202</v>
      </c>
      <c r="G34" s="635">
        <v>3</v>
      </c>
      <c r="H34" s="632">
        <f t="shared" si="0"/>
        <v>0.31666666666666665</v>
      </c>
      <c r="I34" s="568">
        <v>27443</v>
      </c>
      <c r="J34" s="633">
        <v>1372.1500000000015</v>
      </c>
      <c r="K34" s="634">
        <v>0</v>
      </c>
      <c r="L34" s="655">
        <f t="shared" si="6"/>
        <v>27443</v>
      </c>
      <c r="M34" s="655">
        <f t="shared" si="7"/>
        <v>64998.557534246567</v>
      </c>
      <c r="N34" s="655">
        <f t="shared" si="8"/>
        <v>1372.15</v>
      </c>
      <c r="O34" s="655">
        <f t="shared" si="9"/>
        <v>1372.15</v>
      </c>
    </row>
    <row r="35" spans="2:15" s="7" customFormat="1">
      <c r="B35" s="594">
        <v>33</v>
      </c>
      <c r="C35" s="630" t="s">
        <v>230</v>
      </c>
      <c r="D35" s="649">
        <v>41743</v>
      </c>
      <c r="E35" s="653">
        <v>44470</v>
      </c>
      <c r="F35" s="631">
        <f t="shared" si="5"/>
        <v>7.4712328767123291</v>
      </c>
      <c r="G35" s="635">
        <v>3</v>
      </c>
      <c r="H35" s="632">
        <f t="shared" si="0"/>
        <v>0.31666666666666665</v>
      </c>
      <c r="I35" s="568">
        <v>57543</v>
      </c>
      <c r="J35" s="633">
        <v>2877.1500000000015</v>
      </c>
      <c r="K35" s="634">
        <v>0</v>
      </c>
      <c r="L35" s="655">
        <f t="shared" si="6"/>
        <v>57543</v>
      </c>
      <c r="M35" s="655">
        <f t="shared" si="7"/>
        <v>136140.43191780822</v>
      </c>
      <c r="N35" s="655">
        <f t="shared" si="8"/>
        <v>2877.15</v>
      </c>
      <c r="O35" s="655">
        <f t="shared" si="9"/>
        <v>2877.15</v>
      </c>
    </row>
    <row r="36" spans="2:15" s="7" customFormat="1">
      <c r="B36" s="594">
        <v>34</v>
      </c>
      <c r="C36" s="630" t="s">
        <v>230</v>
      </c>
      <c r="D36" s="649">
        <v>41764</v>
      </c>
      <c r="E36" s="653">
        <v>44470</v>
      </c>
      <c r="F36" s="631">
        <f t="shared" si="5"/>
        <v>7.4136986301369863</v>
      </c>
      <c r="G36" s="635">
        <v>3</v>
      </c>
      <c r="H36" s="632">
        <f t="shared" si="0"/>
        <v>0.31666666666666665</v>
      </c>
      <c r="I36" s="568">
        <v>5900</v>
      </c>
      <c r="J36" s="633">
        <v>295</v>
      </c>
      <c r="K36" s="634">
        <v>0</v>
      </c>
      <c r="L36" s="655">
        <f t="shared" si="6"/>
        <v>5900</v>
      </c>
      <c r="M36" s="655">
        <f t="shared" si="7"/>
        <v>13851.260273972603</v>
      </c>
      <c r="N36" s="655">
        <f t="shared" si="8"/>
        <v>295</v>
      </c>
      <c r="O36" s="655">
        <f t="shared" si="9"/>
        <v>295</v>
      </c>
    </row>
    <row r="37" spans="2:15" s="7" customFormat="1">
      <c r="B37" s="594">
        <v>35</v>
      </c>
      <c r="C37" s="630" t="s">
        <v>230</v>
      </c>
      <c r="D37" s="649">
        <v>41772</v>
      </c>
      <c r="E37" s="653">
        <v>44470</v>
      </c>
      <c r="F37" s="631">
        <f t="shared" si="5"/>
        <v>7.3917808219178083</v>
      </c>
      <c r="G37" s="635">
        <v>3</v>
      </c>
      <c r="H37" s="632">
        <f t="shared" si="0"/>
        <v>0.31666666666666665</v>
      </c>
      <c r="I37" s="568">
        <v>3500</v>
      </c>
      <c r="J37" s="633">
        <v>175</v>
      </c>
      <c r="K37" s="634">
        <v>0</v>
      </c>
      <c r="L37" s="655">
        <f t="shared" si="6"/>
        <v>3500</v>
      </c>
      <c r="M37" s="655">
        <f t="shared" si="7"/>
        <v>8192.5570776255699</v>
      </c>
      <c r="N37" s="655">
        <f t="shared" si="8"/>
        <v>175</v>
      </c>
      <c r="O37" s="655">
        <f t="shared" si="9"/>
        <v>175</v>
      </c>
    </row>
    <row r="38" spans="2:15" s="7" customFormat="1">
      <c r="B38" s="594">
        <v>36</v>
      </c>
      <c r="C38" s="630" t="s">
        <v>230</v>
      </c>
      <c r="D38" s="649">
        <v>41808</v>
      </c>
      <c r="E38" s="653">
        <v>44470</v>
      </c>
      <c r="F38" s="631">
        <f t="shared" si="5"/>
        <v>7.2931506849315069</v>
      </c>
      <c r="G38" s="635">
        <v>3</v>
      </c>
      <c r="H38" s="632">
        <f t="shared" si="0"/>
        <v>0.31666666666666665</v>
      </c>
      <c r="I38" s="568">
        <v>116400</v>
      </c>
      <c r="J38" s="633">
        <v>5820</v>
      </c>
      <c r="K38" s="634">
        <v>0</v>
      </c>
      <c r="L38" s="655">
        <f t="shared" si="6"/>
        <v>116400</v>
      </c>
      <c r="M38" s="655">
        <f t="shared" si="7"/>
        <v>268825.53424657532</v>
      </c>
      <c r="N38" s="655">
        <f t="shared" si="8"/>
        <v>5820</v>
      </c>
      <c r="O38" s="655">
        <f t="shared" si="9"/>
        <v>5820</v>
      </c>
    </row>
    <row r="39" spans="2:15" s="7" customFormat="1">
      <c r="B39" s="594">
        <v>37</v>
      </c>
      <c r="C39" s="630" t="s">
        <v>230</v>
      </c>
      <c r="D39" s="649">
        <v>41811</v>
      </c>
      <c r="E39" s="653">
        <v>44470</v>
      </c>
      <c r="F39" s="631">
        <f t="shared" si="5"/>
        <v>7.2849315068493148</v>
      </c>
      <c r="G39" s="635">
        <v>3</v>
      </c>
      <c r="H39" s="632">
        <f t="shared" si="0"/>
        <v>0.31666666666666665</v>
      </c>
      <c r="I39" s="568">
        <v>7100</v>
      </c>
      <c r="J39" s="633">
        <v>355</v>
      </c>
      <c r="K39" s="634">
        <v>0</v>
      </c>
      <c r="L39" s="655">
        <f t="shared" si="6"/>
        <v>7100</v>
      </c>
      <c r="M39" s="655">
        <f t="shared" si="7"/>
        <v>16378.954337899542</v>
      </c>
      <c r="N39" s="655">
        <f t="shared" si="8"/>
        <v>355</v>
      </c>
      <c r="O39" s="655">
        <f t="shared" si="9"/>
        <v>355</v>
      </c>
    </row>
    <row r="40" spans="2:15" s="7" customFormat="1">
      <c r="B40" s="594">
        <v>38</v>
      </c>
      <c r="C40" s="630" t="s">
        <v>230</v>
      </c>
      <c r="D40" s="649">
        <v>41950</v>
      </c>
      <c r="E40" s="653">
        <v>44470</v>
      </c>
      <c r="F40" s="631">
        <f t="shared" si="5"/>
        <v>6.904109589041096</v>
      </c>
      <c r="G40" s="635">
        <v>3</v>
      </c>
      <c r="H40" s="632">
        <f t="shared" si="0"/>
        <v>0.31666666666666665</v>
      </c>
      <c r="I40" s="568">
        <v>23890</v>
      </c>
      <c r="J40" s="633">
        <v>1194.5</v>
      </c>
      <c r="K40" s="634">
        <v>0</v>
      </c>
      <c r="L40" s="655">
        <f t="shared" si="6"/>
        <v>23890</v>
      </c>
      <c r="M40" s="655">
        <f t="shared" si="7"/>
        <v>52230.739726027401</v>
      </c>
      <c r="N40" s="655">
        <f t="shared" si="8"/>
        <v>1194.5</v>
      </c>
      <c r="O40" s="655">
        <f t="shared" si="9"/>
        <v>1194.5</v>
      </c>
    </row>
    <row r="41" spans="2:15" s="7" customFormat="1">
      <c r="B41" s="594">
        <v>39</v>
      </c>
      <c r="C41" s="630" t="s">
        <v>230</v>
      </c>
      <c r="D41" s="649">
        <v>41951</v>
      </c>
      <c r="E41" s="653">
        <v>44470</v>
      </c>
      <c r="F41" s="631">
        <f t="shared" si="5"/>
        <v>6.9013698630136986</v>
      </c>
      <c r="G41" s="635">
        <v>3</v>
      </c>
      <c r="H41" s="632">
        <f t="shared" si="0"/>
        <v>0.31666666666666665</v>
      </c>
      <c r="I41" s="568">
        <v>16800</v>
      </c>
      <c r="J41" s="633">
        <v>840</v>
      </c>
      <c r="K41" s="634">
        <v>0</v>
      </c>
      <c r="L41" s="655">
        <f t="shared" si="6"/>
        <v>16800</v>
      </c>
      <c r="M41" s="655">
        <f t="shared" si="7"/>
        <v>36715.287671232873</v>
      </c>
      <c r="N41" s="655">
        <f t="shared" si="8"/>
        <v>840</v>
      </c>
      <c r="O41" s="655">
        <f t="shared" si="9"/>
        <v>840</v>
      </c>
    </row>
    <row r="42" spans="2:15" s="7" customFormat="1">
      <c r="B42" s="594">
        <v>40</v>
      </c>
      <c r="C42" s="630" t="s">
        <v>234</v>
      </c>
      <c r="D42" s="649">
        <v>42242</v>
      </c>
      <c r="E42" s="653">
        <v>44470</v>
      </c>
      <c r="F42" s="631">
        <f t="shared" si="5"/>
        <v>6.1041095890410961</v>
      </c>
      <c r="G42" s="635">
        <v>3</v>
      </c>
      <c r="H42" s="632">
        <f t="shared" si="0"/>
        <v>0.31666666666666665</v>
      </c>
      <c r="I42" s="568">
        <v>7670</v>
      </c>
      <c r="J42" s="633">
        <v>383.5</v>
      </c>
      <c r="K42" s="634">
        <v>0</v>
      </c>
      <c r="L42" s="655">
        <f t="shared" si="6"/>
        <v>7670</v>
      </c>
      <c r="M42" s="655">
        <f t="shared" si="7"/>
        <v>14825.864840182649</v>
      </c>
      <c r="N42" s="655">
        <f t="shared" si="8"/>
        <v>383.5</v>
      </c>
      <c r="O42" s="655">
        <f t="shared" si="9"/>
        <v>383.5</v>
      </c>
    </row>
    <row r="43" spans="2:15" s="7" customFormat="1">
      <c r="B43" s="594">
        <v>41</v>
      </c>
      <c r="C43" s="630" t="s">
        <v>235</v>
      </c>
      <c r="D43" s="649">
        <v>42257</v>
      </c>
      <c r="E43" s="653">
        <v>44470</v>
      </c>
      <c r="F43" s="631">
        <f t="shared" si="5"/>
        <v>6.0630136986301366</v>
      </c>
      <c r="G43" s="635">
        <v>3</v>
      </c>
      <c r="H43" s="632">
        <f t="shared" si="0"/>
        <v>0.31666666666666665</v>
      </c>
      <c r="I43" s="568">
        <v>8138</v>
      </c>
      <c r="J43" s="633">
        <v>406.89999999999964</v>
      </c>
      <c r="K43" s="634">
        <v>0</v>
      </c>
      <c r="L43" s="655">
        <f t="shared" si="6"/>
        <v>8138</v>
      </c>
      <c r="M43" s="655">
        <f t="shared" si="7"/>
        <v>15624.588401826482</v>
      </c>
      <c r="N43" s="655">
        <f t="shared" si="8"/>
        <v>406.90000000000003</v>
      </c>
      <c r="O43" s="655">
        <f t="shared" si="9"/>
        <v>406.90000000000003</v>
      </c>
    </row>
    <row r="44" spans="2:15" s="7" customFormat="1">
      <c r="B44" s="594">
        <v>42</v>
      </c>
      <c r="C44" s="630" t="s">
        <v>235</v>
      </c>
      <c r="D44" s="649">
        <v>42275</v>
      </c>
      <c r="E44" s="653">
        <v>44470</v>
      </c>
      <c r="F44" s="631">
        <f t="shared" si="5"/>
        <v>6.0136986301369859</v>
      </c>
      <c r="G44" s="635">
        <v>3</v>
      </c>
      <c r="H44" s="632">
        <f t="shared" si="0"/>
        <v>0.31666666666666665</v>
      </c>
      <c r="I44" s="568">
        <v>17736</v>
      </c>
      <c r="J44" s="633">
        <v>886.79999999999927</v>
      </c>
      <c r="K44" s="634">
        <v>0</v>
      </c>
      <c r="L44" s="655">
        <f t="shared" si="6"/>
        <v>17736</v>
      </c>
      <c r="M44" s="655">
        <f t="shared" si="7"/>
        <v>33775.336986301365</v>
      </c>
      <c r="N44" s="655">
        <f t="shared" si="8"/>
        <v>886.80000000000007</v>
      </c>
      <c r="O44" s="655">
        <f t="shared" si="9"/>
        <v>886.80000000000007</v>
      </c>
    </row>
    <row r="45" spans="2:15" s="7" customFormat="1">
      <c r="B45" s="594">
        <v>43</v>
      </c>
      <c r="C45" s="630" t="s">
        <v>236</v>
      </c>
      <c r="D45" s="649">
        <v>42873</v>
      </c>
      <c r="E45" s="653">
        <v>44470</v>
      </c>
      <c r="F45" s="631">
        <f t="shared" si="5"/>
        <v>4.375342465753425</v>
      </c>
      <c r="G45" s="635">
        <v>3</v>
      </c>
      <c r="H45" s="632">
        <f t="shared" si="0"/>
        <v>0.31666666666666665</v>
      </c>
      <c r="I45" s="568">
        <v>31630</v>
      </c>
      <c r="J45" s="633">
        <v>1581.5</v>
      </c>
      <c r="K45" s="634">
        <v>0</v>
      </c>
      <c r="L45" s="655">
        <f t="shared" si="6"/>
        <v>31630</v>
      </c>
      <c r="M45" s="655">
        <f t="shared" si="7"/>
        <v>43824.159360730591</v>
      </c>
      <c r="N45" s="655">
        <f t="shared" si="8"/>
        <v>1581.5</v>
      </c>
      <c r="O45" s="655">
        <f t="shared" si="9"/>
        <v>1581.5</v>
      </c>
    </row>
    <row r="46" spans="2:15" s="7" customFormat="1">
      <c r="B46" s="594">
        <v>44</v>
      </c>
      <c r="C46" s="630" t="s">
        <v>237</v>
      </c>
      <c r="D46" s="649">
        <v>43470</v>
      </c>
      <c r="E46" s="653">
        <v>44470</v>
      </c>
      <c r="F46" s="631">
        <f t="shared" si="5"/>
        <v>2.7397260273972601</v>
      </c>
      <c r="G46" s="635">
        <v>3</v>
      </c>
      <c r="H46" s="632">
        <f t="shared" si="0"/>
        <v>0.31666666666666665</v>
      </c>
      <c r="I46" s="568">
        <v>36300</v>
      </c>
      <c r="J46" s="633">
        <v>10615.296847826088</v>
      </c>
      <c r="K46" s="634">
        <v>0</v>
      </c>
      <c r="L46" s="655">
        <f t="shared" si="6"/>
        <v>36300</v>
      </c>
      <c r="M46" s="655">
        <f t="shared" si="7"/>
        <v>31493.150684931505</v>
      </c>
      <c r="N46" s="655">
        <f t="shared" si="8"/>
        <v>4806.8493150684953</v>
      </c>
      <c r="O46" s="655">
        <f t="shared" si="9"/>
        <v>4326.164383561646</v>
      </c>
    </row>
    <row r="47" spans="2:15" s="7" customFormat="1">
      <c r="B47" s="594">
        <v>45</v>
      </c>
      <c r="C47" s="630" t="s">
        <v>237</v>
      </c>
      <c r="D47" s="649">
        <v>43514</v>
      </c>
      <c r="E47" s="653">
        <v>44470</v>
      </c>
      <c r="F47" s="631">
        <f t="shared" si="5"/>
        <v>2.6191780821917807</v>
      </c>
      <c r="G47" s="635">
        <v>3</v>
      </c>
      <c r="H47" s="632">
        <f t="shared" si="0"/>
        <v>0.31666666666666665</v>
      </c>
      <c r="I47" s="568">
        <v>16525</v>
      </c>
      <c r="J47" s="633">
        <v>5463.7553633720927</v>
      </c>
      <c r="K47" s="634">
        <v>0</v>
      </c>
      <c r="L47" s="655">
        <f t="shared" si="6"/>
        <v>16525</v>
      </c>
      <c r="M47" s="655">
        <f t="shared" si="7"/>
        <v>13705.940639269405</v>
      </c>
      <c r="N47" s="655">
        <f t="shared" si="8"/>
        <v>2819.0593607305946</v>
      </c>
      <c r="O47" s="655">
        <f t="shared" si="9"/>
        <v>2537.1534246575352</v>
      </c>
    </row>
    <row r="48" spans="2:15" s="7" customFormat="1">
      <c r="B48" s="594">
        <v>46</v>
      </c>
      <c r="C48" s="630" t="s">
        <v>238</v>
      </c>
      <c r="D48" s="649">
        <v>43543</v>
      </c>
      <c r="E48" s="653">
        <v>44470</v>
      </c>
      <c r="F48" s="631">
        <f t="shared" si="5"/>
        <v>2.5397260273972604</v>
      </c>
      <c r="G48" s="635">
        <v>3</v>
      </c>
      <c r="H48" s="632">
        <f t="shared" si="0"/>
        <v>0.31666666666666665</v>
      </c>
      <c r="I48" s="568">
        <v>13100</v>
      </c>
      <c r="J48" s="633">
        <v>4661.1674755927479</v>
      </c>
      <c r="K48" s="634">
        <v>0</v>
      </c>
      <c r="L48" s="655">
        <f t="shared" si="6"/>
        <v>13100</v>
      </c>
      <c r="M48" s="655">
        <f t="shared" si="7"/>
        <v>10535.630136986301</v>
      </c>
      <c r="N48" s="655">
        <f t="shared" si="8"/>
        <v>2564.3698630136987</v>
      </c>
      <c r="O48" s="655">
        <f t="shared" si="9"/>
        <v>2307.9328767123288</v>
      </c>
    </row>
    <row r="49" spans="2:15" s="7" customFormat="1">
      <c r="B49" s="594">
        <v>47</v>
      </c>
      <c r="C49" s="630" t="s">
        <v>239</v>
      </c>
      <c r="D49" s="649">
        <v>43432</v>
      </c>
      <c r="E49" s="653">
        <v>44470</v>
      </c>
      <c r="F49" s="631">
        <f t="shared" si="5"/>
        <v>2.8438356164383563</v>
      </c>
      <c r="G49" s="635">
        <v>3</v>
      </c>
      <c r="H49" s="632">
        <f t="shared" si="0"/>
        <v>0.31666666666666665</v>
      </c>
      <c r="I49" s="568">
        <v>22034</v>
      </c>
      <c r="J49" s="633">
        <v>5716.3210726072612</v>
      </c>
      <c r="K49" s="634">
        <v>0</v>
      </c>
      <c r="L49" s="655">
        <f t="shared" si="6"/>
        <v>22034</v>
      </c>
      <c r="M49" s="655">
        <f t="shared" si="7"/>
        <v>19842.673424657532</v>
      </c>
      <c r="N49" s="655">
        <f t="shared" si="8"/>
        <v>2191.3265753424675</v>
      </c>
      <c r="O49" s="655">
        <f t="shared" si="9"/>
        <v>1972.1939178082209</v>
      </c>
    </row>
    <row r="50" spans="2:15" s="7" customFormat="1">
      <c r="B50" s="594">
        <v>48</v>
      </c>
      <c r="C50" s="630" t="s">
        <v>239</v>
      </c>
      <c r="D50" s="649">
        <v>43510</v>
      </c>
      <c r="E50" s="653">
        <v>44470</v>
      </c>
      <c r="F50" s="631">
        <f t="shared" si="5"/>
        <v>2.6301369863013697</v>
      </c>
      <c r="G50" s="635">
        <v>3</v>
      </c>
      <c r="H50" s="632">
        <f t="shared" si="0"/>
        <v>0.31666666666666665</v>
      </c>
      <c r="I50" s="568">
        <v>20169.490000000002</v>
      </c>
      <c r="J50" s="633">
        <v>6598.7002229532172</v>
      </c>
      <c r="K50" s="634">
        <v>0</v>
      </c>
      <c r="L50" s="655">
        <f t="shared" si="6"/>
        <v>20169.490000000002</v>
      </c>
      <c r="M50" s="655">
        <f t="shared" si="7"/>
        <v>16798.698520547943</v>
      </c>
      <c r="N50" s="655">
        <f t="shared" si="8"/>
        <v>3370.7914794520584</v>
      </c>
      <c r="O50" s="655">
        <f t="shared" si="9"/>
        <v>3033.7123315068525</v>
      </c>
    </row>
    <row r="51" spans="2:15" s="7" customFormat="1">
      <c r="B51" s="594">
        <v>49</v>
      </c>
      <c r="C51" s="630" t="s">
        <v>239</v>
      </c>
      <c r="D51" s="649">
        <v>43510</v>
      </c>
      <c r="E51" s="653">
        <v>44470</v>
      </c>
      <c r="F51" s="631">
        <f t="shared" si="5"/>
        <v>2.6301369863013697</v>
      </c>
      <c r="G51" s="635">
        <v>3</v>
      </c>
      <c r="H51" s="632">
        <f t="shared" si="0"/>
        <v>0.31666666666666665</v>
      </c>
      <c r="I51" s="568">
        <v>20169.490000000002</v>
      </c>
      <c r="J51" s="633">
        <v>6598.7002229532172</v>
      </c>
      <c r="K51" s="634">
        <v>0</v>
      </c>
      <c r="L51" s="655">
        <f t="shared" si="6"/>
        <v>20169.490000000002</v>
      </c>
      <c r="M51" s="655">
        <f t="shared" si="7"/>
        <v>16798.698520547943</v>
      </c>
      <c r="N51" s="655">
        <f t="shared" si="8"/>
        <v>3370.7914794520584</v>
      </c>
      <c r="O51" s="655">
        <f t="shared" si="9"/>
        <v>3033.7123315068525</v>
      </c>
    </row>
    <row r="52" spans="2:15" s="7" customFormat="1">
      <c r="B52" s="594">
        <v>50</v>
      </c>
      <c r="C52" s="630" t="s">
        <v>240</v>
      </c>
      <c r="D52" s="649">
        <v>43509</v>
      </c>
      <c r="E52" s="653">
        <v>44470</v>
      </c>
      <c r="F52" s="631">
        <f t="shared" si="5"/>
        <v>2.6328767123287671</v>
      </c>
      <c r="G52" s="635">
        <v>3</v>
      </c>
      <c r="H52" s="632">
        <f t="shared" si="0"/>
        <v>0.31666666666666665</v>
      </c>
      <c r="I52" s="568">
        <v>7797</v>
      </c>
      <c r="J52" s="633">
        <v>2544.1160907759886</v>
      </c>
      <c r="K52" s="634">
        <v>0</v>
      </c>
      <c r="L52" s="655">
        <f t="shared" si="6"/>
        <v>7797</v>
      </c>
      <c r="M52" s="655">
        <f t="shared" si="7"/>
        <v>6500.704246575342</v>
      </c>
      <c r="N52" s="655">
        <f t="shared" si="8"/>
        <v>1296.295753424658</v>
      </c>
      <c r="O52" s="655">
        <f t="shared" si="9"/>
        <v>1166.6661780821921</v>
      </c>
    </row>
    <row r="53" spans="2:15" s="7" customFormat="1">
      <c r="B53" s="594">
        <v>51</v>
      </c>
      <c r="C53" s="630" t="s">
        <v>240</v>
      </c>
      <c r="D53" s="649">
        <v>43523</v>
      </c>
      <c r="E53" s="653">
        <v>44470</v>
      </c>
      <c r="F53" s="631">
        <f t="shared" si="5"/>
        <v>2.5945205479452054</v>
      </c>
      <c r="G53" s="635">
        <v>3</v>
      </c>
      <c r="H53" s="632">
        <f t="shared" si="0"/>
        <v>0.31666666666666665</v>
      </c>
      <c r="I53" s="568">
        <v>8630</v>
      </c>
      <c r="J53" s="633">
        <v>2920.8236154949786</v>
      </c>
      <c r="K53" s="634">
        <v>0</v>
      </c>
      <c r="L53" s="655">
        <f t="shared" si="6"/>
        <v>8630</v>
      </c>
      <c r="M53" s="655">
        <f t="shared" si="7"/>
        <v>7090.3922374429212</v>
      </c>
      <c r="N53" s="655">
        <f t="shared" si="8"/>
        <v>1539.6077625570788</v>
      </c>
      <c r="O53" s="655">
        <f t="shared" si="9"/>
        <v>1385.646986301371</v>
      </c>
    </row>
    <row r="54" spans="2:15" s="7" customFormat="1">
      <c r="B54" s="594">
        <v>52</v>
      </c>
      <c r="C54" s="630" t="s">
        <v>241</v>
      </c>
      <c r="D54" s="649">
        <v>43555</v>
      </c>
      <c r="E54" s="653">
        <v>44470</v>
      </c>
      <c r="F54" s="631">
        <f t="shared" si="5"/>
        <v>2.506849315068493</v>
      </c>
      <c r="G54" s="635">
        <v>3</v>
      </c>
      <c r="H54" s="632">
        <f t="shared" si="0"/>
        <v>0.31666666666666665</v>
      </c>
      <c r="I54" s="568">
        <v>31000</v>
      </c>
      <c r="J54" s="633">
        <v>11353.199067215364</v>
      </c>
      <c r="K54" s="634">
        <v>0</v>
      </c>
      <c r="L54" s="655">
        <f t="shared" si="6"/>
        <v>31000</v>
      </c>
      <c r="M54" s="655">
        <f t="shared" si="7"/>
        <v>24608.904109589039</v>
      </c>
      <c r="N54" s="655">
        <f t="shared" si="8"/>
        <v>6391.0958904109611</v>
      </c>
      <c r="O54" s="655">
        <f t="shared" si="9"/>
        <v>5751.986301369865</v>
      </c>
    </row>
    <row r="55" spans="2:15" s="7" customFormat="1" ht="26.25">
      <c r="B55" s="594">
        <v>53</v>
      </c>
      <c r="C55" s="630" t="s">
        <v>242</v>
      </c>
      <c r="D55" s="649">
        <v>43556</v>
      </c>
      <c r="E55" s="653">
        <v>44470</v>
      </c>
      <c r="F55" s="631">
        <f t="shared" si="5"/>
        <v>2.504109589041096</v>
      </c>
      <c r="G55" s="635">
        <v>3</v>
      </c>
      <c r="H55" s="632">
        <f t="shared" si="0"/>
        <v>0.31666666666666665</v>
      </c>
      <c r="I55" s="568">
        <v>29850</v>
      </c>
      <c r="J55" s="633">
        <v>10945</v>
      </c>
      <c r="K55" s="634">
        <v>0</v>
      </c>
      <c r="L55" s="655">
        <f t="shared" si="6"/>
        <v>29850</v>
      </c>
      <c r="M55" s="655">
        <f t="shared" si="7"/>
        <v>23670.095890410961</v>
      </c>
      <c r="N55" s="655">
        <f t="shared" si="8"/>
        <v>6179.9041095890389</v>
      </c>
      <c r="O55" s="655">
        <f t="shared" si="9"/>
        <v>5561.9136986301355</v>
      </c>
    </row>
    <row r="56" spans="2:15" s="7" customFormat="1" ht="26.25">
      <c r="B56" s="594">
        <v>54</v>
      </c>
      <c r="C56" s="630" t="s">
        <v>243</v>
      </c>
      <c r="D56" s="649">
        <v>43556</v>
      </c>
      <c r="E56" s="653">
        <v>44470</v>
      </c>
      <c r="F56" s="631">
        <f t="shared" si="5"/>
        <v>2.504109589041096</v>
      </c>
      <c r="G56" s="635">
        <v>3</v>
      </c>
      <c r="H56" s="632">
        <f t="shared" si="0"/>
        <v>0.31666666666666665</v>
      </c>
      <c r="I56" s="568">
        <v>7100</v>
      </c>
      <c r="J56" s="633">
        <v>2603.335</v>
      </c>
      <c r="K56" s="634">
        <v>0</v>
      </c>
      <c r="L56" s="655">
        <f t="shared" si="6"/>
        <v>7100</v>
      </c>
      <c r="M56" s="655">
        <f t="shared" si="7"/>
        <v>5630.0730593607304</v>
      </c>
      <c r="N56" s="655">
        <f t="shared" si="8"/>
        <v>1469.9269406392696</v>
      </c>
      <c r="O56" s="655">
        <f t="shared" si="9"/>
        <v>1322.9342465753427</v>
      </c>
    </row>
    <row r="57" spans="2:15" s="7" customFormat="1" ht="26.25">
      <c r="B57" s="594">
        <v>55</v>
      </c>
      <c r="C57" s="630" t="s">
        <v>244</v>
      </c>
      <c r="D57" s="649">
        <v>43556</v>
      </c>
      <c r="E57" s="653">
        <v>44470</v>
      </c>
      <c r="F57" s="631">
        <f t="shared" si="5"/>
        <v>2.504109589041096</v>
      </c>
      <c r="G57" s="635">
        <v>3</v>
      </c>
      <c r="H57" s="632">
        <f t="shared" si="0"/>
        <v>0.31666666666666665</v>
      </c>
      <c r="I57" s="568">
        <v>44900</v>
      </c>
      <c r="J57" s="633">
        <v>16463.334999999999</v>
      </c>
      <c r="K57" s="634">
        <v>0</v>
      </c>
      <c r="L57" s="655">
        <f t="shared" si="6"/>
        <v>44900</v>
      </c>
      <c r="M57" s="655">
        <f t="shared" si="7"/>
        <v>35604.264840182652</v>
      </c>
      <c r="N57" s="655">
        <f t="shared" si="8"/>
        <v>9295.7351598173482</v>
      </c>
      <c r="O57" s="655">
        <f t="shared" si="9"/>
        <v>8366.1616438356141</v>
      </c>
    </row>
    <row r="58" spans="2:15" s="7" customFormat="1">
      <c r="B58" s="594">
        <v>56</v>
      </c>
      <c r="C58" s="630" t="s">
        <v>245</v>
      </c>
      <c r="D58" s="649">
        <v>43607</v>
      </c>
      <c r="E58" s="653">
        <v>44470</v>
      </c>
      <c r="F58" s="631">
        <f t="shared" si="5"/>
        <v>2.3643835616438356</v>
      </c>
      <c r="G58" s="635">
        <v>3</v>
      </c>
      <c r="H58" s="632">
        <f t="shared" si="0"/>
        <v>0.31666666666666665</v>
      </c>
      <c r="I58" s="568">
        <v>43500</v>
      </c>
      <c r="J58" s="633">
        <v>17871.926402048655</v>
      </c>
      <c r="K58" s="634">
        <v>0</v>
      </c>
      <c r="L58" s="655">
        <f t="shared" si="6"/>
        <v>43500</v>
      </c>
      <c r="M58" s="655">
        <f t="shared" si="7"/>
        <v>32569.383561643837</v>
      </c>
      <c r="N58" s="655">
        <f t="shared" si="8"/>
        <v>10930.616438356163</v>
      </c>
      <c r="O58" s="655">
        <f t="shared" si="9"/>
        <v>9837.5547945205471</v>
      </c>
    </row>
    <row r="59" spans="2:15" s="7" customFormat="1">
      <c r="B59" s="594">
        <v>57</v>
      </c>
      <c r="C59" s="630" t="s">
        <v>246</v>
      </c>
      <c r="D59" s="649">
        <v>43631</v>
      </c>
      <c r="E59" s="653">
        <v>44470</v>
      </c>
      <c r="F59" s="631">
        <f t="shared" si="5"/>
        <v>2.2986301369863016</v>
      </c>
      <c r="G59" s="635">
        <v>3</v>
      </c>
      <c r="H59" s="632">
        <f t="shared" si="0"/>
        <v>0.31666666666666665</v>
      </c>
      <c r="I59" s="568">
        <v>141357</v>
      </c>
      <c r="J59" s="633">
        <v>61015.052981366454</v>
      </c>
      <c r="K59" s="634">
        <v>0</v>
      </c>
      <c r="L59" s="655">
        <f t="shared" si="6"/>
        <v>141357</v>
      </c>
      <c r="M59" s="655">
        <f t="shared" si="7"/>
        <v>102893.69575342466</v>
      </c>
      <c r="N59" s="655">
        <f t="shared" si="8"/>
        <v>38463.304246575339</v>
      </c>
      <c r="O59" s="655">
        <f t="shared" si="9"/>
        <v>34616.973821917803</v>
      </c>
    </row>
    <row r="60" spans="2:15" s="7" customFormat="1">
      <c r="B60" s="594">
        <v>58</v>
      </c>
      <c r="C60" s="630" t="s">
        <v>246</v>
      </c>
      <c r="D60" s="649">
        <v>43643</v>
      </c>
      <c r="E60" s="653">
        <v>44470</v>
      </c>
      <c r="F60" s="631">
        <f t="shared" si="5"/>
        <v>2.2657534246575342</v>
      </c>
      <c r="G60" s="635">
        <v>3</v>
      </c>
      <c r="H60" s="632">
        <f t="shared" si="0"/>
        <v>0.31666666666666665</v>
      </c>
      <c r="I60" s="568">
        <v>114830.58</v>
      </c>
      <c r="J60" s="633">
        <v>50758.793200734392</v>
      </c>
      <c r="K60" s="634">
        <v>0</v>
      </c>
      <c r="L60" s="655">
        <f t="shared" si="6"/>
        <v>114830.58</v>
      </c>
      <c r="M60" s="655">
        <f t="shared" si="7"/>
        <v>82389.630298630131</v>
      </c>
      <c r="N60" s="655">
        <f t="shared" si="8"/>
        <v>32440.949701369871</v>
      </c>
      <c r="O60" s="655">
        <f t="shared" si="9"/>
        <v>29196.854731232885</v>
      </c>
    </row>
    <row r="61" spans="2:15" s="7" customFormat="1" ht="26.25">
      <c r="B61" s="594">
        <v>59</v>
      </c>
      <c r="C61" s="630" t="s">
        <v>247</v>
      </c>
      <c r="D61" s="649">
        <v>43669</v>
      </c>
      <c r="E61" s="653">
        <v>44470</v>
      </c>
      <c r="F61" s="631">
        <f t="shared" si="5"/>
        <v>2.1945205479452055</v>
      </c>
      <c r="G61" s="635">
        <v>3</v>
      </c>
      <c r="H61" s="632">
        <f t="shared" si="0"/>
        <v>0.31666666666666665</v>
      </c>
      <c r="I61" s="568">
        <v>50000</v>
      </c>
      <c r="J61" s="633">
        <v>23227.565599051006</v>
      </c>
      <c r="K61" s="634">
        <v>0</v>
      </c>
      <c r="L61" s="655">
        <f t="shared" si="6"/>
        <v>50000</v>
      </c>
      <c r="M61" s="655">
        <f t="shared" si="7"/>
        <v>34746.575342465752</v>
      </c>
      <c r="N61" s="655">
        <f t="shared" si="8"/>
        <v>15253.424657534248</v>
      </c>
      <c r="O61" s="655">
        <f t="shared" si="9"/>
        <v>13728.082191780823</v>
      </c>
    </row>
    <row r="62" spans="2:15" s="7" customFormat="1" ht="26.25">
      <c r="B62" s="594">
        <v>60</v>
      </c>
      <c r="C62" s="630" t="s">
        <v>248</v>
      </c>
      <c r="D62" s="649">
        <v>43669</v>
      </c>
      <c r="E62" s="653">
        <v>44470</v>
      </c>
      <c r="F62" s="631">
        <f t="shared" si="5"/>
        <v>2.1945205479452055</v>
      </c>
      <c r="G62" s="635">
        <v>3</v>
      </c>
      <c r="H62" s="632">
        <f t="shared" si="0"/>
        <v>0.31666666666666665</v>
      </c>
      <c r="I62" s="568">
        <v>81457.02</v>
      </c>
      <c r="J62" s="633">
        <v>37840.964810201665</v>
      </c>
      <c r="K62" s="634">
        <v>0</v>
      </c>
      <c r="L62" s="655">
        <f t="shared" si="6"/>
        <v>81457.02</v>
      </c>
      <c r="M62" s="655">
        <f t="shared" si="7"/>
        <v>56607.049652054797</v>
      </c>
      <c r="N62" s="655">
        <f t="shared" si="8"/>
        <v>24849.970347945207</v>
      </c>
      <c r="O62" s="655">
        <f t="shared" si="9"/>
        <v>22364.973313150687</v>
      </c>
    </row>
    <row r="63" spans="2:15" s="7" customFormat="1">
      <c r="B63" s="594">
        <v>61</v>
      </c>
      <c r="C63" s="630" t="s">
        <v>249</v>
      </c>
      <c r="D63" s="649">
        <v>43669</v>
      </c>
      <c r="E63" s="653">
        <v>44470</v>
      </c>
      <c r="F63" s="631">
        <f t="shared" si="5"/>
        <v>2.1945205479452055</v>
      </c>
      <c r="G63" s="635">
        <v>3</v>
      </c>
      <c r="H63" s="632">
        <f t="shared" si="0"/>
        <v>0.31666666666666665</v>
      </c>
      <c r="I63" s="568">
        <v>16101.68</v>
      </c>
      <c r="J63" s="633">
        <v>7480.054045077105</v>
      </c>
      <c r="K63" s="634">
        <v>0</v>
      </c>
      <c r="L63" s="655">
        <f t="shared" si="6"/>
        <v>16101.68</v>
      </c>
      <c r="M63" s="655">
        <f t="shared" si="7"/>
        <v>11189.56474520548</v>
      </c>
      <c r="N63" s="655">
        <f t="shared" si="8"/>
        <v>4912.1152547945203</v>
      </c>
      <c r="O63" s="655">
        <f t="shared" si="9"/>
        <v>4420.9037293150686</v>
      </c>
    </row>
    <row r="64" spans="2:15" s="7" customFormat="1">
      <c r="B64" s="594">
        <v>62</v>
      </c>
      <c r="C64" s="630" t="s">
        <v>250</v>
      </c>
      <c r="D64" s="649">
        <v>43669</v>
      </c>
      <c r="E64" s="653">
        <v>44470</v>
      </c>
      <c r="F64" s="631">
        <f t="shared" si="5"/>
        <v>2.1945205479452055</v>
      </c>
      <c r="G64" s="635">
        <v>3</v>
      </c>
      <c r="H64" s="632">
        <f t="shared" si="0"/>
        <v>0.31666666666666665</v>
      </c>
      <c r="I64" s="568">
        <v>6228.79</v>
      </c>
      <c r="J64" s="633">
        <v>2893.5923813760378</v>
      </c>
      <c r="K64" s="634">
        <v>0</v>
      </c>
      <c r="L64" s="655">
        <f t="shared" si="6"/>
        <v>6228.79</v>
      </c>
      <c r="M64" s="655">
        <f t="shared" si="7"/>
        <v>4328.5824205479448</v>
      </c>
      <c r="N64" s="655">
        <f t="shared" si="8"/>
        <v>1900.2075794520551</v>
      </c>
      <c r="O64" s="655">
        <f t="shared" si="9"/>
        <v>1710.1868215068496</v>
      </c>
    </row>
    <row r="65" spans="2:15" s="7" customFormat="1">
      <c r="B65" s="594">
        <v>63</v>
      </c>
      <c r="C65" s="630" t="s">
        <v>251</v>
      </c>
      <c r="D65" s="649">
        <v>43669</v>
      </c>
      <c r="E65" s="653">
        <v>44470</v>
      </c>
      <c r="F65" s="631">
        <f t="shared" si="5"/>
        <v>2.1945205479452055</v>
      </c>
      <c r="G65" s="635">
        <v>3</v>
      </c>
      <c r="H65" s="632">
        <f t="shared" si="0"/>
        <v>0.31666666666666665</v>
      </c>
      <c r="I65" s="568">
        <v>2372.88</v>
      </c>
      <c r="J65" s="633">
        <v>1102.3237722419929</v>
      </c>
      <c r="K65" s="634">
        <v>0</v>
      </c>
      <c r="L65" s="655">
        <f t="shared" si="6"/>
        <v>2372.88</v>
      </c>
      <c r="M65" s="655">
        <f t="shared" si="7"/>
        <v>1648.9890739726027</v>
      </c>
      <c r="N65" s="655">
        <f t="shared" si="8"/>
        <v>723.89092602739743</v>
      </c>
      <c r="O65" s="655">
        <f t="shared" si="9"/>
        <v>651.50183342465766</v>
      </c>
    </row>
    <row r="66" spans="2:15" s="7" customFormat="1">
      <c r="B66" s="594">
        <v>64</v>
      </c>
      <c r="C66" s="630" t="s">
        <v>252</v>
      </c>
      <c r="D66" s="649">
        <v>43700</v>
      </c>
      <c r="E66" s="653">
        <v>44470</v>
      </c>
      <c r="F66" s="631">
        <f t="shared" si="5"/>
        <v>2.1095890410958904</v>
      </c>
      <c r="G66" s="635">
        <v>3</v>
      </c>
      <c r="H66" s="632">
        <f t="shared" si="0"/>
        <v>0.31666666666666665</v>
      </c>
      <c r="I66" s="568">
        <v>38474</v>
      </c>
      <c r="J66" s="633">
        <v>18906.100629290617</v>
      </c>
      <c r="K66" s="634">
        <v>0</v>
      </c>
      <c r="L66" s="655">
        <f t="shared" si="6"/>
        <v>38474</v>
      </c>
      <c r="M66" s="655">
        <f t="shared" si="7"/>
        <v>25702.037442922374</v>
      </c>
      <c r="N66" s="655">
        <f t="shared" si="8"/>
        <v>12771.962557077626</v>
      </c>
      <c r="O66" s="655">
        <f t="shared" si="9"/>
        <v>11494.766301369864</v>
      </c>
    </row>
    <row r="67" spans="2:15" s="7" customFormat="1">
      <c r="B67" s="594">
        <v>65</v>
      </c>
      <c r="C67" s="630" t="s">
        <v>253</v>
      </c>
      <c r="D67" s="649">
        <v>43783</v>
      </c>
      <c r="E67" s="653">
        <v>44470</v>
      </c>
      <c r="F67" s="631">
        <f t="shared" si="5"/>
        <v>1.8821917808219177</v>
      </c>
      <c r="G67" s="635">
        <v>3</v>
      </c>
      <c r="H67" s="632">
        <f t="shared" ref="H67:H80" si="10">(95/G67/100)</f>
        <v>0.31666666666666665</v>
      </c>
      <c r="I67" s="568">
        <v>72750</v>
      </c>
      <c r="J67" s="633">
        <v>40978.218578892367</v>
      </c>
      <c r="K67" s="634">
        <v>0</v>
      </c>
      <c r="L67" s="655">
        <f t="shared" si="6"/>
        <v>72750</v>
      </c>
      <c r="M67" s="655">
        <f t="shared" si="7"/>
        <v>43360.993150684924</v>
      </c>
      <c r="N67" s="655">
        <f t="shared" si="8"/>
        <v>29389.006849315076</v>
      </c>
      <c r="O67" s="655">
        <f t="shared" si="9"/>
        <v>26450.106164383567</v>
      </c>
    </row>
    <row r="68" spans="2:15" s="7" customFormat="1" ht="26.25">
      <c r="B68" s="594">
        <v>66</v>
      </c>
      <c r="C68" s="630" t="s">
        <v>254</v>
      </c>
      <c r="D68" s="649">
        <v>43816</v>
      </c>
      <c r="E68" s="653">
        <v>44470</v>
      </c>
      <c r="F68" s="631">
        <f t="shared" ref="F68:F80" si="11">(E68-D68)/365</f>
        <v>1.7917808219178082</v>
      </c>
      <c r="G68" s="635">
        <v>3</v>
      </c>
      <c r="H68" s="632">
        <f t="shared" si="10"/>
        <v>0.31666666666666665</v>
      </c>
      <c r="I68" s="568">
        <v>0</v>
      </c>
      <c r="J68" s="633">
        <v>0</v>
      </c>
      <c r="K68" s="634">
        <v>0</v>
      </c>
      <c r="L68" s="655">
        <f t="shared" si="6"/>
        <v>0</v>
      </c>
      <c r="M68" s="655">
        <f t="shared" si="7"/>
        <v>0</v>
      </c>
      <c r="N68" s="655">
        <f t="shared" si="8"/>
        <v>0</v>
      </c>
      <c r="O68" s="655">
        <f t="shared" si="9"/>
        <v>0</v>
      </c>
    </row>
    <row r="69" spans="2:15" s="7" customFormat="1" ht="26.25">
      <c r="B69" s="594">
        <v>67</v>
      </c>
      <c r="C69" s="630" t="s">
        <v>255</v>
      </c>
      <c r="D69" s="649">
        <v>43857</v>
      </c>
      <c r="E69" s="653">
        <v>44470</v>
      </c>
      <c r="F69" s="631">
        <f t="shared" si="11"/>
        <v>1.6794520547945206</v>
      </c>
      <c r="G69" s="635">
        <v>3</v>
      </c>
      <c r="H69" s="632">
        <f t="shared" si="10"/>
        <v>0.31666666666666665</v>
      </c>
      <c r="I69" s="568">
        <v>9100</v>
      </c>
      <c r="J69" s="633">
        <v>5708.8614742967984</v>
      </c>
      <c r="K69" s="634">
        <v>0</v>
      </c>
      <c r="L69" s="655">
        <f t="shared" si="6"/>
        <v>9100</v>
      </c>
      <c r="M69" s="655">
        <f t="shared" si="7"/>
        <v>4839.6210045662101</v>
      </c>
      <c r="N69" s="655">
        <f t="shared" si="8"/>
        <v>4260.3789954337899</v>
      </c>
      <c r="O69" s="655">
        <f t="shared" si="9"/>
        <v>3834.341095890411</v>
      </c>
    </row>
    <row r="70" spans="2:15" s="7" customFormat="1" ht="39">
      <c r="B70" s="594">
        <v>68</v>
      </c>
      <c r="C70" s="630" t="s">
        <v>256</v>
      </c>
      <c r="D70" s="649">
        <v>43857</v>
      </c>
      <c r="E70" s="653">
        <v>44470</v>
      </c>
      <c r="F70" s="631">
        <f t="shared" si="11"/>
        <v>1.6794520547945206</v>
      </c>
      <c r="G70" s="635">
        <v>3</v>
      </c>
      <c r="H70" s="632">
        <f t="shared" si="10"/>
        <v>0.31666666666666665</v>
      </c>
      <c r="I70" s="568">
        <v>19067.79</v>
      </c>
      <c r="J70" s="633">
        <v>11962.124352570321</v>
      </c>
      <c r="K70" s="634">
        <v>0</v>
      </c>
      <c r="L70" s="655">
        <f t="shared" si="6"/>
        <v>19067.79</v>
      </c>
      <c r="M70" s="655">
        <f t="shared" si="7"/>
        <v>10140.755713698631</v>
      </c>
      <c r="N70" s="655">
        <f t="shared" si="8"/>
        <v>8927.0342863013702</v>
      </c>
      <c r="O70" s="655">
        <f t="shared" si="9"/>
        <v>8034.3308576712334</v>
      </c>
    </row>
    <row r="71" spans="2:15" s="7" customFormat="1">
      <c r="B71" s="594">
        <v>69</v>
      </c>
      <c r="C71" s="630" t="s">
        <v>257</v>
      </c>
      <c r="D71" s="649">
        <v>43861</v>
      </c>
      <c r="E71" s="653">
        <v>44470</v>
      </c>
      <c r="F71" s="631">
        <f t="shared" si="11"/>
        <v>1.6684931506849314</v>
      </c>
      <c r="G71" s="635">
        <v>3</v>
      </c>
      <c r="H71" s="632">
        <f t="shared" si="10"/>
        <v>0.31666666666666665</v>
      </c>
      <c r="I71" s="568">
        <v>3474</v>
      </c>
      <c r="J71" s="633">
        <v>2191.4357487922707</v>
      </c>
      <c r="K71" s="634">
        <v>0</v>
      </c>
      <c r="L71" s="655">
        <f t="shared" si="6"/>
        <v>3474</v>
      </c>
      <c r="M71" s="655">
        <f t="shared" si="7"/>
        <v>1835.5093150684929</v>
      </c>
      <c r="N71" s="655">
        <f t="shared" si="8"/>
        <v>1638.4906849315071</v>
      </c>
      <c r="O71" s="655">
        <f t="shared" si="9"/>
        <v>1474.6416164383563</v>
      </c>
    </row>
    <row r="72" spans="2:15" s="7" customFormat="1" ht="26.25">
      <c r="B72" s="594">
        <v>70</v>
      </c>
      <c r="C72" s="630" t="s">
        <v>254</v>
      </c>
      <c r="D72" s="649">
        <v>43861</v>
      </c>
      <c r="E72" s="653">
        <v>44470</v>
      </c>
      <c r="F72" s="631">
        <f t="shared" si="11"/>
        <v>1.6684931506849314</v>
      </c>
      <c r="G72" s="635">
        <v>3</v>
      </c>
      <c r="H72" s="632">
        <f t="shared" si="10"/>
        <v>0.31666666666666665</v>
      </c>
      <c r="I72" s="568">
        <v>11016</v>
      </c>
      <c r="J72" s="633">
        <v>6949.0086956521736</v>
      </c>
      <c r="K72" s="634">
        <v>0</v>
      </c>
      <c r="L72" s="655">
        <f t="shared" si="6"/>
        <v>11016</v>
      </c>
      <c r="M72" s="655">
        <f t="shared" si="7"/>
        <v>5820.3715068493148</v>
      </c>
      <c r="N72" s="655">
        <f t="shared" si="8"/>
        <v>5195.6284931506852</v>
      </c>
      <c r="O72" s="655">
        <f t="shared" si="9"/>
        <v>4676.0656438356173</v>
      </c>
    </row>
    <row r="73" spans="2:15" s="7" customFormat="1" ht="26.25">
      <c r="B73" s="594">
        <v>71</v>
      </c>
      <c r="C73" s="630" t="s">
        <v>258</v>
      </c>
      <c r="D73" s="649">
        <v>43861</v>
      </c>
      <c r="E73" s="653">
        <v>44470</v>
      </c>
      <c r="F73" s="631">
        <f t="shared" si="11"/>
        <v>1.6684931506849314</v>
      </c>
      <c r="G73" s="635">
        <v>3</v>
      </c>
      <c r="H73" s="632">
        <f t="shared" si="10"/>
        <v>0.31666666666666665</v>
      </c>
      <c r="I73" s="568">
        <v>38700</v>
      </c>
      <c r="J73" s="633">
        <v>24412.367149758455</v>
      </c>
      <c r="K73" s="634">
        <v>0</v>
      </c>
      <c r="L73" s="655">
        <f t="shared" si="6"/>
        <v>38700</v>
      </c>
      <c r="M73" s="655">
        <f t="shared" si="7"/>
        <v>20447.383561643834</v>
      </c>
      <c r="N73" s="655">
        <f t="shared" si="8"/>
        <v>18252.616438356166</v>
      </c>
      <c r="O73" s="655">
        <f t="shared" si="9"/>
        <v>16427.35479452055</v>
      </c>
    </row>
    <row r="74" spans="2:15" s="7" customFormat="1" ht="26.25">
      <c r="B74" s="594">
        <v>72</v>
      </c>
      <c r="C74" s="630" t="s">
        <v>259</v>
      </c>
      <c r="D74" s="649">
        <v>43868</v>
      </c>
      <c r="E74" s="653">
        <v>44470</v>
      </c>
      <c r="F74" s="631">
        <f t="shared" si="11"/>
        <v>1.6493150684931508</v>
      </c>
      <c r="G74" s="635">
        <v>3</v>
      </c>
      <c r="H74" s="632">
        <f t="shared" si="10"/>
        <v>0.31666666666666665</v>
      </c>
      <c r="I74" s="568">
        <v>9495</v>
      </c>
      <c r="J74" s="633">
        <v>6047.0902207293657</v>
      </c>
      <c r="K74" s="634">
        <v>0</v>
      </c>
      <c r="L74" s="655">
        <f t="shared" si="6"/>
        <v>9495</v>
      </c>
      <c r="M74" s="655">
        <f t="shared" si="7"/>
        <v>4959.0780821917806</v>
      </c>
      <c r="N74" s="655">
        <f t="shared" si="8"/>
        <v>4535.9219178082194</v>
      </c>
      <c r="O74" s="655">
        <f t="shared" si="9"/>
        <v>4082.3297260273976</v>
      </c>
    </row>
    <row r="75" spans="2:15" s="7" customFormat="1">
      <c r="B75" s="594">
        <v>73</v>
      </c>
      <c r="C75" s="630" t="s">
        <v>260</v>
      </c>
      <c r="D75" s="649">
        <v>43873</v>
      </c>
      <c r="E75" s="653">
        <v>44470</v>
      </c>
      <c r="F75" s="631">
        <f t="shared" si="11"/>
        <v>1.6356164383561644</v>
      </c>
      <c r="G75" s="635">
        <v>3</v>
      </c>
      <c r="H75" s="632">
        <f t="shared" si="10"/>
        <v>0.31666666666666665</v>
      </c>
      <c r="I75" s="568">
        <v>16750</v>
      </c>
      <c r="J75" s="633">
        <v>10740.100916905445</v>
      </c>
      <c r="K75" s="634">
        <v>0</v>
      </c>
      <c r="L75" s="655">
        <f t="shared" si="6"/>
        <v>16750</v>
      </c>
      <c r="M75" s="655">
        <f t="shared" si="7"/>
        <v>8675.5821917808207</v>
      </c>
      <c r="N75" s="655">
        <f t="shared" si="8"/>
        <v>8074.4178082191793</v>
      </c>
      <c r="O75" s="655">
        <f t="shared" si="9"/>
        <v>7266.9760273972615</v>
      </c>
    </row>
    <row r="76" spans="2:15" s="7" customFormat="1">
      <c r="B76" s="594">
        <v>74</v>
      </c>
      <c r="C76" s="630" t="s">
        <v>245</v>
      </c>
      <c r="D76" s="649">
        <v>43873</v>
      </c>
      <c r="E76" s="653">
        <v>44470</v>
      </c>
      <c r="F76" s="631">
        <f t="shared" si="11"/>
        <v>1.6356164383561644</v>
      </c>
      <c r="G76" s="635">
        <v>3</v>
      </c>
      <c r="H76" s="632">
        <f t="shared" si="10"/>
        <v>0.31666666666666665</v>
      </c>
      <c r="I76" s="568">
        <v>1525</v>
      </c>
      <c r="J76" s="633">
        <v>977.83185291308496</v>
      </c>
      <c r="K76" s="634">
        <v>0</v>
      </c>
      <c r="L76" s="655">
        <f t="shared" si="6"/>
        <v>1525</v>
      </c>
      <c r="M76" s="655">
        <f t="shared" si="7"/>
        <v>789.86643835616428</v>
      </c>
      <c r="N76" s="655">
        <f t="shared" si="8"/>
        <v>735.13356164383572</v>
      </c>
      <c r="O76" s="655">
        <f t="shared" si="9"/>
        <v>661.62020547945212</v>
      </c>
    </row>
    <row r="77" spans="2:15" s="7" customFormat="1">
      <c r="B77" s="594">
        <v>75</v>
      </c>
      <c r="C77" s="630" t="s">
        <v>261</v>
      </c>
      <c r="D77" s="649">
        <v>43887</v>
      </c>
      <c r="E77" s="653">
        <v>44470</v>
      </c>
      <c r="F77" s="631">
        <f t="shared" si="11"/>
        <v>1.5972602739726027</v>
      </c>
      <c r="G77" s="635">
        <v>3</v>
      </c>
      <c r="H77" s="632">
        <f t="shared" si="10"/>
        <v>0.31666666666666665</v>
      </c>
      <c r="I77" s="568">
        <v>31800</v>
      </c>
      <c r="J77" s="633">
        <v>20775.604071630536</v>
      </c>
      <c r="K77" s="634">
        <v>0</v>
      </c>
      <c r="L77" s="655">
        <f t="shared" si="6"/>
        <v>31800</v>
      </c>
      <c r="M77" s="655">
        <f t="shared" si="7"/>
        <v>16084.410958904107</v>
      </c>
      <c r="N77" s="655">
        <f t="shared" si="8"/>
        <v>15715.589041095893</v>
      </c>
      <c r="O77" s="655">
        <f t="shared" si="9"/>
        <v>14144.030136986305</v>
      </c>
    </row>
    <row r="78" spans="2:15" s="7" customFormat="1">
      <c r="B78" s="594">
        <v>76</v>
      </c>
      <c r="C78" s="630" t="s">
        <v>262</v>
      </c>
      <c r="D78" s="649">
        <v>43891</v>
      </c>
      <c r="E78" s="653">
        <v>44470</v>
      </c>
      <c r="F78" s="631">
        <f t="shared" si="11"/>
        <v>1.5863013698630137</v>
      </c>
      <c r="G78" s="635">
        <v>3</v>
      </c>
      <c r="H78" s="632">
        <f t="shared" si="10"/>
        <v>0.31666666666666665</v>
      </c>
      <c r="I78" s="568">
        <v>38844.080000000002</v>
      </c>
      <c r="J78" s="633">
        <v>25512.167568075118</v>
      </c>
      <c r="K78" s="634">
        <v>0</v>
      </c>
      <c r="L78" s="655">
        <f t="shared" si="6"/>
        <v>38844.080000000002</v>
      </c>
      <c r="M78" s="655">
        <f t="shared" si="7"/>
        <v>19512.498816438358</v>
      </c>
      <c r="N78" s="655">
        <f t="shared" si="8"/>
        <v>19331.581183561644</v>
      </c>
      <c r="O78" s="655">
        <f t="shared" si="9"/>
        <v>17398.423065205479</v>
      </c>
    </row>
    <row r="79" spans="2:15" s="7" customFormat="1">
      <c r="B79" s="594">
        <v>77</v>
      </c>
      <c r="C79" s="630" t="s">
        <v>263</v>
      </c>
      <c r="D79" s="649">
        <v>43891</v>
      </c>
      <c r="E79" s="653">
        <v>44470</v>
      </c>
      <c r="F79" s="631">
        <f t="shared" si="11"/>
        <v>1.5863013698630137</v>
      </c>
      <c r="G79" s="635">
        <v>3</v>
      </c>
      <c r="H79" s="632">
        <f t="shared" si="10"/>
        <v>0.31666666666666665</v>
      </c>
      <c r="I79" s="568">
        <v>5212</v>
      </c>
      <c r="J79" s="633">
        <v>3423.1605633802819</v>
      </c>
      <c r="K79" s="634">
        <v>0</v>
      </c>
      <c r="L79" s="655">
        <f t="shared" si="6"/>
        <v>5212</v>
      </c>
      <c r="M79" s="655">
        <f t="shared" si="7"/>
        <v>2618.1375342465753</v>
      </c>
      <c r="N79" s="655">
        <f t="shared" si="8"/>
        <v>2593.8624657534247</v>
      </c>
      <c r="O79" s="655">
        <f t="shared" si="9"/>
        <v>2334.4762191780824</v>
      </c>
    </row>
    <row r="80" spans="2:15" s="7" customFormat="1">
      <c r="B80" s="594">
        <v>78</v>
      </c>
      <c r="C80" s="630" t="s">
        <v>264</v>
      </c>
      <c r="D80" s="649">
        <v>43891</v>
      </c>
      <c r="E80" s="653">
        <v>44470</v>
      </c>
      <c r="F80" s="631">
        <f t="shared" si="11"/>
        <v>1.5863013698630137</v>
      </c>
      <c r="G80" s="635">
        <v>3</v>
      </c>
      <c r="H80" s="632">
        <f t="shared" si="10"/>
        <v>0.31666666666666665</v>
      </c>
      <c r="I80" s="568">
        <v>8050.84</v>
      </c>
      <c r="J80" s="633">
        <v>5287.6599342723011</v>
      </c>
      <c r="K80" s="634">
        <v>0</v>
      </c>
      <c r="L80" s="655">
        <f t="shared" si="6"/>
        <v>8050.84</v>
      </c>
      <c r="M80" s="655">
        <f t="shared" si="7"/>
        <v>4044.1685315068494</v>
      </c>
      <c r="N80" s="655">
        <f t="shared" si="8"/>
        <v>4006.6714684931508</v>
      </c>
      <c r="O80" s="655">
        <f t="shared" si="9"/>
        <v>3606.0043216438357</v>
      </c>
    </row>
    <row r="81" spans="2:15" s="7" customFormat="1" ht="26.25">
      <c r="B81" s="594">
        <v>79</v>
      </c>
      <c r="C81" s="630" t="s">
        <v>319</v>
      </c>
      <c r="D81" s="649">
        <v>43983</v>
      </c>
      <c r="E81" s="653">
        <v>44470</v>
      </c>
      <c r="F81" s="631">
        <f t="shared" ref="F81:F100" si="12">(E81-D81)/365</f>
        <v>1.3342465753424657</v>
      </c>
      <c r="G81" s="635">
        <v>3</v>
      </c>
      <c r="H81" s="632">
        <f t="shared" ref="H81:H100" si="13">(95/G81/100)</f>
        <v>0.31666666666666665</v>
      </c>
      <c r="I81" s="568">
        <v>25500</v>
      </c>
      <c r="J81" s="633">
        <v>18774.520547945205</v>
      </c>
      <c r="K81" s="634">
        <v>0</v>
      </c>
      <c r="L81" s="655">
        <f t="shared" ref="L81:L100" si="14">I81*(1+K81)</f>
        <v>25500</v>
      </c>
      <c r="M81" s="655">
        <f t="shared" ref="M81:M100" si="15">F81*H81*L81</f>
        <v>10774.04109589041</v>
      </c>
      <c r="N81" s="655">
        <f t="shared" ref="N81:N100" si="16">IF(L81-M81&lt;=0,5%*L81,L81-M81)</f>
        <v>14725.95890410959</v>
      </c>
      <c r="O81" s="655">
        <f t="shared" ref="O81:O100" si="17">IF(N81=L81*5%,N81,N81*0.9)</f>
        <v>13253.36301369863</v>
      </c>
    </row>
    <row r="82" spans="2:15" s="7" customFormat="1" ht="26.25">
      <c r="B82" s="594">
        <v>80</v>
      </c>
      <c r="C82" s="630" t="s">
        <v>320</v>
      </c>
      <c r="D82" s="649">
        <v>43983</v>
      </c>
      <c r="E82" s="653">
        <v>44470</v>
      </c>
      <c r="F82" s="631">
        <f t="shared" si="12"/>
        <v>1.3342465753424657</v>
      </c>
      <c r="G82" s="635">
        <v>3</v>
      </c>
      <c r="H82" s="632">
        <f t="shared" si="13"/>
        <v>0.31666666666666665</v>
      </c>
      <c r="I82" s="568">
        <v>25500</v>
      </c>
      <c r="J82" s="633">
        <v>18774.520547945205</v>
      </c>
      <c r="K82" s="634">
        <v>0</v>
      </c>
      <c r="L82" s="655">
        <f t="shared" si="14"/>
        <v>25500</v>
      </c>
      <c r="M82" s="655">
        <f t="shared" si="15"/>
        <v>10774.04109589041</v>
      </c>
      <c r="N82" s="655">
        <f t="shared" si="16"/>
        <v>14725.95890410959</v>
      </c>
      <c r="O82" s="655">
        <f t="shared" si="17"/>
        <v>13253.36301369863</v>
      </c>
    </row>
    <row r="83" spans="2:15" s="7" customFormat="1">
      <c r="B83" s="594">
        <v>81</v>
      </c>
      <c r="C83" s="630" t="s">
        <v>321</v>
      </c>
      <c r="D83" s="649">
        <v>43997</v>
      </c>
      <c r="E83" s="653">
        <v>44470</v>
      </c>
      <c r="F83" s="631">
        <f t="shared" si="12"/>
        <v>1.295890410958904</v>
      </c>
      <c r="G83" s="635">
        <v>3</v>
      </c>
      <c r="H83" s="632">
        <f t="shared" si="13"/>
        <v>0.31666666666666665</v>
      </c>
      <c r="I83" s="568">
        <v>19491.52</v>
      </c>
      <c r="J83" s="633">
        <v>14587.489168949773</v>
      </c>
      <c r="K83" s="634">
        <v>0</v>
      </c>
      <c r="L83" s="655">
        <f t="shared" si="14"/>
        <v>19491.52</v>
      </c>
      <c r="M83" s="655">
        <f t="shared" si="15"/>
        <v>7998.6433899543372</v>
      </c>
      <c r="N83" s="655">
        <f t="shared" si="16"/>
        <v>11492.876610045663</v>
      </c>
      <c r="O83" s="655">
        <f t="shared" si="17"/>
        <v>10343.588949041097</v>
      </c>
    </row>
    <row r="84" spans="2:15" s="7" customFormat="1" ht="26.25">
      <c r="B84" s="594">
        <v>82</v>
      </c>
      <c r="C84" s="630" t="s">
        <v>322</v>
      </c>
      <c r="D84" s="649">
        <v>44095</v>
      </c>
      <c r="E84" s="653">
        <v>44470</v>
      </c>
      <c r="F84" s="631">
        <f t="shared" si="12"/>
        <v>1.0273972602739727</v>
      </c>
      <c r="G84" s="635">
        <v>3</v>
      </c>
      <c r="H84" s="632">
        <f t="shared" si="13"/>
        <v>0.31666666666666665</v>
      </c>
      <c r="I84" s="568">
        <v>49152.54</v>
      </c>
      <c r="J84" s="633">
        <v>40964.938816438356</v>
      </c>
      <c r="K84" s="634">
        <v>0</v>
      </c>
      <c r="L84" s="655">
        <f t="shared" si="14"/>
        <v>49152.54</v>
      </c>
      <c r="M84" s="655">
        <f t="shared" si="15"/>
        <v>15991.408561643837</v>
      </c>
      <c r="N84" s="655">
        <f t="shared" si="16"/>
        <v>33161.131438356162</v>
      </c>
      <c r="O84" s="655">
        <f t="shared" si="17"/>
        <v>29845.018294520545</v>
      </c>
    </row>
    <row r="85" spans="2:15" s="7" customFormat="1" ht="26.25">
      <c r="B85" s="594">
        <v>83</v>
      </c>
      <c r="C85" s="630" t="s">
        <v>323</v>
      </c>
      <c r="D85" s="649">
        <v>44147</v>
      </c>
      <c r="E85" s="653">
        <v>44470</v>
      </c>
      <c r="F85" s="631">
        <f t="shared" si="12"/>
        <v>0.8849315068493151</v>
      </c>
      <c r="G85" s="635">
        <v>3</v>
      </c>
      <c r="H85" s="632">
        <f t="shared" si="13"/>
        <v>0.31666666666666665</v>
      </c>
      <c r="I85" s="568">
        <v>215000</v>
      </c>
      <c r="J85" s="633">
        <v>188885.84474885845</v>
      </c>
      <c r="K85" s="634">
        <v>0</v>
      </c>
      <c r="L85" s="655">
        <f t="shared" si="14"/>
        <v>215000</v>
      </c>
      <c r="M85" s="655">
        <f t="shared" si="15"/>
        <v>60249.086757990866</v>
      </c>
      <c r="N85" s="655">
        <f t="shared" si="16"/>
        <v>154750.91324200912</v>
      </c>
      <c r="O85" s="655">
        <f t="shared" si="17"/>
        <v>139275.82191780821</v>
      </c>
    </row>
    <row r="86" spans="2:15" s="7" customFormat="1" ht="26.25">
      <c r="B86" s="594">
        <v>84</v>
      </c>
      <c r="C86" s="630" t="s">
        <v>324</v>
      </c>
      <c r="D86" s="649">
        <v>44147</v>
      </c>
      <c r="E86" s="653">
        <v>44470</v>
      </c>
      <c r="F86" s="631">
        <f t="shared" si="12"/>
        <v>0.8849315068493151</v>
      </c>
      <c r="G86" s="635">
        <v>3</v>
      </c>
      <c r="H86" s="632">
        <f t="shared" si="13"/>
        <v>0.31666666666666665</v>
      </c>
      <c r="I86" s="568">
        <v>100000</v>
      </c>
      <c r="J86" s="633">
        <v>87853.881278538815</v>
      </c>
      <c r="K86" s="634">
        <v>0</v>
      </c>
      <c r="L86" s="655">
        <f t="shared" si="14"/>
        <v>100000</v>
      </c>
      <c r="M86" s="655">
        <f t="shared" si="15"/>
        <v>28022.831050228309</v>
      </c>
      <c r="N86" s="655">
        <f t="shared" si="16"/>
        <v>71977.168949771687</v>
      </c>
      <c r="O86" s="655">
        <f t="shared" si="17"/>
        <v>64779.452054794521</v>
      </c>
    </row>
    <row r="87" spans="2:15" s="7" customFormat="1" ht="26.25">
      <c r="B87" s="594">
        <v>85</v>
      </c>
      <c r="C87" s="630" t="s">
        <v>325</v>
      </c>
      <c r="D87" s="649">
        <v>44200</v>
      </c>
      <c r="E87" s="653">
        <v>44470</v>
      </c>
      <c r="F87" s="631">
        <f t="shared" si="12"/>
        <v>0.73972602739726023</v>
      </c>
      <c r="G87" s="635">
        <v>3</v>
      </c>
      <c r="H87" s="632">
        <f t="shared" si="13"/>
        <v>0.31666666666666665</v>
      </c>
      <c r="I87" s="568">
        <v>3500</v>
      </c>
      <c r="J87" s="633">
        <v>3235.821917808219</v>
      </c>
      <c r="K87" s="634">
        <v>0</v>
      </c>
      <c r="L87" s="655">
        <f t="shared" si="14"/>
        <v>3500</v>
      </c>
      <c r="M87" s="655">
        <f t="shared" si="15"/>
        <v>819.86301369863008</v>
      </c>
      <c r="N87" s="655">
        <f t="shared" si="16"/>
        <v>2680.1369863013697</v>
      </c>
      <c r="O87" s="655">
        <f t="shared" si="17"/>
        <v>2412.1232876712329</v>
      </c>
    </row>
    <row r="88" spans="2:15" s="7" customFormat="1" ht="26.25">
      <c r="B88" s="594">
        <v>86</v>
      </c>
      <c r="C88" s="630" t="s">
        <v>326</v>
      </c>
      <c r="D88" s="649">
        <v>44201</v>
      </c>
      <c r="E88" s="653">
        <v>44470</v>
      </c>
      <c r="F88" s="631">
        <f t="shared" si="12"/>
        <v>0.73698630136986298</v>
      </c>
      <c r="G88" s="635">
        <v>3</v>
      </c>
      <c r="H88" s="632">
        <f t="shared" si="13"/>
        <v>0.31666666666666665</v>
      </c>
      <c r="I88" s="568">
        <v>21610.17</v>
      </c>
      <c r="J88" s="633">
        <v>19997.794758904107</v>
      </c>
      <c r="K88" s="634">
        <v>0</v>
      </c>
      <c r="L88" s="655">
        <f t="shared" si="14"/>
        <v>21610.17</v>
      </c>
      <c r="M88" s="655">
        <f t="shared" si="15"/>
        <v>5043.3597657534237</v>
      </c>
      <c r="N88" s="655">
        <f t="shared" si="16"/>
        <v>16566.810234246575</v>
      </c>
      <c r="O88" s="655">
        <f t="shared" si="17"/>
        <v>14910.129210821919</v>
      </c>
    </row>
    <row r="89" spans="2:15" s="7" customFormat="1" ht="26.25">
      <c r="B89" s="594">
        <v>87</v>
      </c>
      <c r="C89" s="630" t="s">
        <v>327</v>
      </c>
      <c r="D89" s="649">
        <v>44212</v>
      </c>
      <c r="E89" s="653">
        <v>44470</v>
      </c>
      <c r="F89" s="631">
        <f t="shared" si="12"/>
        <v>0.70684931506849313</v>
      </c>
      <c r="G89" s="635">
        <v>3</v>
      </c>
      <c r="H89" s="632">
        <f t="shared" si="13"/>
        <v>0.31666666666666665</v>
      </c>
      <c r="I89" s="568">
        <v>50400</v>
      </c>
      <c r="J89" s="633">
        <v>47120.547945205479</v>
      </c>
      <c r="K89" s="634">
        <v>0</v>
      </c>
      <c r="L89" s="655">
        <f t="shared" si="14"/>
        <v>50400</v>
      </c>
      <c r="M89" s="655">
        <f t="shared" si="15"/>
        <v>11281.31506849315</v>
      </c>
      <c r="N89" s="655">
        <f t="shared" si="16"/>
        <v>39118.684931506854</v>
      </c>
      <c r="O89" s="655">
        <f t="shared" si="17"/>
        <v>35206.816438356167</v>
      </c>
    </row>
    <row r="90" spans="2:15" s="7" customFormat="1" ht="26.25">
      <c r="B90" s="594">
        <v>88</v>
      </c>
      <c r="C90" s="630" t="s">
        <v>328</v>
      </c>
      <c r="D90" s="649">
        <v>44212</v>
      </c>
      <c r="E90" s="653">
        <v>44470</v>
      </c>
      <c r="F90" s="631">
        <f t="shared" si="12"/>
        <v>0.70684931506849313</v>
      </c>
      <c r="G90" s="635">
        <v>3</v>
      </c>
      <c r="H90" s="632">
        <f t="shared" si="13"/>
        <v>0.31666666666666665</v>
      </c>
      <c r="I90" s="568">
        <v>25200</v>
      </c>
      <c r="J90" s="633">
        <v>23560.273972602739</v>
      </c>
      <c r="K90" s="634">
        <v>0</v>
      </c>
      <c r="L90" s="655">
        <f t="shared" si="14"/>
        <v>25200</v>
      </c>
      <c r="M90" s="655">
        <f t="shared" si="15"/>
        <v>5640.6575342465749</v>
      </c>
      <c r="N90" s="655">
        <f t="shared" si="16"/>
        <v>19559.342465753427</v>
      </c>
      <c r="O90" s="655">
        <f t="shared" si="17"/>
        <v>17603.408219178084</v>
      </c>
    </row>
    <row r="91" spans="2:15" s="7" customFormat="1" ht="26.25">
      <c r="B91" s="594">
        <v>89</v>
      </c>
      <c r="C91" s="630" t="s">
        <v>329</v>
      </c>
      <c r="D91" s="649">
        <v>44212</v>
      </c>
      <c r="E91" s="653">
        <v>44470</v>
      </c>
      <c r="F91" s="631">
        <f t="shared" si="12"/>
        <v>0.70684931506849313</v>
      </c>
      <c r="G91" s="635">
        <v>3</v>
      </c>
      <c r="H91" s="632">
        <f t="shared" si="13"/>
        <v>0.31666666666666665</v>
      </c>
      <c r="I91" s="568">
        <v>25200</v>
      </c>
      <c r="J91" s="633">
        <v>23560.273972602739</v>
      </c>
      <c r="K91" s="634">
        <v>0</v>
      </c>
      <c r="L91" s="655">
        <f t="shared" si="14"/>
        <v>25200</v>
      </c>
      <c r="M91" s="655">
        <f t="shared" si="15"/>
        <v>5640.6575342465749</v>
      </c>
      <c r="N91" s="655">
        <f t="shared" si="16"/>
        <v>19559.342465753427</v>
      </c>
      <c r="O91" s="655">
        <f t="shared" si="17"/>
        <v>17603.408219178084</v>
      </c>
    </row>
    <row r="92" spans="2:15" s="7" customFormat="1" ht="26.25">
      <c r="B92" s="594">
        <v>90</v>
      </c>
      <c r="C92" s="630" t="s">
        <v>330</v>
      </c>
      <c r="D92" s="649">
        <v>44212</v>
      </c>
      <c r="E92" s="653">
        <v>44470</v>
      </c>
      <c r="F92" s="631">
        <f t="shared" si="12"/>
        <v>0.70684931506849313</v>
      </c>
      <c r="G92" s="635">
        <v>3</v>
      </c>
      <c r="H92" s="632">
        <f t="shared" si="13"/>
        <v>0.31666666666666665</v>
      </c>
      <c r="I92" s="568">
        <v>25200</v>
      </c>
      <c r="J92" s="633">
        <v>23560.273972602739</v>
      </c>
      <c r="K92" s="634">
        <v>0</v>
      </c>
      <c r="L92" s="655">
        <f t="shared" si="14"/>
        <v>25200</v>
      </c>
      <c r="M92" s="655">
        <f t="shared" si="15"/>
        <v>5640.6575342465749</v>
      </c>
      <c r="N92" s="655">
        <f t="shared" si="16"/>
        <v>19559.342465753427</v>
      </c>
      <c r="O92" s="655">
        <f t="shared" si="17"/>
        <v>17603.408219178084</v>
      </c>
    </row>
    <row r="93" spans="2:15" s="7" customFormat="1" ht="26.25">
      <c r="B93" s="594">
        <v>91</v>
      </c>
      <c r="C93" s="630" t="s">
        <v>331</v>
      </c>
      <c r="D93" s="649">
        <v>44212</v>
      </c>
      <c r="E93" s="653">
        <v>44470</v>
      </c>
      <c r="F93" s="631">
        <f t="shared" si="12"/>
        <v>0.70684931506849313</v>
      </c>
      <c r="G93" s="635">
        <v>3</v>
      </c>
      <c r="H93" s="632">
        <f t="shared" si="13"/>
        <v>0.31666666666666665</v>
      </c>
      <c r="I93" s="568">
        <v>25200</v>
      </c>
      <c r="J93" s="633">
        <v>23560.273972602739</v>
      </c>
      <c r="K93" s="634">
        <v>0</v>
      </c>
      <c r="L93" s="655">
        <f t="shared" si="14"/>
        <v>25200</v>
      </c>
      <c r="M93" s="655">
        <f t="shared" si="15"/>
        <v>5640.6575342465749</v>
      </c>
      <c r="N93" s="655">
        <f t="shared" si="16"/>
        <v>19559.342465753427</v>
      </c>
      <c r="O93" s="655">
        <f t="shared" si="17"/>
        <v>17603.408219178084</v>
      </c>
    </row>
    <row r="94" spans="2:15" s="7" customFormat="1">
      <c r="B94" s="594">
        <v>92</v>
      </c>
      <c r="C94" s="630" t="s">
        <v>332</v>
      </c>
      <c r="D94" s="649">
        <v>44249</v>
      </c>
      <c r="E94" s="653">
        <v>44470</v>
      </c>
      <c r="F94" s="631">
        <f t="shared" si="12"/>
        <v>0.60547945205479448</v>
      </c>
      <c r="G94" s="635">
        <v>3</v>
      </c>
      <c r="H94" s="632">
        <f t="shared" si="13"/>
        <v>0.31666666666666665</v>
      </c>
      <c r="I94" s="568">
        <v>27543</v>
      </c>
      <c r="J94" s="633">
        <v>26634.961369863013</v>
      </c>
      <c r="K94" s="634">
        <v>0</v>
      </c>
      <c r="L94" s="655">
        <f t="shared" si="14"/>
        <v>27543</v>
      </c>
      <c r="M94" s="655">
        <f t="shared" si="15"/>
        <v>5280.961506849314</v>
      </c>
      <c r="N94" s="655">
        <f t="shared" si="16"/>
        <v>22262.038493150685</v>
      </c>
      <c r="O94" s="655">
        <f t="shared" si="17"/>
        <v>20035.834643835617</v>
      </c>
    </row>
    <row r="95" spans="2:15" s="7" customFormat="1" ht="26.25">
      <c r="B95" s="594">
        <v>93</v>
      </c>
      <c r="C95" s="630" t="s">
        <v>333</v>
      </c>
      <c r="D95" s="649">
        <v>44259</v>
      </c>
      <c r="E95" s="653">
        <v>44470</v>
      </c>
      <c r="F95" s="631">
        <f t="shared" si="12"/>
        <v>0.57808219178082187</v>
      </c>
      <c r="G95" s="635">
        <v>3</v>
      </c>
      <c r="H95" s="632">
        <f t="shared" si="13"/>
        <v>0.31666666666666665</v>
      </c>
      <c r="I95" s="568">
        <v>25200</v>
      </c>
      <c r="J95" s="633">
        <v>24587.835616438355</v>
      </c>
      <c r="K95" s="634">
        <v>0</v>
      </c>
      <c r="L95" s="655">
        <f t="shared" si="14"/>
        <v>25200</v>
      </c>
      <c r="M95" s="655">
        <f t="shared" si="15"/>
        <v>4613.0958904109584</v>
      </c>
      <c r="N95" s="655">
        <f t="shared" si="16"/>
        <v>20586.904109589042</v>
      </c>
      <c r="O95" s="655">
        <f t="shared" si="17"/>
        <v>18528.213698630138</v>
      </c>
    </row>
    <row r="96" spans="2:15" s="7" customFormat="1" ht="26.25">
      <c r="B96" s="594">
        <v>94</v>
      </c>
      <c r="C96" s="630" t="s">
        <v>334</v>
      </c>
      <c r="D96" s="649">
        <v>44270</v>
      </c>
      <c r="E96" s="653">
        <v>44470</v>
      </c>
      <c r="F96" s="631">
        <f t="shared" si="12"/>
        <v>0.54794520547945202</v>
      </c>
      <c r="G96" s="635">
        <v>3</v>
      </c>
      <c r="H96" s="632">
        <f t="shared" si="13"/>
        <v>0.31666666666666665</v>
      </c>
      <c r="I96" s="568">
        <v>25200</v>
      </c>
      <c r="J96" s="633">
        <v>24828.328767123287</v>
      </c>
      <c r="K96" s="634">
        <v>0</v>
      </c>
      <c r="L96" s="655">
        <f t="shared" si="14"/>
        <v>25200</v>
      </c>
      <c r="M96" s="655">
        <f t="shared" si="15"/>
        <v>4372.6027397260268</v>
      </c>
      <c r="N96" s="655">
        <f t="shared" si="16"/>
        <v>20827.397260273974</v>
      </c>
      <c r="O96" s="655">
        <f t="shared" si="17"/>
        <v>18744.657534246577</v>
      </c>
    </row>
    <row r="97" spans="2:15" s="7" customFormat="1" ht="26.25">
      <c r="B97" s="594">
        <v>95</v>
      </c>
      <c r="C97" s="630" t="s">
        <v>335</v>
      </c>
      <c r="D97" s="649">
        <v>44278</v>
      </c>
      <c r="E97" s="653">
        <v>44470</v>
      </c>
      <c r="F97" s="631">
        <f t="shared" si="12"/>
        <v>0.52602739726027392</v>
      </c>
      <c r="G97" s="635">
        <v>3</v>
      </c>
      <c r="H97" s="632">
        <f t="shared" si="13"/>
        <v>0.31666666666666665</v>
      </c>
      <c r="I97" s="568">
        <v>25200</v>
      </c>
      <c r="J97" s="633">
        <v>25003.232876712329</v>
      </c>
      <c r="K97" s="634">
        <v>0</v>
      </c>
      <c r="L97" s="655">
        <f t="shared" si="14"/>
        <v>25200</v>
      </c>
      <c r="M97" s="655">
        <f t="shared" si="15"/>
        <v>4197.6986301369852</v>
      </c>
      <c r="N97" s="655">
        <f t="shared" si="16"/>
        <v>21002.301369863017</v>
      </c>
      <c r="O97" s="655">
        <f t="shared" si="17"/>
        <v>18902.071232876715</v>
      </c>
    </row>
    <row r="98" spans="2:15" s="7" customFormat="1" ht="26.25">
      <c r="B98" s="594">
        <v>96</v>
      </c>
      <c r="C98" s="630" t="s">
        <v>336</v>
      </c>
      <c r="D98" s="649">
        <v>44278</v>
      </c>
      <c r="E98" s="653">
        <v>44470</v>
      </c>
      <c r="F98" s="631">
        <f t="shared" si="12"/>
        <v>0.52602739726027392</v>
      </c>
      <c r="G98" s="635">
        <v>3</v>
      </c>
      <c r="H98" s="632">
        <f t="shared" si="13"/>
        <v>0.31666666666666665</v>
      </c>
      <c r="I98" s="568">
        <v>25200</v>
      </c>
      <c r="J98" s="633">
        <v>25003.232876712329</v>
      </c>
      <c r="K98" s="634">
        <v>0</v>
      </c>
      <c r="L98" s="655">
        <f t="shared" si="14"/>
        <v>25200</v>
      </c>
      <c r="M98" s="655">
        <f t="shared" si="15"/>
        <v>4197.6986301369852</v>
      </c>
      <c r="N98" s="655">
        <f t="shared" si="16"/>
        <v>21002.301369863017</v>
      </c>
      <c r="O98" s="655">
        <f t="shared" si="17"/>
        <v>18902.071232876715</v>
      </c>
    </row>
    <row r="99" spans="2:15" s="7" customFormat="1" ht="26.25">
      <c r="B99" s="594">
        <v>97</v>
      </c>
      <c r="C99" s="630" t="s">
        <v>337</v>
      </c>
      <c r="D99" s="649">
        <v>44286</v>
      </c>
      <c r="E99" s="653">
        <v>44470</v>
      </c>
      <c r="F99" s="631">
        <f t="shared" si="12"/>
        <v>0.50410958904109593</v>
      </c>
      <c r="G99" s="635">
        <v>3</v>
      </c>
      <c r="H99" s="632">
        <f t="shared" si="13"/>
        <v>0.31666666666666665</v>
      </c>
      <c r="I99" s="568">
        <v>35170</v>
      </c>
      <c r="J99" s="633">
        <v>35139.487214611872</v>
      </c>
      <c r="K99" s="634">
        <v>0</v>
      </c>
      <c r="L99" s="655">
        <f t="shared" si="14"/>
        <v>35170</v>
      </c>
      <c r="M99" s="655">
        <f t="shared" si="15"/>
        <v>5614.3525114155254</v>
      </c>
      <c r="N99" s="655">
        <f t="shared" si="16"/>
        <v>29555.647488584473</v>
      </c>
      <c r="O99" s="655">
        <f t="shared" si="17"/>
        <v>26600.082739726025</v>
      </c>
    </row>
    <row r="100" spans="2:15" s="7" customFormat="1" ht="27" thickBot="1">
      <c r="B100" s="645">
        <v>98</v>
      </c>
      <c r="C100" s="630" t="s">
        <v>338</v>
      </c>
      <c r="D100" s="649">
        <v>44286</v>
      </c>
      <c r="E100" s="653">
        <v>44470</v>
      </c>
      <c r="F100" s="631">
        <f t="shared" si="12"/>
        <v>0.50410958904109593</v>
      </c>
      <c r="G100" s="635">
        <v>3</v>
      </c>
      <c r="H100" s="632">
        <f t="shared" si="13"/>
        <v>0.31666666666666665</v>
      </c>
      <c r="I100" s="568">
        <v>14830.51</v>
      </c>
      <c r="J100" s="633">
        <v>14817.643347488585</v>
      </c>
      <c r="K100" s="634">
        <v>0</v>
      </c>
      <c r="L100" s="655">
        <f t="shared" si="14"/>
        <v>14830.51</v>
      </c>
      <c r="M100" s="655">
        <f t="shared" si="15"/>
        <v>2367.4640621004569</v>
      </c>
      <c r="N100" s="655">
        <f t="shared" si="16"/>
        <v>12463.045937899544</v>
      </c>
      <c r="O100" s="655">
        <f t="shared" si="17"/>
        <v>11216.741344109591</v>
      </c>
    </row>
    <row r="101" spans="2:15" ht="15.75" thickBot="1">
      <c r="B101" s="646"/>
      <c r="C101" s="704" t="s">
        <v>13</v>
      </c>
      <c r="D101" s="704"/>
      <c r="E101" s="704"/>
      <c r="F101" s="704"/>
      <c r="G101" s="704"/>
      <c r="H101" s="704"/>
      <c r="I101" s="629">
        <f>SUM(I3:I100)</f>
        <v>3149891.3799999994</v>
      </c>
      <c r="J101" s="629">
        <f>SUM(J3:J100)</f>
        <v>1242913.1567809263</v>
      </c>
      <c r="K101" s="629"/>
      <c r="L101" s="629">
        <f>SUM(L3:L100)</f>
        <v>3149891.3799999994</v>
      </c>
      <c r="M101" s="629">
        <f t="shared" ref="L101:O101" si="18">SUM(M3:M100)</f>
        <v>5068899.5265474869</v>
      </c>
      <c r="N101" s="629">
        <f t="shared" si="18"/>
        <v>962480.7746853882</v>
      </c>
      <c r="O101" s="648">
        <f>SUM(O3:O100)</f>
        <v>872947.25721684936</v>
      </c>
    </row>
    <row r="102" spans="2:15" ht="15.75" customHeight="1">
      <c r="C102" s="590"/>
      <c r="D102" s="650"/>
      <c r="I102" s="15"/>
      <c r="J102" s="15"/>
    </row>
    <row r="103" spans="2:15">
      <c r="C103" s="591"/>
      <c r="D103" s="651"/>
      <c r="I103" s="16"/>
      <c r="J103" s="16"/>
    </row>
    <row r="104" spans="2:15">
      <c r="C104" s="591"/>
      <c r="D104" s="651"/>
      <c r="I104" s="16"/>
      <c r="J104" s="16"/>
    </row>
    <row r="105" spans="2:15">
      <c r="C105" s="591"/>
      <c r="D105" s="651"/>
      <c r="I105" s="16"/>
      <c r="J105" s="16"/>
    </row>
    <row r="106" spans="2:15">
      <c r="C106" s="591"/>
      <c r="D106" s="651"/>
      <c r="I106" s="16"/>
      <c r="J106" s="16"/>
    </row>
    <row r="107" spans="2:15">
      <c r="C107" s="591"/>
      <c r="D107" s="651"/>
      <c r="I107" s="16"/>
      <c r="J107" s="16"/>
    </row>
    <row r="108" spans="2:15">
      <c r="C108" s="591"/>
      <c r="D108" s="651"/>
      <c r="I108" s="16"/>
      <c r="J108" s="16"/>
    </row>
    <row r="109" spans="2:15">
      <c r="C109" s="591"/>
      <c r="D109" s="651"/>
      <c r="I109" s="16"/>
      <c r="J109" s="16"/>
    </row>
    <row r="110" spans="2:15">
      <c r="C110" s="591"/>
      <c r="D110" s="651"/>
      <c r="I110" s="16"/>
      <c r="J110" s="16"/>
    </row>
    <row r="111" spans="2:15">
      <c r="C111" s="591"/>
      <c r="D111" s="651"/>
      <c r="I111" s="16"/>
      <c r="J111" s="16"/>
    </row>
    <row r="112" spans="2:15">
      <c r="C112" s="591"/>
      <c r="D112" s="651"/>
      <c r="I112" s="16"/>
      <c r="J112" s="16"/>
    </row>
    <row r="113" spans="3:10">
      <c r="C113" s="591"/>
      <c r="D113" s="651"/>
      <c r="I113" s="16"/>
      <c r="J113" s="16"/>
    </row>
    <row r="114" spans="3:10">
      <c r="C114" s="591"/>
      <c r="D114" s="651"/>
      <c r="I114" s="16"/>
      <c r="J114" s="16"/>
    </row>
    <row r="115" spans="3:10">
      <c r="C115" s="591"/>
      <c r="D115" s="651"/>
      <c r="I115" s="16"/>
      <c r="J115" s="16"/>
    </row>
    <row r="116" spans="3:10">
      <c r="C116" s="591"/>
      <c r="D116" s="651"/>
      <c r="I116" s="16"/>
      <c r="J116" s="16"/>
    </row>
    <row r="117" spans="3:10">
      <c r="C117" s="591"/>
      <c r="D117" s="651"/>
      <c r="I117" s="16"/>
      <c r="J117" s="16"/>
    </row>
    <row r="118" spans="3:10">
      <c r="C118" s="591"/>
      <c r="D118" s="651"/>
      <c r="I118" s="16"/>
      <c r="J118" s="16"/>
    </row>
    <row r="119" spans="3:10">
      <c r="C119" s="591"/>
      <c r="D119" s="651"/>
      <c r="I119" s="16"/>
      <c r="J119" s="16"/>
    </row>
    <row r="120" spans="3:10">
      <c r="C120" s="591"/>
      <c r="D120" s="651"/>
      <c r="I120" s="16"/>
      <c r="J120" s="16"/>
    </row>
    <row r="121" spans="3:10">
      <c r="C121" s="591"/>
      <c r="D121" s="651"/>
      <c r="I121" s="16"/>
      <c r="J121" s="16"/>
    </row>
    <row r="122" spans="3:10">
      <c r="C122" s="591"/>
      <c r="D122" s="651"/>
      <c r="I122" s="16"/>
      <c r="J122" s="16"/>
    </row>
    <row r="123" spans="3:10">
      <c r="C123" s="591"/>
      <c r="D123" s="651"/>
      <c r="I123" s="16"/>
      <c r="J123" s="16"/>
    </row>
    <row r="124" spans="3:10">
      <c r="C124" s="591"/>
      <c r="D124" s="651"/>
      <c r="I124" s="16"/>
      <c r="J124" s="16"/>
    </row>
    <row r="125" spans="3:10">
      <c r="C125" s="591"/>
      <c r="D125" s="651"/>
      <c r="I125" s="16"/>
      <c r="J125" s="16"/>
    </row>
    <row r="126" spans="3:10">
      <c r="C126" s="591"/>
      <c r="D126" s="651"/>
      <c r="I126" s="16"/>
      <c r="J126" s="16"/>
    </row>
    <row r="127" spans="3:10">
      <c r="C127" s="591"/>
      <c r="D127" s="651"/>
      <c r="I127" s="16"/>
      <c r="J127" s="16"/>
    </row>
    <row r="128" spans="3:10">
      <c r="C128" s="591"/>
      <c r="D128" s="651"/>
      <c r="I128" s="16"/>
      <c r="J128" s="16"/>
    </row>
    <row r="129" spans="3:10">
      <c r="C129" s="591"/>
      <c r="D129" s="651"/>
      <c r="I129" s="16"/>
      <c r="J129" s="16"/>
    </row>
    <row r="130" spans="3:10">
      <c r="C130" s="591"/>
      <c r="D130" s="651"/>
      <c r="I130" s="16"/>
      <c r="J130" s="16"/>
    </row>
    <row r="131" spans="3:10">
      <c r="C131" s="591"/>
      <c r="D131" s="651"/>
      <c r="I131" s="16"/>
      <c r="J131" s="16"/>
    </row>
    <row r="132" spans="3:10">
      <c r="C132" s="591"/>
      <c r="D132" s="651"/>
      <c r="I132" s="16"/>
      <c r="J132" s="16"/>
    </row>
    <row r="133" spans="3:10">
      <c r="C133" s="591"/>
      <c r="D133" s="651"/>
      <c r="I133" s="16"/>
      <c r="J133" s="16"/>
    </row>
    <row r="134" spans="3:10">
      <c r="C134" s="591"/>
      <c r="D134" s="651"/>
      <c r="I134" s="16"/>
      <c r="J134" s="16"/>
    </row>
    <row r="135" spans="3:10">
      <c r="C135" s="591"/>
      <c r="D135" s="651"/>
      <c r="I135" s="16"/>
      <c r="J135" s="16"/>
    </row>
    <row r="136" spans="3:10">
      <c r="C136" s="591"/>
      <c r="D136" s="651"/>
      <c r="I136" s="16"/>
      <c r="J136" s="16"/>
    </row>
    <row r="137" spans="3:10">
      <c r="C137" s="591"/>
      <c r="D137" s="651"/>
      <c r="I137" s="16"/>
      <c r="J137" s="16"/>
    </row>
    <row r="138" spans="3:10">
      <c r="C138" s="591"/>
      <c r="D138" s="651"/>
      <c r="I138" s="16"/>
      <c r="J138" s="16"/>
    </row>
    <row r="139" spans="3:10">
      <c r="C139" s="591"/>
      <c r="D139" s="651"/>
      <c r="I139" s="16"/>
      <c r="J139" s="16"/>
    </row>
    <row r="140" spans="3:10">
      <c r="C140" s="591"/>
      <c r="D140" s="651"/>
      <c r="I140" s="16"/>
      <c r="J140" s="16"/>
    </row>
    <row r="141" spans="3:10">
      <c r="C141" s="591"/>
      <c r="D141" s="651"/>
      <c r="I141" s="16"/>
      <c r="J141" s="16"/>
    </row>
    <row r="142" spans="3:10">
      <c r="C142" s="591"/>
      <c r="D142" s="651"/>
      <c r="I142" s="16"/>
      <c r="J142" s="16"/>
    </row>
    <row r="143" spans="3:10">
      <c r="C143" s="591"/>
      <c r="D143" s="651"/>
      <c r="I143" s="16"/>
      <c r="J143" s="16"/>
    </row>
    <row r="144" spans="3:10">
      <c r="C144" s="591"/>
      <c r="D144" s="651"/>
      <c r="I144" s="16"/>
      <c r="J144" s="16"/>
    </row>
    <row r="145" spans="3:10">
      <c r="C145" s="591"/>
      <c r="D145" s="651"/>
      <c r="I145" s="16"/>
      <c r="J145" s="16"/>
    </row>
    <row r="146" spans="3:10">
      <c r="C146" s="591"/>
      <c r="D146" s="651"/>
      <c r="I146" s="16"/>
      <c r="J146" s="16"/>
    </row>
    <row r="147" spans="3:10">
      <c r="C147" s="591"/>
      <c r="D147" s="651"/>
      <c r="I147" s="16"/>
      <c r="J147" s="16"/>
    </row>
    <row r="148" spans="3:10">
      <c r="C148" s="591"/>
      <c r="D148" s="651"/>
      <c r="I148" s="16"/>
      <c r="J148" s="16"/>
    </row>
    <row r="149" spans="3:10">
      <c r="C149" s="591"/>
      <c r="D149" s="651"/>
      <c r="I149" s="16"/>
      <c r="J149" s="16"/>
    </row>
    <row r="150" spans="3:10">
      <c r="C150" s="591"/>
      <c r="D150" s="651"/>
      <c r="I150" s="16"/>
      <c r="J150" s="16"/>
    </row>
    <row r="151" spans="3:10">
      <c r="C151" s="591"/>
      <c r="D151" s="651"/>
      <c r="I151" s="16"/>
      <c r="J151" s="16"/>
    </row>
    <row r="152" spans="3:10">
      <c r="C152" s="591"/>
      <c r="D152" s="651"/>
      <c r="I152" s="16"/>
      <c r="J152" s="16"/>
    </row>
    <row r="153" spans="3:10">
      <c r="C153" s="591"/>
      <c r="D153" s="651"/>
      <c r="I153" s="16"/>
      <c r="J153" s="16"/>
    </row>
    <row r="154" spans="3:10">
      <c r="C154" s="591"/>
      <c r="D154" s="651"/>
      <c r="I154" s="16"/>
      <c r="J154" s="16"/>
    </row>
    <row r="155" spans="3:10">
      <c r="C155" s="591"/>
      <c r="D155" s="651"/>
      <c r="I155" s="16"/>
      <c r="J155" s="16"/>
    </row>
    <row r="156" spans="3:10">
      <c r="C156" s="591"/>
      <c r="D156" s="651"/>
      <c r="I156" s="16"/>
      <c r="J156" s="16"/>
    </row>
    <row r="157" spans="3:10">
      <c r="C157" s="591"/>
      <c r="D157" s="651"/>
      <c r="I157" s="16"/>
      <c r="J157" s="16"/>
    </row>
    <row r="158" spans="3:10">
      <c r="C158" s="591"/>
      <c r="D158" s="651"/>
      <c r="I158" s="16"/>
      <c r="J158" s="16"/>
    </row>
    <row r="159" spans="3:10">
      <c r="C159" s="591"/>
      <c r="D159" s="651"/>
      <c r="I159" s="16"/>
      <c r="J159" s="16"/>
    </row>
    <row r="160" spans="3:10">
      <c r="C160" s="591"/>
      <c r="D160" s="651"/>
      <c r="I160" s="16"/>
      <c r="J160" s="16"/>
    </row>
    <row r="161" spans="3:10">
      <c r="C161" s="591"/>
      <c r="D161" s="651"/>
      <c r="I161" s="16"/>
      <c r="J161" s="16"/>
    </row>
    <row r="162" spans="3:10">
      <c r="C162" s="591"/>
      <c r="D162" s="651"/>
      <c r="I162" s="16"/>
      <c r="J162" s="16"/>
    </row>
    <row r="163" spans="3:10">
      <c r="C163" s="591"/>
      <c r="D163" s="651"/>
      <c r="I163" s="16"/>
      <c r="J163" s="16"/>
    </row>
    <row r="164" spans="3:10">
      <c r="C164" s="591"/>
      <c r="D164" s="651"/>
      <c r="I164" s="16"/>
      <c r="J164" s="16"/>
    </row>
    <row r="165" spans="3:10">
      <c r="C165" s="591"/>
      <c r="D165" s="651"/>
      <c r="I165" s="16"/>
      <c r="J165" s="16"/>
    </row>
    <row r="166" spans="3:10">
      <c r="C166" s="591"/>
      <c r="D166" s="651"/>
      <c r="I166" s="16"/>
      <c r="J166" s="16"/>
    </row>
    <row r="167" spans="3:10">
      <c r="C167" s="591"/>
      <c r="D167" s="651"/>
      <c r="I167" s="16"/>
      <c r="J167" s="16"/>
    </row>
    <row r="168" spans="3:10">
      <c r="C168" s="591"/>
      <c r="D168" s="651"/>
      <c r="I168" s="16"/>
      <c r="J168" s="16"/>
    </row>
    <row r="169" spans="3:10">
      <c r="C169" s="591"/>
      <c r="D169" s="651"/>
      <c r="I169" s="16"/>
      <c r="J169" s="16"/>
    </row>
    <row r="170" spans="3:10">
      <c r="C170" s="591"/>
      <c r="D170" s="651"/>
      <c r="I170" s="16"/>
      <c r="J170" s="16"/>
    </row>
    <row r="171" spans="3:10">
      <c r="C171" s="591"/>
      <c r="D171" s="651"/>
      <c r="I171" s="16"/>
      <c r="J171" s="16"/>
    </row>
    <row r="172" spans="3:10">
      <c r="C172" s="591"/>
      <c r="D172" s="651"/>
      <c r="I172" s="16"/>
      <c r="J172" s="16"/>
    </row>
    <row r="173" spans="3:10">
      <c r="C173" s="591"/>
      <c r="D173" s="651"/>
      <c r="I173" s="16"/>
      <c r="J173" s="16"/>
    </row>
    <row r="174" spans="3:10">
      <c r="C174" s="591"/>
      <c r="D174" s="651"/>
      <c r="I174" s="16"/>
      <c r="J174" s="16"/>
    </row>
    <row r="175" spans="3:10">
      <c r="C175" s="591"/>
      <c r="D175" s="651"/>
      <c r="I175" s="16"/>
      <c r="J175" s="16"/>
    </row>
    <row r="176" spans="3:10">
      <c r="C176" s="591"/>
      <c r="D176" s="651"/>
      <c r="I176" s="16"/>
      <c r="J176" s="16"/>
    </row>
    <row r="177" spans="3:10">
      <c r="C177" s="591"/>
      <c r="D177" s="651"/>
      <c r="I177" s="16"/>
      <c r="J177" s="16"/>
    </row>
    <row r="178" spans="3:10">
      <c r="C178" s="591"/>
      <c r="D178" s="651"/>
      <c r="I178" s="16"/>
      <c r="J178" s="16"/>
    </row>
    <row r="179" spans="3:10">
      <c r="C179" s="591"/>
      <c r="D179" s="651"/>
      <c r="I179" s="16"/>
      <c r="J179" s="16"/>
    </row>
    <row r="180" spans="3:10">
      <c r="C180" s="591"/>
      <c r="D180" s="651"/>
      <c r="I180" s="16"/>
      <c r="J180" s="16"/>
    </row>
    <row r="181" spans="3:10">
      <c r="C181" s="591"/>
      <c r="D181" s="651"/>
      <c r="I181" s="16"/>
      <c r="J181" s="16"/>
    </row>
    <row r="182" spans="3:10">
      <c r="C182" s="591"/>
      <c r="D182" s="651"/>
      <c r="I182" s="16"/>
      <c r="J182" s="16"/>
    </row>
    <row r="183" spans="3:10">
      <c r="C183" s="591"/>
      <c r="D183" s="651"/>
      <c r="I183" s="16"/>
      <c r="J183" s="16"/>
    </row>
    <row r="184" spans="3:10">
      <c r="C184" s="591"/>
      <c r="D184" s="651"/>
      <c r="I184" s="16"/>
      <c r="J184" s="16"/>
    </row>
    <row r="185" spans="3:10">
      <c r="C185" s="591"/>
      <c r="D185" s="651"/>
      <c r="I185" s="16"/>
      <c r="J185" s="16"/>
    </row>
    <row r="186" spans="3:10">
      <c r="C186" s="591"/>
      <c r="D186" s="651"/>
      <c r="I186" s="16"/>
      <c r="J186" s="16"/>
    </row>
    <row r="187" spans="3:10">
      <c r="C187" s="591"/>
      <c r="D187" s="651"/>
      <c r="I187" s="16"/>
      <c r="J187" s="16"/>
    </row>
    <row r="188" spans="3:10">
      <c r="C188" s="591"/>
      <c r="D188" s="651"/>
      <c r="I188" s="16"/>
      <c r="J188" s="16"/>
    </row>
    <row r="189" spans="3:10">
      <c r="C189" s="591"/>
      <c r="D189" s="651"/>
      <c r="I189" s="16"/>
      <c r="J189" s="16"/>
    </row>
    <row r="190" spans="3:10">
      <c r="C190" s="591"/>
      <c r="D190" s="651"/>
      <c r="I190" s="16"/>
      <c r="J190" s="16"/>
    </row>
    <row r="191" spans="3:10">
      <c r="C191" s="591"/>
      <c r="D191" s="651"/>
      <c r="I191" s="16"/>
      <c r="J191" s="16"/>
    </row>
    <row r="192" spans="3:10">
      <c r="C192" s="591"/>
      <c r="D192" s="651"/>
      <c r="I192" s="16"/>
      <c r="J192" s="16"/>
    </row>
    <row r="193" spans="3:10">
      <c r="C193" s="591"/>
      <c r="D193" s="651"/>
      <c r="I193" s="16"/>
      <c r="J193" s="16"/>
    </row>
    <row r="194" spans="3:10">
      <c r="C194" s="591"/>
      <c r="D194" s="651"/>
      <c r="I194" s="16"/>
      <c r="J194" s="16"/>
    </row>
    <row r="195" spans="3:10">
      <c r="C195" s="591"/>
      <c r="D195" s="651"/>
      <c r="I195" s="16"/>
      <c r="J195" s="16"/>
    </row>
    <row r="196" spans="3:10">
      <c r="C196" s="591"/>
      <c r="D196" s="651"/>
      <c r="I196" s="16"/>
      <c r="J196" s="16"/>
    </row>
    <row r="197" spans="3:10">
      <c r="C197" s="591"/>
      <c r="D197" s="651"/>
      <c r="I197" s="16"/>
      <c r="J197" s="16"/>
    </row>
    <row r="198" spans="3:10">
      <c r="C198" s="591"/>
      <c r="D198" s="651"/>
      <c r="I198" s="16"/>
      <c r="J198" s="16"/>
    </row>
    <row r="199" spans="3:10">
      <c r="C199" s="591"/>
      <c r="D199" s="651"/>
      <c r="I199" s="16"/>
      <c r="J199" s="16"/>
    </row>
    <row r="200" spans="3:10">
      <c r="C200" s="591"/>
      <c r="D200" s="651"/>
      <c r="I200" s="16"/>
      <c r="J200" s="16"/>
    </row>
    <row r="201" spans="3:10">
      <c r="C201" s="591"/>
      <c r="D201" s="651"/>
      <c r="I201" s="16"/>
      <c r="J201" s="16"/>
    </row>
    <row r="202" spans="3:10">
      <c r="C202" s="591"/>
      <c r="D202" s="651"/>
      <c r="I202" s="16"/>
      <c r="J202" s="16"/>
    </row>
    <row r="203" spans="3:10">
      <c r="C203" s="591"/>
      <c r="D203" s="651"/>
      <c r="I203" s="16"/>
      <c r="J203" s="16"/>
    </row>
    <row r="204" spans="3:10">
      <c r="C204" s="591"/>
      <c r="D204" s="651"/>
      <c r="I204" s="16"/>
      <c r="J204" s="16"/>
    </row>
    <row r="205" spans="3:10">
      <c r="C205" s="591"/>
      <c r="D205" s="651"/>
      <c r="I205" s="16"/>
      <c r="J205" s="16"/>
    </row>
    <row r="206" spans="3:10">
      <c r="C206" s="591"/>
      <c r="D206" s="651"/>
      <c r="I206" s="16"/>
      <c r="J206" s="16"/>
    </row>
    <row r="207" spans="3:10">
      <c r="C207" s="591"/>
      <c r="D207" s="651"/>
      <c r="I207" s="16"/>
      <c r="J207" s="16"/>
    </row>
    <row r="208" spans="3:10">
      <c r="C208" s="591"/>
      <c r="D208" s="651"/>
      <c r="I208" s="16"/>
      <c r="J208" s="16"/>
    </row>
    <row r="209" spans="3:10">
      <c r="C209" s="591"/>
      <c r="D209" s="651"/>
      <c r="I209" s="16"/>
      <c r="J209" s="16"/>
    </row>
    <row r="210" spans="3:10">
      <c r="C210" s="591"/>
      <c r="D210" s="651"/>
      <c r="I210" s="16"/>
      <c r="J210" s="16"/>
    </row>
    <row r="211" spans="3:10">
      <c r="C211" s="591"/>
      <c r="D211" s="651"/>
      <c r="I211" s="16"/>
      <c r="J211" s="16"/>
    </row>
    <row r="212" spans="3:10">
      <c r="C212" s="591"/>
      <c r="D212" s="651"/>
      <c r="I212" s="16"/>
      <c r="J212" s="16"/>
    </row>
    <row r="213" spans="3:10">
      <c r="C213" s="591"/>
      <c r="D213" s="651"/>
      <c r="I213" s="16"/>
      <c r="J213" s="16"/>
    </row>
    <row r="214" spans="3:10">
      <c r="C214" s="591"/>
      <c r="D214" s="651"/>
      <c r="I214" s="16"/>
      <c r="J214" s="16"/>
    </row>
    <row r="215" spans="3:10">
      <c r="C215" s="591"/>
      <c r="D215" s="651"/>
      <c r="I215" s="16"/>
      <c r="J215" s="16"/>
    </row>
    <row r="216" spans="3:10">
      <c r="C216" s="591"/>
      <c r="D216" s="651"/>
      <c r="I216" s="16"/>
      <c r="J216" s="16"/>
    </row>
    <row r="217" spans="3:10">
      <c r="C217" s="591"/>
      <c r="D217" s="651"/>
      <c r="I217" s="16"/>
      <c r="J217" s="16"/>
    </row>
    <row r="218" spans="3:10">
      <c r="C218" s="591"/>
      <c r="D218" s="651"/>
      <c r="I218" s="16"/>
      <c r="J218" s="16"/>
    </row>
    <row r="219" spans="3:10">
      <c r="C219" s="591"/>
      <c r="D219" s="651"/>
      <c r="I219" s="16"/>
      <c r="J219" s="16"/>
    </row>
    <row r="220" spans="3:10">
      <c r="C220" s="591"/>
      <c r="D220" s="651"/>
      <c r="I220" s="16"/>
      <c r="J220" s="16"/>
    </row>
    <row r="221" spans="3:10">
      <c r="C221" s="591"/>
      <c r="D221" s="651"/>
      <c r="I221" s="16"/>
      <c r="J221" s="16"/>
    </row>
    <row r="222" spans="3:10">
      <c r="C222" s="591"/>
      <c r="D222" s="651"/>
      <c r="I222" s="16"/>
      <c r="J222" s="16"/>
    </row>
    <row r="223" spans="3:10">
      <c r="C223" s="591"/>
      <c r="D223" s="651"/>
      <c r="I223" s="16"/>
      <c r="J223" s="16"/>
    </row>
    <row r="224" spans="3:10">
      <c r="C224" s="591"/>
      <c r="D224" s="651"/>
      <c r="I224" s="16"/>
      <c r="J224" s="16"/>
    </row>
    <row r="225" spans="3:10">
      <c r="C225" s="591"/>
      <c r="D225" s="651"/>
      <c r="I225" s="16"/>
      <c r="J225" s="16"/>
    </row>
    <row r="226" spans="3:10">
      <c r="C226" s="591"/>
      <c r="D226" s="651"/>
      <c r="I226" s="16"/>
      <c r="J226" s="16"/>
    </row>
    <row r="227" spans="3:10">
      <c r="C227" s="591"/>
      <c r="D227" s="651"/>
      <c r="I227" s="16"/>
      <c r="J227" s="16"/>
    </row>
    <row r="228" spans="3:10">
      <c r="C228" s="591"/>
      <c r="D228" s="651"/>
      <c r="I228" s="16"/>
      <c r="J228" s="16"/>
    </row>
    <row r="229" spans="3:10">
      <c r="C229" s="591"/>
      <c r="D229" s="651"/>
      <c r="I229" s="16"/>
      <c r="J229" s="16"/>
    </row>
    <row r="230" spans="3:10">
      <c r="C230" s="591"/>
      <c r="D230" s="651"/>
      <c r="I230" s="16"/>
      <c r="J230" s="16"/>
    </row>
    <row r="231" spans="3:10">
      <c r="C231" s="591"/>
      <c r="D231" s="651"/>
      <c r="I231" s="16"/>
      <c r="J231" s="16"/>
    </row>
    <row r="232" spans="3:10">
      <c r="C232" s="591"/>
      <c r="D232" s="651"/>
      <c r="I232" s="16"/>
      <c r="J232" s="16"/>
    </row>
    <row r="233" spans="3:10">
      <c r="C233" s="591"/>
      <c r="D233" s="651"/>
      <c r="I233" s="16"/>
      <c r="J233" s="16"/>
    </row>
    <row r="234" spans="3:10">
      <c r="C234" s="591"/>
      <c r="D234" s="651"/>
      <c r="I234" s="16"/>
      <c r="J234" s="16"/>
    </row>
    <row r="235" spans="3:10">
      <c r="C235" s="591"/>
      <c r="D235" s="651"/>
      <c r="I235" s="16"/>
      <c r="J235" s="16"/>
    </row>
    <row r="236" spans="3:10">
      <c r="C236" s="591"/>
      <c r="D236" s="651"/>
      <c r="I236" s="16"/>
      <c r="J236" s="16"/>
    </row>
    <row r="237" spans="3:10">
      <c r="C237" s="591"/>
      <c r="D237" s="651"/>
      <c r="I237" s="16"/>
      <c r="J237" s="16"/>
    </row>
    <row r="238" spans="3:10">
      <c r="C238" s="591"/>
      <c r="D238" s="651"/>
      <c r="I238" s="16"/>
      <c r="J238" s="16"/>
    </row>
    <row r="239" spans="3:10">
      <c r="C239" s="591"/>
      <c r="D239" s="651"/>
      <c r="I239" s="16"/>
      <c r="J239" s="16"/>
    </row>
    <row r="240" spans="3:10">
      <c r="C240" s="591"/>
      <c r="D240" s="651"/>
      <c r="I240" s="16"/>
      <c r="J240" s="16"/>
    </row>
    <row r="241" spans="3:10">
      <c r="C241" s="591"/>
      <c r="D241" s="651"/>
      <c r="I241" s="16"/>
      <c r="J241" s="16"/>
    </row>
    <row r="242" spans="3:10">
      <c r="C242" s="591"/>
      <c r="D242" s="651"/>
      <c r="I242" s="16"/>
      <c r="J242" s="16"/>
    </row>
    <row r="243" spans="3:10">
      <c r="C243" s="591"/>
      <c r="D243" s="651"/>
      <c r="I243" s="16"/>
      <c r="J243" s="16"/>
    </row>
    <row r="244" spans="3:10">
      <c r="C244" s="591"/>
      <c r="D244" s="651"/>
      <c r="I244" s="16"/>
      <c r="J244" s="16"/>
    </row>
    <row r="245" spans="3:10">
      <c r="C245" s="591"/>
      <c r="D245" s="651"/>
      <c r="I245" s="16"/>
      <c r="J245" s="16"/>
    </row>
    <row r="246" spans="3:10">
      <c r="C246" s="591"/>
      <c r="D246" s="651"/>
      <c r="I246" s="16"/>
      <c r="J246" s="16"/>
    </row>
    <row r="247" spans="3:10">
      <c r="C247" s="591"/>
      <c r="D247" s="651"/>
      <c r="I247" s="16"/>
      <c r="J247" s="16"/>
    </row>
    <row r="248" spans="3:10">
      <c r="C248" s="591"/>
      <c r="D248" s="651"/>
      <c r="I248" s="16"/>
      <c r="J248" s="16"/>
    </row>
    <row r="249" spans="3:10">
      <c r="C249" s="591"/>
      <c r="D249" s="651"/>
      <c r="I249" s="16"/>
      <c r="J249" s="16"/>
    </row>
    <row r="250" spans="3:10">
      <c r="C250" s="591"/>
      <c r="D250" s="651"/>
      <c r="I250" s="16"/>
      <c r="J250" s="16"/>
    </row>
    <row r="251" spans="3:10">
      <c r="C251" s="591"/>
      <c r="D251" s="651"/>
      <c r="I251" s="16"/>
      <c r="J251" s="16"/>
    </row>
    <row r="252" spans="3:10">
      <c r="C252" s="591"/>
      <c r="D252" s="651"/>
      <c r="I252" s="16"/>
      <c r="J252" s="16"/>
    </row>
    <row r="253" spans="3:10">
      <c r="C253" s="591"/>
      <c r="D253" s="651"/>
      <c r="I253" s="16"/>
      <c r="J253" s="16"/>
    </row>
    <row r="254" spans="3:10">
      <c r="C254" s="591"/>
      <c r="D254" s="651"/>
      <c r="I254" s="16"/>
      <c r="J254" s="16"/>
    </row>
    <row r="255" spans="3:10">
      <c r="C255" s="591"/>
      <c r="D255" s="651"/>
      <c r="I255" s="16"/>
      <c r="J255" s="16"/>
    </row>
    <row r="256" spans="3:10">
      <c r="C256" s="591"/>
      <c r="D256" s="651"/>
      <c r="I256" s="16"/>
      <c r="J256" s="16"/>
    </row>
    <row r="257" spans="3:10">
      <c r="C257" s="591"/>
      <c r="D257" s="651"/>
      <c r="I257" s="16"/>
      <c r="J257" s="16"/>
    </row>
    <row r="258" spans="3:10">
      <c r="C258" s="591"/>
      <c r="D258" s="651"/>
      <c r="I258" s="16"/>
      <c r="J258" s="16"/>
    </row>
    <row r="259" spans="3:10">
      <c r="C259" s="591"/>
      <c r="D259" s="651"/>
      <c r="I259" s="16"/>
      <c r="J259" s="16"/>
    </row>
    <row r="260" spans="3:10">
      <c r="C260" s="591"/>
      <c r="D260" s="651"/>
      <c r="I260" s="16"/>
      <c r="J260" s="16"/>
    </row>
    <row r="261" spans="3:10">
      <c r="C261" s="591"/>
      <c r="D261" s="651"/>
      <c r="I261" s="16"/>
      <c r="J261" s="16"/>
    </row>
    <row r="262" spans="3:10">
      <c r="C262" s="591"/>
      <c r="D262" s="651"/>
      <c r="I262" s="16"/>
      <c r="J262" s="16"/>
    </row>
    <row r="263" spans="3:10">
      <c r="C263" s="591"/>
      <c r="D263" s="651"/>
      <c r="I263" s="16"/>
      <c r="J263" s="16"/>
    </row>
    <row r="264" spans="3:10">
      <c r="C264" s="591"/>
      <c r="D264" s="651"/>
      <c r="I264" s="16"/>
      <c r="J264" s="16"/>
    </row>
    <row r="265" spans="3:10">
      <c r="C265" s="591"/>
      <c r="D265" s="651"/>
      <c r="I265" s="16"/>
      <c r="J265" s="16"/>
    </row>
    <row r="266" spans="3:10">
      <c r="C266" s="591"/>
      <c r="D266" s="651"/>
      <c r="I266" s="16"/>
      <c r="J266" s="16"/>
    </row>
    <row r="267" spans="3:10">
      <c r="C267" s="591"/>
      <c r="D267" s="651"/>
      <c r="I267" s="16"/>
      <c r="J267" s="16"/>
    </row>
    <row r="268" spans="3:10">
      <c r="C268" s="591"/>
      <c r="D268" s="651"/>
      <c r="I268" s="16"/>
      <c r="J268" s="16"/>
    </row>
    <row r="269" spans="3:10">
      <c r="C269" s="591"/>
      <c r="D269" s="651"/>
      <c r="I269" s="16"/>
      <c r="J269" s="16"/>
    </row>
    <row r="270" spans="3:10">
      <c r="C270" s="591"/>
      <c r="D270" s="651"/>
      <c r="I270" s="16"/>
      <c r="J270" s="16"/>
    </row>
    <row r="271" spans="3:10">
      <c r="C271" s="591"/>
      <c r="D271" s="651"/>
      <c r="I271" s="16"/>
      <c r="J271" s="16"/>
    </row>
    <row r="272" spans="3:10">
      <c r="C272" s="591"/>
      <c r="D272" s="651"/>
      <c r="I272" s="16"/>
      <c r="J272" s="16"/>
    </row>
    <row r="273" spans="3:10">
      <c r="C273" s="591"/>
      <c r="D273" s="651"/>
      <c r="I273" s="16"/>
      <c r="J273" s="16"/>
    </row>
    <row r="274" spans="3:10">
      <c r="C274" s="591"/>
      <c r="D274" s="651"/>
      <c r="I274" s="16"/>
      <c r="J274" s="16"/>
    </row>
    <row r="275" spans="3:10">
      <c r="C275" s="591"/>
      <c r="D275" s="651"/>
      <c r="I275" s="16"/>
      <c r="J275" s="16"/>
    </row>
    <row r="276" spans="3:10">
      <c r="C276" s="591"/>
      <c r="D276" s="651"/>
      <c r="I276" s="16"/>
      <c r="J276" s="16"/>
    </row>
    <row r="277" spans="3:10">
      <c r="C277" s="591"/>
      <c r="D277" s="651"/>
      <c r="I277" s="16"/>
      <c r="J277" s="16"/>
    </row>
    <row r="278" spans="3:10">
      <c r="C278" s="591"/>
      <c r="D278" s="651"/>
      <c r="I278" s="16"/>
      <c r="J278" s="16"/>
    </row>
    <row r="279" spans="3:10">
      <c r="C279" s="591"/>
      <c r="D279" s="651"/>
      <c r="I279" s="16"/>
      <c r="J279" s="16"/>
    </row>
    <row r="280" spans="3:10">
      <c r="C280" s="591"/>
      <c r="D280" s="651"/>
      <c r="I280" s="16"/>
      <c r="J280" s="16"/>
    </row>
    <row r="281" spans="3:10">
      <c r="C281" s="591"/>
      <c r="D281" s="651"/>
      <c r="I281" s="16"/>
      <c r="J281" s="16"/>
    </row>
    <row r="282" spans="3:10">
      <c r="C282" s="591"/>
      <c r="D282" s="651"/>
      <c r="I282" s="16"/>
      <c r="J282" s="16"/>
    </row>
    <row r="283" spans="3:10">
      <c r="C283" s="591"/>
      <c r="D283" s="651"/>
      <c r="I283" s="16"/>
      <c r="J283" s="16"/>
    </row>
    <row r="284" spans="3:10">
      <c r="C284" s="591"/>
      <c r="D284" s="651"/>
      <c r="I284" s="16"/>
      <c r="J284" s="16"/>
    </row>
    <row r="285" spans="3:10">
      <c r="C285" s="591"/>
      <c r="D285" s="651"/>
      <c r="I285" s="16"/>
      <c r="J285" s="16"/>
    </row>
    <row r="286" spans="3:10">
      <c r="C286" s="591"/>
      <c r="D286" s="651"/>
      <c r="I286" s="16"/>
      <c r="J286" s="16"/>
    </row>
    <row r="287" spans="3:10">
      <c r="C287" s="591"/>
      <c r="D287" s="651"/>
      <c r="I287" s="16"/>
      <c r="J287" s="16"/>
    </row>
    <row r="288" spans="3:10">
      <c r="C288" s="591"/>
      <c r="D288" s="651"/>
      <c r="I288" s="16"/>
      <c r="J288" s="16"/>
    </row>
    <row r="289" spans="3:10">
      <c r="C289" s="591"/>
      <c r="D289" s="651"/>
      <c r="I289" s="16"/>
      <c r="J289" s="16"/>
    </row>
    <row r="290" spans="3:10">
      <c r="C290" s="591"/>
      <c r="D290" s="651"/>
      <c r="I290" s="16"/>
      <c r="J290" s="16"/>
    </row>
    <row r="291" spans="3:10">
      <c r="C291" s="591"/>
      <c r="D291" s="651"/>
      <c r="I291" s="16"/>
      <c r="J291" s="16"/>
    </row>
    <row r="292" spans="3:10">
      <c r="C292" s="591"/>
      <c r="D292" s="651"/>
      <c r="I292" s="16"/>
      <c r="J292" s="16"/>
    </row>
    <row r="293" spans="3:10">
      <c r="C293" s="591"/>
      <c r="D293" s="651"/>
      <c r="I293" s="16"/>
      <c r="J293" s="16"/>
    </row>
    <row r="294" spans="3:10">
      <c r="C294" s="591"/>
      <c r="D294" s="651"/>
      <c r="I294" s="16"/>
      <c r="J294" s="16"/>
    </row>
    <row r="295" spans="3:10">
      <c r="C295" s="591"/>
      <c r="D295" s="651"/>
      <c r="I295" s="16"/>
      <c r="J295" s="16"/>
    </row>
    <row r="296" spans="3:10">
      <c r="C296" s="591"/>
      <c r="D296" s="651"/>
      <c r="I296" s="16"/>
      <c r="J296" s="16"/>
    </row>
    <row r="297" spans="3:10">
      <c r="C297" s="591"/>
      <c r="D297" s="651"/>
      <c r="I297" s="16"/>
      <c r="J297" s="16"/>
    </row>
    <row r="298" spans="3:10">
      <c r="C298" s="591"/>
      <c r="D298" s="651"/>
      <c r="I298" s="16"/>
      <c r="J298" s="16"/>
    </row>
    <row r="299" spans="3:10">
      <c r="C299" s="591"/>
      <c r="D299" s="651"/>
      <c r="I299" s="16"/>
      <c r="J299" s="16"/>
    </row>
    <row r="300" spans="3:10">
      <c r="C300" s="591"/>
      <c r="D300" s="651"/>
      <c r="I300" s="16"/>
      <c r="J300" s="16"/>
    </row>
    <row r="301" spans="3:10">
      <c r="C301" s="591"/>
      <c r="D301" s="651"/>
      <c r="I301" s="16"/>
      <c r="J301" s="16"/>
    </row>
    <row r="302" spans="3:10">
      <c r="C302" s="591"/>
      <c r="D302" s="651"/>
      <c r="I302" s="16"/>
      <c r="J302" s="16"/>
    </row>
    <row r="303" spans="3:10">
      <c r="C303" s="591"/>
      <c r="D303" s="651"/>
      <c r="I303" s="16"/>
      <c r="J303" s="16"/>
    </row>
    <row r="304" spans="3:10">
      <c r="C304" s="591"/>
      <c r="D304" s="651"/>
      <c r="I304" s="16"/>
      <c r="J304" s="16"/>
    </row>
    <row r="305" spans="3:10">
      <c r="C305" s="591"/>
      <c r="D305" s="651"/>
      <c r="I305" s="16"/>
      <c r="J305" s="16"/>
    </row>
    <row r="306" spans="3:10">
      <c r="C306" s="591"/>
      <c r="D306" s="651"/>
      <c r="I306" s="16"/>
      <c r="J306" s="16"/>
    </row>
    <row r="307" spans="3:10">
      <c r="C307" s="591"/>
      <c r="D307" s="651"/>
      <c r="I307" s="16"/>
      <c r="J307" s="16"/>
    </row>
    <row r="308" spans="3:10">
      <c r="C308" s="591"/>
      <c r="D308" s="651"/>
      <c r="I308" s="16"/>
      <c r="J308" s="16"/>
    </row>
    <row r="309" spans="3:10">
      <c r="C309" s="591"/>
      <c r="D309" s="651"/>
      <c r="I309" s="16"/>
      <c r="J309" s="16"/>
    </row>
    <row r="310" spans="3:10">
      <c r="C310" s="591"/>
      <c r="D310" s="651"/>
      <c r="I310" s="16"/>
      <c r="J310" s="16"/>
    </row>
    <row r="311" spans="3:10">
      <c r="C311" s="591"/>
      <c r="D311" s="651"/>
      <c r="I311" s="16"/>
      <c r="J311" s="16"/>
    </row>
    <row r="312" spans="3:10">
      <c r="C312" s="591"/>
      <c r="D312" s="651"/>
      <c r="I312" s="16"/>
      <c r="J312" s="16"/>
    </row>
    <row r="313" spans="3:10">
      <c r="C313" s="591"/>
      <c r="D313" s="651"/>
      <c r="I313" s="16"/>
      <c r="J313" s="16"/>
    </row>
    <row r="314" spans="3:10">
      <c r="C314" s="591"/>
      <c r="D314" s="651"/>
      <c r="I314" s="16"/>
      <c r="J314" s="16"/>
    </row>
    <row r="315" spans="3:10">
      <c r="C315" s="591"/>
      <c r="D315" s="651"/>
      <c r="I315" s="16"/>
      <c r="J315" s="16"/>
    </row>
    <row r="316" spans="3:10">
      <c r="C316" s="591"/>
      <c r="D316" s="651"/>
      <c r="I316" s="16"/>
      <c r="J316" s="16"/>
    </row>
    <row r="317" spans="3:10">
      <c r="C317" s="591"/>
      <c r="D317" s="651"/>
      <c r="I317" s="16"/>
      <c r="J317" s="16"/>
    </row>
    <row r="318" spans="3:10">
      <c r="C318" s="591"/>
      <c r="D318" s="651"/>
      <c r="I318" s="16"/>
      <c r="J318" s="16"/>
    </row>
    <row r="319" spans="3:10">
      <c r="C319" s="591"/>
      <c r="D319" s="651"/>
      <c r="I319" s="16"/>
      <c r="J319" s="16"/>
    </row>
    <row r="320" spans="3:10">
      <c r="C320" s="591"/>
      <c r="D320" s="651"/>
      <c r="I320" s="16"/>
      <c r="J320" s="16"/>
    </row>
    <row r="321" spans="3:10">
      <c r="C321" s="591"/>
      <c r="D321" s="651"/>
      <c r="I321" s="16"/>
      <c r="J321" s="16"/>
    </row>
    <row r="322" spans="3:10">
      <c r="C322" s="591"/>
      <c r="D322" s="651"/>
      <c r="I322" s="16"/>
      <c r="J322" s="16"/>
    </row>
    <row r="323" spans="3:10">
      <c r="C323" s="591"/>
      <c r="D323" s="651"/>
      <c r="I323" s="16"/>
      <c r="J323" s="16"/>
    </row>
    <row r="324" spans="3:10">
      <c r="C324" s="591"/>
      <c r="D324" s="651"/>
      <c r="I324" s="16"/>
      <c r="J324" s="16"/>
    </row>
    <row r="325" spans="3:10">
      <c r="C325" s="591"/>
      <c r="D325" s="651"/>
      <c r="I325" s="16"/>
      <c r="J325" s="16"/>
    </row>
    <row r="326" spans="3:10">
      <c r="C326" s="591"/>
      <c r="D326" s="651"/>
      <c r="I326" s="16"/>
      <c r="J326" s="16"/>
    </row>
    <row r="327" spans="3:10">
      <c r="C327" s="591"/>
      <c r="D327" s="651"/>
      <c r="I327" s="16"/>
      <c r="J327" s="16"/>
    </row>
    <row r="328" spans="3:10">
      <c r="C328" s="591"/>
      <c r="D328" s="651"/>
      <c r="I328" s="16"/>
      <c r="J328" s="16"/>
    </row>
    <row r="329" spans="3:10">
      <c r="C329" s="591"/>
      <c r="D329" s="651"/>
      <c r="I329" s="16"/>
      <c r="J329" s="16"/>
    </row>
    <row r="330" spans="3:10">
      <c r="C330" s="591"/>
      <c r="D330" s="651"/>
      <c r="I330" s="16"/>
      <c r="J330" s="16"/>
    </row>
    <row r="331" spans="3:10">
      <c r="C331" s="591"/>
      <c r="D331" s="651"/>
      <c r="I331" s="16"/>
      <c r="J331" s="16"/>
    </row>
    <row r="332" spans="3:10">
      <c r="C332" s="591"/>
      <c r="D332" s="651"/>
      <c r="I332" s="16"/>
      <c r="J332" s="16"/>
    </row>
    <row r="333" spans="3:10">
      <c r="C333" s="591"/>
      <c r="D333" s="651"/>
      <c r="I333" s="16"/>
      <c r="J333" s="16"/>
    </row>
    <row r="334" spans="3:10">
      <c r="C334" s="591"/>
      <c r="D334" s="651"/>
      <c r="I334" s="16"/>
      <c r="J334" s="16"/>
    </row>
    <row r="335" spans="3:10">
      <c r="C335" s="591"/>
      <c r="D335" s="651"/>
      <c r="I335" s="16"/>
      <c r="J335" s="16"/>
    </row>
    <row r="336" spans="3:10">
      <c r="C336" s="591"/>
      <c r="D336" s="651"/>
      <c r="I336" s="16"/>
      <c r="J336" s="16"/>
    </row>
    <row r="337" spans="3:10">
      <c r="C337" s="591"/>
      <c r="D337" s="651"/>
      <c r="I337" s="16"/>
      <c r="J337" s="16"/>
    </row>
    <row r="338" spans="3:10">
      <c r="C338" s="591"/>
      <c r="D338" s="651"/>
      <c r="I338" s="16"/>
      <c r="J338" s="16"/>
    </row>
    <row r="339" spans="3:10">
      <c r="C339" s="591"/>
      <c r="D339" s="651"/>
      <c r="I339" s="16"/>
      <c r="J339" s="16"/>
    </row>
    <row r="340" spans="3:10">
      <c r="C340" s="591"/>
      <c r="D340" s="651"/>
      <c r="I340" s="16"/>
      <c r="J340" s="16"/>
    </row>
    <row r="341" spans="3:10">
      <c r="C341" s="591"/>
      <c r="D341" s="651"/>
      <c r="I341" s="16"/>
      <c r="J341" s="16"/>
    </row>
    <row r="342" spans="3:10">
      <c r="C342" s="591"/>
      <c r="D342" s="651"/>
      <c r="I342" s="16"/>
      <c r="J342" s="16"/>
    </row>
    <row r="343" spans="3:10">
      <c r="C343" s="591"/>
      <c r="D343" s="651"/>
      <c r="I343" s="16"/>
      <c r="J343" s="16"/>
    </row>
    <row r="344" spans="3:10">
      <c r="C344" s="591"/>
      <c r="D344" s="651"/>
      <c r="I344" s="16"/>
      <c r="J344" s="16"/>
    </row>
    <row r="345" spans="3:10">
      <c r="C345" s="591"/>
      <c r="D345" s="651"/>
      <c r="I345" s="16"/>
      <c r="J345" s="16"/>
    </row>
    <row r="346" spans="3:10">
      <c r="C346" s="591"/>
      <c r="D346" s="651"/>
      <c r="I346" s="16"/>
      <c r="J346" s="16"/>
    </row>
    <row r="347" spans="3:10">
      <c r="C347" s="591"/>
      <c r="D347" s="651"/>
      <c r="I347" s="16"/>
      <c r="J347" s="16"/>
    </row>
    <row r="348" spans="3:10">
      <c r="C348" s="591"/>
      <c r="D348" s="651"/>
      <c r="I348" s="16"/>
      <c r="J348" s="16"/>
    </row>
    <row r="349" spans="3:10">
      <c r="C349" s="591"/>
      <c r="D349" s="651"/>
      <c r="I349" s="16"/>
      <c r="J349" s="16"/>
    </row>
    <row r="350" spans="3:10">
      <c r="C350" s="591"/>
      <c r="D350" s="651"/>
      <c r="I350" s="16"/>
      <c r="J350" s="16"/>
    </row>
    <row r="351" spans="3:10">
      <c r="C351" s="591"/>
      <c r="D351" s="651"/>
      <c r="I351" s="16"/>
      <c r="J351" s="16"/>
    </row>
    <row r="352" spans="3:10">
      <c r="C352" s="591"/>
      <c r="D352" s="651"/>
      <c r="I352" s="16"/>
      <c r="J352" s="16"/>
    </row>
    <row r="353" spans="3:10">
      <c r="C353" s="591"/>
      <c r="D353" s="651"/>
      <c r="I353" s="16"/>
      <c r="J353" s="16"/>
    </row>
    <row r="354" spans="3:10">
      <c r="C354" s="591"/>
      <c r="D354" s="651"/>
      <c r="I354" s="16"/>
      <c r="J354" s="16"/>
    </row>
    <row r="355" spans="3:10">
      <c r="C355" s="591"/>
      <c r="D355" s="651"/>
      <c r="I355" s="16"/>
      <c r="J355" s="16"/>
    </row>
    <row r="356" spans="3:10">
      <c r="C356" s="591"/>
      <c r="D356" s="651"/>
      <c r="I356" s="16"/>
      <c r="J356" s="16"/>
    </row>
    <row r="357" spans="3:10">
      <c r="C357" s="591"/>
      <c r="D357" s="651"/>
      <c r="I357" s="16"/>
      <c r="J357" s="16"/>
    </row>
    <row r="358" spans="3:10">
      <c r="C358" s="591"/>
      <c r="D358" s="651"/>
      <c r="I358" s="16"/>
      <c r="J358" s="16"/>
    </row>
    <row r="359" spans="3:10">
      <c r="C359" s="591"/>
      <c r="D359" s="651"/>
      <c r="I359" s="16"/>
      <c r="J359" s="16"/>
    </row>
    <row r="360" spans="3:10">
      <c r="C360" s="591"/>
      <c r="D360" s="651"/>
      <c r="I360" s="16"/>
      <c r="J360" s="16"/>
    </row>
    <row r="361" spans="3:10">
      <c r="C361" s="591"/>
      <c r="D361" s="651"/>
      <c r="I361" s="16"/>
      <c r="J361" s="16"/>
    </row>
    <row r="362" spans="3:10">
      <c r="C362" s="591"/>
      <c r="D362" s="651"/>
      <c r="I362" s="16"/>
      <c r="J362" s="16"/>
    </row>
    <row r="363" spans="3:10">
      <c r="C363" s="591"/>
      <c r="D363" s="651"/>
      <c r="I363" s="16"/>
      <c r="J363" s="16"/>
    </row>
    <row r="364" spans="3:10">
      <c r="C364" s="591"/>
      <c r="D364" s="651"/>
      <c r="I364" s="16"/>
      <c r="J364" s="16"/>
    </row>
    <row r="365" spans="3:10">
      <c r="C365" s="591"/>
      <c r="D365" s="651"/>
      <c r="I365" s="16"/>
      <c r="J365" s="16"/>
    </row>
    <row r="366" spans="3:10">
      <c r="C366" s="591"/>
      <c r="D366" s="651"/>
      <c r="I366" s="16"/>
      <c r="J366" s="16"/>
    </row>
    <row r="367" spans="3:10">
      <c r="C367" s="591"/>
      <c r="D367" s="651"/>
      <c r="I367" s="16"/>
      <c r="J367" s="16"/>
    </row>
    <row r="368" spans="3:10">
      <c r="C368" s="591"/>
      <c r="D368" s="651"/>
      <c r="I368" s="16"/>
      <c r="J368" s="16"/>
    </row>
    <row r="369" spans="3:10">
      <c r="C369" s="591"/>
      <c r="D369" s="651"/>
      <c r="I369" s="16"/>
      <c r="J369" s="16"/>
    </row>
    <row r="370" spans="3:10">
      <c r="C370" s="591"/>
      <c r="D370" s="651"/>
      <c r="I370" s="16"/>
      <c r="J370" s="16"/>
    </row>
    <row r="371" spans="3:10">
      <c r="C371" s="591"/>
      <c r="D371" s="651"/>
      <c r="I371" s="16"/>
      <c r="J371" s="16"/>
    </row>
    <row r="372" spans="3:10">
      <c r="C372" s="591"/>
      <c r="D372" s="651"/>
      <c r="I372" s="16"/>
      <c r="J372" s="16"/>
    </row>
    <row r="373" spans="3:10">
      <c r="C373" s="591"/>
      <c r="D373" s="651"/>
      <c r="I373" s="16"/>
      <c r="J373" s="16"/>
    </row>
    <row r="374" spans="3:10">
      <c r="C374" s="591"/>
      <c r="D374" s="651"/>
      <c r="I374" s="16"/>
      <c r="J374" s="16"/>
    </row>
    <row r="375" spans="3:10">
      <c r="C375" s="591"/>
      <c r="D375" s="651"/>
      <c r="I375" s="16"/>
      <c r="J375" s="16"/>
    </row>
    <row r="376" spans="3:10">
      <c r="C376" s="591"/>
      <c r="D376" s="651"/>
      <c r="I376" s="16"/>
      <c r="J376" s="16"/>
    </row>
    <row r="377" spans="3:10">
      <c r="C377" s="591"/>
      <c r="D377" s="651"/>
      <c r="I377" s="16"/>
      <c r="J377" s="16"/>
    </row>
    <row r="378" spans="3:10">
      <c r="C378" s="591"/>
      <c r="D378" s="651"/>
      <c r="I378" s="16"/>
      <c r="J378" s="16"/>
    </row>
    <row r="379" spans="3:10">
      <c r="C379" s="591"/>
      <c r="D379" s="651"/>
      <c r="I379" s="16"/>
      <c r="J379" s="16"/>
    </row>
    <row r="380" spans="3:10">
      <c r="C380" s="591"/>
      <c r="D380" s="651"/>
      <c r="I380" s="16"/>
      <c r="J380" s="16"/>
    </row>
    <row r="381" spans="3:10">
      <c r="C381" s="591"/>
      <c r="D381" s="651"/>
      <c r="I381" s="16"/>
      <c r="J381" s="16"/>
    </row>
    <row r="382" spans="3:10">
      <c r="C382" s="591"/>
      <c r="D382" s="651"/>
      <c r="I382" s="16"/>
      <c r="J382" s="16"/>
    </row>
    <row r="383" spans="3:10">
      <c r="C383" s="591"/>
      <c r="D383" s="651"/>
      <c r="I383" s="16"/>
      <c r="J383" s="16"/>
    </row>
    <row r="384" spans="3:10">
      <c r="C384" s="591"/>
      <c r="D384" s="651"/>
      <c r="I384" s="16"/>
      <c r="J384" s="16"/>
    </row>
    <row r="385" spans="3:10">
      <c r="C385" s="591"/>
      <c r="D385" s="651"/>
      <c r="I385" s="16"/>
      <c r="J385" s="16"/>
    </row>
    <row r="386" spans="3:10">
      <c r="C386" s="591"/>
      <c r="D386" s="651"/>
      <c r="I386" s="16"/>
      <c r="J386" s="16"/>
    </row>
    <row r="387" spans="3:10">
      <c r="C387" s="591"/>
      <c r="D387" s="651"/>
      <c r="I387" s="16"/>
      <c r="J387" s="16"/>
    </row>
    <row r="388" spans="3:10">
      <c r="C388" s="591"/>
      <c r="D388" s="651"/>
      <c r="I388" s="16"/>
      <c r="J388" s="16"/>
    </row>
    <row r="389" spans="3:10">
      <c r="C389" s="591"/>
      <c r="D389" s="651"/>
      <c r="I389" s="16"/>
      <c r="J389" s="16"/>
    </row>
    <row r="390" spans="3:10">
      <c r="C390" s="591"/>
      <c r="D390" s="651"/>
      <c r="I390" s="16"/>
      <c r="J390" s="16"/>
    </row>
    <row r="391" spans="3:10">
      <c r="C391" s="591"/>
      <c r="D391" s="651"/>
      <c r="I391" s="16"/>
      <c r="J391" s="16"/>
    </row>
    <row r="392" spans="3:10">
      <c r="C392" s="591"/>
      <c r="D392" s="651"/>
      <c r="I392" s="16"/>
      <c r="J392" s="16"/>
    </row>
    <row r="393" spans="3:10">
      <c r="C393" s="591"/>
      <c r="D393" s="651"/>
      <c r="I393" s="16"/>
      <c r="J393" s="16"/>
    </row>
    <row r="394" spans="3:10">
      <c r="C394" s="591"/>
      <c r="D394" s="651"/>
      <c r="I394" s="16"/>
      <c r="J394" s="16"/>
    </row>
    <row r="395" spans="3:10">
      <c r="C395" s="591"/>
      <c r="D395" s="651"/>
      <c r="I395" s="16"/>
      <c r="J395" s="16"/>
    </row>
    <row r="396" spans="3:10">
      <c r="C396" s="591"/>
      <c r="D396" s="651"/>
      <c r="I396" s="16"/>
      <c r="J396" s="16"/>
    </row>
    <row r="397" spans="3:10">
      <c r="C397" s="591"/>
      <c r="D397" s="651"/>
      <c r="I397" s="16"/>
      <c r="J397" s="16"/>
    </row>
    <row r="398" spans="3:10">
      <c r="C398" s="591"/>
      <c r="D398" s="651"/>
      <c r="I398" s="16"/>
      <c r="J398" s="16"/>
    </row>
    <row r="399" spans="3:10">
      <c r="C399" s="591"/>
      <c r="D399" s="651"/>
      <c r="I399" s="16"/>
      <c r="J399" s="16"/>
    </row>
    <row r="400" spans="3:10">
      <c r="C400" s="591"/>
      <c r="D400" s="651"/>
      <c r="I400" s="16"/>
      <c r="J400" s="16"/>
    </row>
    <row r="401" spans="3:10">
      <c r="C401" s="591"/>
      <c r="D401" s="651"/>
      <c r="I401" s="16"/>
      <c r="J401" s="16"/>
    </row>
    <row r="402" spans="3:10">
      <c r="C402" s="591"/>
      <c r="D402" s="651"/>
      <c r="I402" s="16"/>
      <c r="J402" s="16"/>
    </row>
    <row r="403" spans="3:10">
      <c r="C403" s="591"/>
      <c r="D403" s="651"/>
      <c r="I403" s="16"/>
      <c r="J403" s="16"/>
    </row>
    <row r="404" spans="3:10">
      <c r="C404" s="591"/>
      <c r="D404" s="651"/>
      <c r="I404" s="16"/>
      <c r="J404" s="16"/>
    </row>
    <row r="405" spans="3:10">
      <c r="C405" s="591"/>
      <c r="D405" s="651"/>
      <c r="I405" s="16"/>
      <c r="J405" s="16"/>
    </row>
    <row r="406" spans="3:10">
      <c r="C406" s="591"/>
      <c r="D406" s="651"/>
      <c r="I406" s="16"/>
      <c r="J406" s="16"/>
    </row>
    <row r="407" spans="3:10">
      <c r="C407" s="591"/>
      <c r="D407" s="651"/>
      <c r="I407" s="16"/>
      <c r="J407" s="16"/>
    </row>
    <row r="408" spans="3:10">
      <c r="C408" s="591"/>
      <c r="D408" s="651"/>
      <c r="I408" s="16"/>
      <c r="J408" s="16"/>
    </row>
    <row r="409" spans="3:10">
      <c r="C409" s="591"/>
      <c r="D409" s="651"/>
      <c r="I409" s="16"/>
      <c r="J409" s="16"/>
    </row>
    <row r="410" spans="3:10">
      <c r="C410" s="591"/>
      <c r="D410" s="651"/>
      <c r="I410" s="16"/>
      <c r="J410" s="16"/>
    </row>
    <row r="411" spans="3:10">
      <c r="C411" s="591"/>
      <c r="D411" s="651"/>
      <c r="I411" s="16"/>
      <c r="J411" s="16"/>
    </row>
    <row r="412" spans="3:10">
      <c r="C412" s="591"/>
      <c r="D412" s="651"/>
      <c r="I412" s="16"/>
      <c r="J412" s="16"/>
    </row>
    <row r="413" spans="3:10">
      <c r="C413" s="591"/>
      <c r="D413" s="651"/>
      <c r="I413" s="16"/>
      <c r="J413" s="16"/>
    </row>
    <row r="414" spans="3:10">
      <c r="C414" s="591"/>
      <c r="D414" s="651"/>
      <c r="I414" s="16"/>
      <c r="J414" s="16"/>
    </row>
    <row r="415" spans="3:10">
      <c r="C415" s="591"/>
      <c r="D415" s="651"/>
      <c r="I415" s="16"/>
      <c r="J415" s="16"/>
    </row>
    <row r="416" spans="3:10">
      <c r="C416" s="591"/>
      <c r="D416" s="651"/>
      <c r="I416" s="16"/>
      <c r="J416" s="16"/>
    </row>
    <row r="417" spans="3:10">
      <c r="C417" s="591"/>
      <c r="D417" s="651"/>
      <c r="I417" s="16"/>
      <c r="J417" s="16"/>
    </row>
    <row r="418" spans="3:10">
      <c r="C418" s="591"/>
      <c r="D418" s="651"/>
      <c r="I418" s="16"/>
      <c r="J418" s="16"/>
    </row>
    <row r="419" spans="3:10">
      <c r="C419" s="591"/>
      <c r="D419" s="651"/>
      <c r="I419" s="16"/>
      <c r="J419" s="16"/>
    </row>
    <row r="420" spans="3:10">
      <c r="C420" s="591"/>
      <c r="D420" s="651"/>
      <c r="I420" s="16"/>
      <c r="J420" s="16"/>
    </row>
    <row r="421" spans="3:10">
      <c r="C421" s="591"/>
      <c r="D421" s="651"/>
      <c r="I421" s="16"/>
      <c r="J421" s="16"/>
    </row>
    <row r="422" spans="3:10">
      <c r="C422" s="591"/>
      <c r="D422" s="651"/>
      <c r="I422" s="16"/>
      <c r="J422" s="16"/>
    </row>
    <row r="423" spans="3:10">
      <c r="C423" s="591"/>
      <c r="D423" s="651"/>
      <c r="I423" s="16"/>
      <c r="J423" s="16"/>
    </row>
    <row r="424" spans="3:10">
      <c r="C424" s="591"/>
      <c r="D424" s="651"/>
      <c r="I424" s="16"/>
      <c r="J424" s="16"/>
    </row>
    <row r="425" spans="3:10">
      <c r="C425" s="591"/>
      <c r="D425" s="651"/>
      <c r="I425" s="16"/>
      <c r="J425" s="16"/>
    </row>
    <row r="426" spans="3:10">
      <c r="C426" s="591"/>
      <c r="D426" s="651"/>
      <c r="I426" s="16"/>
      <c r="J426" s="16"/>
    </row>
    <row r="427" spans="3:10">
      <c r="C427" s="591"/>
      <c r="D427" s="651"/>
      <c r="I427" s="16"/>
      <c r="J427" s="16"/>
    </row>
    <row r="428" spans="3:10">
      <c r="C428" s="591"/>
      <c r="D428" s="651"/>
      <c r="I428" s="16"/>
      <c r="J428" s="16"/>
    </row>
    <row r="429" spans="3:10">
      <c r="C429" s="591"/>
      <c r="D429" s="651"/>
      <c r="I429" s="16"/>
      <c r="J429" s="16"/>
    </row>
    <row r="430" spans="3:10">
      <c r="C430" s="591"/>
      <c r="D430" s="651"/>
      <c r="I430" s="16"/>
      <c r="J430" s="16"/>
    </row>
    <row r="431" spans="3:10">
      <c r="C431" s="591"/>
      <c r="D431" s="651"/>
      <c r="I431" s="16"/>
      <c r="J431" s="16"/>
    </row>
    <row r="432" spans="3:10">
      <c r="C432" s="591"/>
      <c r="D432" s="651"/>
      <c r="I432" s="16"/>
      <c r="J432" s="16"/>
    </row>
    <row r="433" spans="3:10">
      <c r="C433" s="591"/>
      <c r="D433" s="651"/>
      <c r="I433" s="16"/>
      <c r="J433" s="16"/>
    </row>
    <row r="434" spans="3:10">
      <c r="C434" s="591"/>
      <c r="D434" s="651"/>
      <c r="I434" s="16"/>
      <c r="J434" s="16"/>
    </row>
    <row r="435" spans="3:10">
      <c r="C435" s="591"/>
      <c r="D435" s="651"/>
      <c r="I435" s="16"/>
      <c r="J435" s="16"/>
    </row>
    <row r="436" spans="3:10">
      <c r="C436" s="591"/>
      <c r="D436" s="651"/>
      <c r="I436" s="16"/>
      <c r="J436" s="16"/>
    </row>
    <row r="437" spans="3:10">
      <c r="C437" s="591"/>
      <c r="D437" s="651"/>
      <c r="I437" s="16"/>
      <c r="J437" s="16"/>
    </row>
    <row r="438" spans="3:10">
      <c r="C438" s="591"/>
      <c r="D438" s="651"/>
      <c r="I438" s="16"/>
      <c r="J438" s="16"/>
    </row>
    <row r="439" spans="3:10">
      <c r="C439" s="591"/>
      <c r="D439" s="651"/>
      <c r="I439" s="16"/>
      <c r="J439" s="16"/>
    </row>
    <row r="440" spans="3:10">
      <c r="C440" s="591"/>
      <c r="D440" s="651"/>
      <c r="I440" s="16"/>
      <c r="J440" s="16"/>
    </row>
    <row r="441" spans="3:10">
      <c r="C441" s="591"/>
      <c r="D441" s="651"/>
      <c r="I441" s="16"/>
      <c r="J441" s="16"/>
    </row>
    <row r="442" spans="3:10">
      <c r="C442" s="591"/>
      <c r="D442" s="651"/>
      <c r="I442" s="16"/>
      <c r="J442" s="16"/>
    </row>
    <row r="443" spans="3:10">
      <c r="C443" s="591"/>
      <c r="D443" s="651"/>
      <c r="I443" s="16"/>
      <c r="J443" s="16"/>
    </row>
    <row r="444" spans="3:10">
      <c r="C444" s="591"/>
      <c r="D444" s="651"/>
      <c r="I444" s="16"/>
      <c r="J444" s="16"/>
    </row>
    <row r="445" spans="3:10">
      <c r="C445" s="591"/>
      <c r="D445" s="651"/>
      <c r="I445" s="16"/>
      <c r="J445" s="16"/>
    </row>
    <row r="446" spans="3:10">
      <c r="C446" s="591"/>
      <c r="D446" s="651"/>
      <c r="I446" s="16"/>
      <c r="J446" s="16"/>
    </row>
    <row r="447" spans="3:10">
      <c r="C447" s="591"/>
      <c r="D447" s="651"/>
      <c r="I447" s="16"/>
      <c r="J447" s="16"/>
    </row>
    <row r="448" spans="3:10">
      <c r="C448" s="591"/>
      <c r="D448" s="651"/>
      <c r="I448" s="16"/>
      <c r="J448" s="16"/>
    </row>
    <row r="449" spans="3:10">
      <c r="C449" s="591"/>
      <c r="D449" s="651"/>
      <c r="I449" s="16"/>
      <c r="J449" s="16"/>
    </row>
    <row r="450" spans="3:10">
      <c r="C450" s="591"/>
      <c r="D450" s="651"/>
      <c r="I450" s="16"/>
      <c r="J450" s="16"/>
    </row>
    <row r="451" spans="3:10">
      <c r="C451" s="591"/>
      <c r="D451" s="651"/>
      <c r="I451" s="16"/>
      <c r="J451" s="16"/>
    </row>
    <row r="452" spans="3:10">
      <c r="C452" s="591"/>
      <c r="D452" s="651"/>
      <c r="I452" s="16"/>
      <c r="J452" s="16"/>
    </row>
    <row r="453" spans="3:10">
      <c r="C453" s="591"/>
      <c r="D453" s="651"/>
      <c r="I453" s="16"/>
      <c r="J453" s="16"/>
    </row>
    <row r="454" spans="3:10">
      <c r="C454" s="591"/>
      <c r="D454" s="651"/>
      <c r="I454" s="16"/>
      <c r="J454" s="16"/>
    </row>
    <row r="455" spans="3:10">
      <c r="C455" s="591"/>
      <c r="D455" s="651"/>
      <c r="I455" s="16"/>
      <c r="J455" s="16"/>
    </row>
    <row r="456" spans="3:10">
      <c r="C456" s="591"/>
      <c r="D456" s="651"/>
      <c r="I456" s="16"/>
      <c r="J456" s="16"/>
    </row>
    <row r="457" spans="3:10">
      <c r="C457" s="591"/>
      <c r="D457" s="651"/>
      <c r="I457" s="16"/>
      <c r="J457" s="16"/>
    </row>
    <row r="458" spans="3:10">
      <c r="C458" s="591"/>
      <c r="D458" s="651"/>
      <c r="I458" s="16"/>
      <c r="J458" s="16"/>
    </row>
    <row r="459" spans="3:10">
      <c r="C459" s="591"/>
      <c r="D459" s="651"/>
      <c r="I459" s="16"/>
      <c r="J459" s="16"/>
    </row>
    <row r="460" spans="3:10">
      <c r="C460" s="591"/>
      <c r="D460" s="651"/>
      <c r="I460" s="16"/>
      <c r="J460" s="16"/>
    </row>
    <row r="461" spans="3:10">
      <c r="C461" s="591"/>
      <c r="D461" s="651"/>
      <c r="I461" s="16"/>
      <c r="J461" s="16"/>
    </row>
    <row r="462" spans="3:10">
      <c r="C462" s="591"/>
      <c r="D462" s="651"/>
      <c r="I462" s="16"/>
      <c r="J462" s="16"/>
    </row>
    <row r="463" spans="3:10">
      <c r="C463" s="591"/>
      <c r="D463" s="651"/>
      <c r="I463" s="16"/>
      <c r="J463" s="16"/>
    </row>
    <row r="464" spans="3:10">
      <c r="C464" s="591"/>
      <c r="D464" s="651"/>
      <c r="I464" s="16"/>
      <c r="J464" s="16"/>
    </row>
    <row r="465" spans="3:10">
      <c r="C465" s="591"/>
      <c r="D465" s="651"/>
      <c r="I465" s="16"/>
      <c r="J465" s="16"/>
    </row>
    <row r="466" spans="3:10">
      <c r="C466" s="591"/>
      <c r="D466" s="651"/>
      <c r="I466" s="16"/>
      <c r="J466" s="16"/>
    </row>
    <row r="467" spans="3:10">
      <c r="C467" s="591"/>
      <c r="D467" s="651"/>
      <c r="I467" s="16"/>
      <c r="J467" s="16"/>
    </row>
    <row r="468" spans="3:10">
      <c r="C468" s="591"/>
      <c r="D468" s="651"/>
      <c r="I468" s="16"/>
      <c r="J468" s="16"/>
    </row>
    <row r="469" spans="3:10">
      <c r="C469" s="591"/>
      <c r="D469" s="651"/>
      <c r="I469" s="16"/>
      <c r="J469" s="16"/>
    </row>
    <row r="470" spans="3:10">
      <c r="C470" s="591"/>
      <c r="D470" s="651"/>
      <c r="I470" s="16"/>
      <c r="J470" s="16"/>
    </row>
    <row r="471" spans="3:10">
      <c r="C471" s="591"/>
      <c r="D471" s="651"/>
      <c r="I471" s="16"/>
      <c r="J471" s="16"/>
    </row>
    <row r="472" spans="3:10">
      <c r="C472" s="591"/>
      <c r="D472" s="651"/>
      <c r="I472" s="16"/>
      <c r="J472" s="16"/>
    </row>
    <row r="473" spans="3:10">
      <c r="C473" s="591"/>
      <c r="D473" s="651"/>
      <c r="I473" s="16"/>
      <c r="J473" s="16"/>
    </row>
    <row r="474" spans="3:10">
      <c r="C474" s="591"/>
      <c r="D474" s="651"/>
      <c r="I474" s="16"/>
      <c r="J474" s="16"/>
    </row>
    <row r="475" spans="3:10">
      <c r="C475" s="591"/>
      <c r="D475" s="651"/>
      <c r="I475" s="16"/>
      <c r="J475" s="16"/>
    </row>
    <row r="476" spans="3:10">
      <c r="C476" s="591"/>
      <c r="D476" s="651"/>
      <c r="I476" s="16"/>
      <c r="J476" s="16"/>
    </row>
    <row r="477" spans="3:10">
      <c r="C477" s="591"/>
      <c r="D477" s="651"/>
      <c r="I477" s="16"/>
      <c r="J477" s="16"/>
    </row>
    <row r="478" spans="3:10">
      <c r="C478" s="591"/>
      <c r="D478" s="651"/>
      <c r="I478" s="16"/>
      <c r="J478" s="16"/>
    </row>
    <row r="479" spans="3:10">
      <c r="C479" s="591"/>
      <c r="D479" s="651"/>
      <c r="I479" s="16"/>
      <c r="J479" s="16"/>
    </row>
    <row r="480" spans="3:10">
      <c r="C480" s="591"/>
      <c r="D480" s="651"/>
      <c r="I480" s="16"/>
      <c r="J480" s="16"/>
    </row>
    <row r="481" spans="3:10">
      <c r="C481" s="591"/>
      <c r="D481" s="651"/>
      <c r="I481" s="16"/>
      <c r="J481" s="16"/>
    </row>
    <row r="482" spans="3:10">
      <c r="C482" s="591"/>
      <c r="D482" s="651"/>
      <c r="I482" s="16"/>
      <c r="J482" s="16"/>
    </row>
    <row r="483" spans="3:10">
      <c r="C483" s="591"/>
      <c r="D483" s="651"/>
      <c r="I483" s="16"/>
      <c r="J483" s="16"/>
    </row>
    <row r="484" spans="3:10">
      <c r="C484" s="591"/>
      <c r="D484" s="651"/>
      <c r="I484" s="16"/>
      <c r="J484" s="16"/>
    </row>
    <row r="485" spans="3:10">
      <c r="C485" s="591"/>
      <c r="D485" s="651"/>
      <c r="I485" s="16"/>
      <c r="J485" s="16"/>
    </row>
    <row r="486" spans="3:10">
      <c r="C486" s="591"/>
      <c r="D486" s="651"/>
      <c r="I486" s="16"/>
      <c r="J486" s="16"/>
    </row>
    <row r="487" spans="3:10">
      <c r="C487" s="591"/>
      <c r="D487" s="651"/>
      <c r="I487" s="16"/>
      <c r="J487" s="16"/>
    </row>
    <row r="488" spans="3:10">
      <c r="C488" s="591"/>
      <c r="D488" s="651"/>
      <c r="I488" s="16"/>
      <c r="J488" s="16"/>
    </row>
    <row r="489" spans="3:10">
      <c r="C489" s="591"/>
      <c r="D489" s="651"/>
      <c r="I489" s="16"/>
      <c r="J489" s="16"/>
    </row>
    <row r="490" spans="3:10">
      <c r="C490" s="591"/>
      <c r="D490" s="651"/>
      <c r="I490" s="16"/>
      <c r="J490" s="16"/>
    </row>
    <row r="491" spans="3:10">
      <c r="C491" s="591"/>
      <c r="D491" s="651"/>
      <c r="I491" s="16"/>
      <c r="J491" s="16"/>
    </row>
    <row r="492" spans="3:10">
      <c r="C492" s="591"/>
      <c r="D492" s="651"/>
      <c r="I492" s="16"/>
      <c r="J492" s="16"/>
    </row>
    <row r="493" spans="3:10">
      <c r="C493" s="591"/>
      <c r="D493" s="651"/>
      <c r="I493" s="16"/>
      <c r="J493" s="16"/>
    </row>
    <row r="494" spans="3:10">
      <c r="C494" s="591"/>
      <c r="D494" s="651"/>
      <c r="I494" s="16"/>
      <c r="J494" s="16"/>
    </row>
    <row r="495" spans="3:10">
      <c r="C495" s="591"/>
      <c r="D495" s="651"/>
      <c r="I495" s="16"/>
      <c r="J495" s="16"/>
    </row>
    <row r="496" spans="3:10">
      <c r="C496" s="591"/>
      <c r="D496" s="651"/>
      <c r="I496" s="16"/>
      <c r="J496" s="16"/>
    </row>
    <row r="497" spans="3:10">
      <c r="C497" s="591"/>
      <c r="D497" s="651"/>
      <c r="I497" s="16"/>
      <c r="J497" s="16"/>
    </row>
    <row r="498" spans="3:10">
      <c r="C498" s="591"/>
      <c r="D498" s="651"/>
      <c r="I498" s="16"/>
      <c r="J498" s="16"/>
    </row>
    <row r="499" spans="3:10">
      <c r="C499" s="591"/>
      <c r="D499" s="651"/>
      <c r="I499" s="16"/>
      <c r="J499" s="16"/>
    </row>
    <row r="500" spans="3:10">
      <c r="C500" s="591"/>
      <c r="D500" s="651"/>
      <c r="I500" s="16"/>
      <c r="J500" s="16"/>
    </row>
    <row r="501" spans="3:10">
      <c r="C501" s="591"/>
      <c r="D501" s="651"/>
      <c r="I501" s="16"/>
      <c r="J501" s="16"/>
    </row>
    <row r="502" spans="3:10">
      <c r="C502" s="591"/>
      <c r="D502" s="651"/>
      <c r="I502" s="16"/>
      <c r="J502" s="16"/>
    </row>
    <row r="503" spans="3:10">
      <c r="C503" s="591"/>
      <c r="D503" s="651"/>
      <c r="I503" s="16"/>
      <c r="J503" s="16"/>
    </row>
    <row r="504" spans="3:10">
      <c r="C504" s="591"/>
      <c r="D504" s="651"/>
      <c r="I504" s="16"/>
      <c r="J504" s="16"/>
    </row>
    <row r="505" spans="3:10">
      <c r="C505" s="591"/>
      <c r="D505" s="651"/>
      <c r="I505" s="16"/>
      <c r="J505" s="16"/>
    </row>
    <row r="506" spans="3:10">
      <c r="C506" s="591"/>
      <c r="D506" s="651"/>
      <c r="I506" s="16"/>
      <c r="J506" s="16"/>
    </row>
    <row r="507" spans="3:10">
      <c r="C507" s="591"/>
      <c r="D507" s="651"/>
      <c r="I507" s="16"/>
      <c r="J507" s="16"/>
    </row>
    <row r="508" spans="3:10">
      <c r="C508" s="591"/>
      <c r="D508" s="651"/>
      <c r="I508" s="16"/>
      <c r="J508" s="16"/>
    </row>
    <row r="509" spans="3:10">
      <c r="C509" s="591"/>
      <c r="D509" s="651"/>
      <c r="I509" s="16"/>
      <c r="J509" s="16"/>
    </row>
    <row r="510" spans="3:10">
      <c r="C510" s="591"/>
      <c r="D510" s="651"/>
      <c r="I510" s="16"/>
      <c r="J510" s="16"/>
    </row>
    <row r="511" spans="3:10">
      <c r="C511" s="591"/>
      <c r="D511" s="651"/>
      <c r="I511" s="16"/>
      <c r="J511" s="16"/>
    </row>
    <row r="512" spans="3:10">
      <c r="C512" s="591"/>
      <c r="D512" s="651"/>
      <c r="I512" s="16"/>
      <c r="J512" s="16"/>
    </row>
    <row r="513" spans="3:10">
      <c r="C513" s="591"/>
      <c r="D513" s="651"/>
      <c r="I513" s="16"/>
      <c r="J513" s="16"/>
    </row>
    <row r="514" spans="3:10">
      <c r="C514" s="591"/>
      <c r="D514" s="651"/>
      <c r="I514" s="16"/>
      <c r="J514" s="16"/>
    </row>
    <row r="515" spans="3:10">
      <c r="C515" s="591"/>
      <c r="D515" s="651"/>
      <c r="I515" s="16"/>
      <c r="J515" s="16"/>
    </row>
    <row r="516" spans="3:10">
      <c r="C516" s="591"/>
      <c r="D516" s="651"/>
      <c r="I516" s="16"/>
      <c r="J516" s="16"/>
    </row>
    <row r="517" spans="3:10">
      <c r="C517" s="591"/>
      <c r="D517" s="651"/>
      <c r="I517" s="16"/>
      <c r="J517" s="16"/>
    </row>
    <row r="518" spans="3:10">
      <c r="C518" s="591"/>
      <c r="D518" s="651"/>
      <c r="I518" s="16"/>
      <c r="J518" s="16"/>
    </row>
    <row r="519" spans="3:10">
      <c r="C519" s="591"/>
      <c r="D519" s="651"/>
      <c r="I519" s="16"/>
      <c r="J519" s="16"/>
    </row>
    <row r="520" spans="3:10">
      <c r="C520" s="591"/>
      <c r="D520" s="651"/>
      <c r="I520" s="16"/>
      <c r="J520" s="16"/>
    </row>
    <row r="521" spans="3:10">
      <c r="C521" s="591"/>
      <c r="D521" s="651"/>
      <c r="I521" s="16"/>
      <c r="J521" s="16"/>
    </row>
    <row r="522" spans="3:10">
      <c r="C522" s="591"/>
      <c r="D522" s="651"/>
      <c r="I522" s="16"/>
      <c r="J522" s="16"/>
    </row>
    <row r="523" spans="3:10">
      <c r="C523" s="591"/>
      <c r="D523" s="651"/>
      <c r="I523" s="16"/>
      <c r="J523" s="16"/>
    </row>
    <row r="524" spans="3:10">
      <c r="C524" s="591"/>
      <c r="D524" s="651"/>
      <c r="I524" s="16"/>
      <c r="J524" s="16"/>
    </row>
    <row r="525" spans="3:10">
      <c r="C525" s="591"/>
      <c r="D525" s="651"/>
      <c r="I525" s="16"/>
      <c r="J525" s="16"/>
    </row>
    <row r="526" spans="3:10">
      <c r="C526" s="591"/>
      <c r="D526" s="651"/>
      <c r="I526" s="16"/>
      <c r="J526" s="16"/>
    </row>
    <row r="527" spans="3:10">
      <c r="C527" s="591"/>
      <c r="D527" s="651"/>
      <c r="I527" s="16"/>
      <c r="J527" s="16"/>
    </row>
    <row r="528" spans="3:10">
      <c r="C528" s="591"/>
      <c r="D528" s="651"/>
      <c r="I528" s="16"/>
      <c r="J528" s="16"/>
    </row>
    <row r="529" spans="3:10">
      <c r="C529" s="591"/>
      <c r="D529" s="651"/>
      <c r="I529" s="16"/>
      <c r="J529" s="16"/>
    </row>
    <row r="530" spans="3:10">
      <c r="C530" s="591"/>
      <c r="D530" s="651"/>
      <c r="I530" s="16"/>
      <c r="J530" s="16"/>
    </row>
    <row r="531" spans="3:10">
      <c r="C531" s="591"/>
      <c r="D531" s="651"/>
      <c r="I531" s="16"/>
      <c r="J531" s="16"/>
    </row>
    <row r="532" spans="3:10">
      <c r="C532" s="591"/>
      <c r="D532" s="651"/>
      <c r="I532" s="16"/>
      <c r="J532" s="16"/>
    </row>
    <row r="533" spans="3:10">
      <c r="C533" s="591"/>
      <c r="D533" s="651"/>
      <c r="I533" s="16"/>
      <c r="J533" s="16"/>
    </row>
    <row r="534" spans="3:10">
      <c r="C534" s="591"/>
      <c r="D534" s="651"/>
      <c r="I534" s="16"/>
      <c r="J534" s="16"/>
    </row>
    <row r="535" spans="3:10">
      <c r="C535" s="591"/>
      <c r="D535" s="651"/>
      <c r="I535" s="16"/>
      <c r="J535" s="16"/>
    </row>
    <row r="536" spans="3:10">
      <c r="C536" s="591"/>
      <c r="D536" s="651"/>
      <c r="I536" s="16"/>
      <c r="J536" s="16"/>
    </row>
    <row r="537" spans="3:10">
      <c r="C537" s="591"/>
      <c r="D537" s="651"/>
      <c r="I537" s="16"/>
      <c r="J537" s="16"/>
    </row>
    <row r="538" spans="3:10">
      <c r="C538" s="591"/>
      <c r="D538" s="651"/>
      <c r="I538" s="16"/>
      <c r="J538" s="16"/>
    </row>
    <row r="539" spans="3:10">
      <c r="C539" s="591"/>
      <c r="D539" s="651"/>
      <c r="I539" s="16"/>
      <c r="J539" s="16"/>
    </row>
    <row r="540" spans="3:10">
      <c r="C540" s="591"/>
      <c r="D540" s="651"/>
      <c r="I540" s="16"/>
      <c r="J540" s="16"/>
    </row>
    <row r="541" spans="3:10">
      <c r="C541" s="591"/>
      <c r="D541" s="651"/>
      <c r="I541" s="16"/>
      <c r="J541" s="16"/>
    </row>
    <row r="542" spans="3:10">
      <c r="C542" s="591"/>
      <c r="D542" s="651"/>
      <c r="I542" s="16"/>
      <c r="J542" s="16"/>
    </row>
    <row r="543" spans="3:10">
      <c r="C543" s="591"/>
      <c r="D543" s="651"/>
      <c r="I543" s="16"/>
      <c r="J543" s="16"/>
    </row>
    <row r="544" spans="3:10">
      <c r="C544" s="591"/>
      <c r="D544" s="651"/>
      <c r="I544" s="16"/>
      <c r="J544" s="16"/>
    </row>
    <row r="545" spans="3:10">
      <c r="C545" s="591"/>
      <c r="D545" s="651"/>
      <c r="I545" s="16"/>
      <c r="J545" s="16"/>
    </row>
    <row r="546" spans="3:10">
      <c r="C546" s="591"/>
      <c r="D546" s="651"/>
      <c r="I546" s="16"/>
      <c r="J546" s="16"/>
    </row>
    <row r="547" spans="3:10">
      <c r="C547" s="591"/>
      <c r="D547" s="651"/>
      <c r="I547" s="16"/>
      <c r="J547" s="16"/>
    </row>
    <row r="548" spans="3:10">
      <c r="C548" s="591"/>
      <c r="D548" s="651"/>
      <c r="I548" s="16"/>
      <c r="J548" s="16"/>
    </row>
    <row r="549" spans="3:10">
      <c r="C549" s="591"/>
      <c r="D549" s="651"/>
      <c r="I549" s="16"/>
      <c r="J549" s="16"/>
    </row>
    <row r="550" spans="3:10">
      <c r="C550" s="591"/>
      <c r="D550" s="651"/>
      <c r="I550" s="16"/>
      <c r="J550" s="16"/>
    </row>
    <row r="551" spans="3:10">
      <c r="C551" s="591"/>
      <c r="D551" s="651"/>
      <c r="I551" s="16"/>
      <c r="J551" s="16"/>
    </row>
    <row r="552" spans="3:10">
      <c r="C552" s="591"/>
      <c r="D552" s="651"/>
      <c r="I552" s="16"/>
      <c r="J552" s="16"/>
    </row>
    <row r="553" spans="3:10">
      <c r="C553" s="591"/>
      <c r="D553" s="651"/>
      <c r="I553" s="16"/>
      <c r="J553" s="16"/>
    </row>
    <row r="554" spans="3:10">
      <c r="C554" s="591"/>
      <c r="D554" s="651"/>
      <c r="I554" s="16"/>
      <c r="J554" s="16"/>
    </row>
    <row r="555" spans="3:10">
      <c r="C555" s="591"/>
      <c r="D555" s="651"/>
      <c r="I555" s="16"/>
      <c r="J555" s="16"/>
    </row>
    <row r="556" spans="3:10">
      <c r="C556" s="591"/>
      <c r="D556" s="651"/>
      <c r="I556" s="16"/>
      <c r="J556" s="16"/>
    </row>
    <row r="557" spans="3:10">
      <c r="C557" s="591"/>
      <c r="D557" s="651"/>
      <c r="I557" s="16"/>
      <c r="J557" s="16"/>
    </row>
    <row r="558" spans="3:10">
      <c r="C558" s="591"/>
      <c r="D558" s="651"/>
      <c r="I558" s="16"/>
      <c r="J558" s="16"/>
    </row>
    <row r="559" spans="3:10">
      <c r="C559" s="591"/>
      <c r="D559" s="651"/>
      <c r="I559" s="16"/>
      <c r="J559" s="16"/>
    </row>
    <row r="560" spans="3:10">
      <c r="C560" s="591"/>
      <c r="D560" s="651"/>
      <c r="I560" s="16"/>
      <c r="J560" s="16"/>
    </row>
    <row r="561" spans="3:10">
      <c r="C561" s="591"/>
      <c r="D561" s="651"/>
      <c r="I561" s="16"/>
      <c r="J561" s="16"/>
    </row>
    <row r="562" spans="3:10">
      <c r="C562" s="591"/>
      <c r="D562" s="651"/>
      <c r="I562" s="16"/>
      <c r="J562" s="16"/>
    </row>
    <row r="563" spans="3:10">
      <c r="C563" s="591"/>
      <c r="D563" s="651"/>
      <c r="I563" s="16"/>
      <c r="J563" s="16"/>
    </row>
    <row r="564" spans="3:10">
      <c r="C564" s="591"/>
      <c r="D564" s="651"/>
      <c r="I564" s="16"/>
      <c r="J564" s="16"/>
    </row>
    <row r="565" spans="3:10">
      <c r="C565" s="591"/>
      <c r="D565" s="651"/>
      <c r="I565" s="16"/>
      <c r="J565" s="16"/>
    </row>
    <row r="566" spans="3:10">
      <c r="C566" s="591"/>
      <c r="D566" s="651"/>
      <c r="I566" s="16"/>
      <c r="J566" s="16"/>
    </row>
    <row r="567" spans="3:10">
      <c r="C567" s="591"/>
      <c r="D567" s="651"/>
      <c r="I567" s="16"/>
      <c r="J567" s="16"/>
    </row>
    <row r="568" spans="3:10">
      <c r="C568" s="591"/>
      <c r="D568" s="651"/>
      <c r="I568" s="16"/>
      <c r="J568" s="16"/>
    </row>
    <row r="569" spans="3:10">
      <c r="C569" s="591"/>
      <c r="D569" s="651"/>
      <c r="I569" s="16"/>
      <c r="J569" s="16"/>
    </row>
    <row r="570" spans="3:10">
      <c r="C570" s="591"/>
      <c r="D570" s="651"/>
      <c r="I570" s="16"/>
      <c r="J570" s="16"/>
    </row>
    <row r="571" spans="3:10">
      <c r="C571" s="591"/>
      <c r="D571" s="651"/>
      <c r="I571" s="16"/>
      <c r="J571" s="16"/>
    </row>
    <row r="572" spans="3:10">
      <c r="C572" s="591"/>
      <c r="D572" s="651"/>
      <c r="I572" s="16"/>
      <c r="J572" s="16"/>
    </row>
    <row r="573" spans="3:10">
      <c r="C573" s="591"/>
      <c r="D573" s="651"/>
      <c r="I573" s="16"/>
      <c r="J573" s="16"/>
    </row>
    <row r="574" spans="3:10">
      <c r="C574" s="591"/>
      <c r="D574" s="651"/>
      <c r="I574" s="16"/>
      <c r="J574" s="16"/>
    </row>
    <row r="575" spans="3:10">
      <c r="C575" s="591"/>
      <c r="D575" s="651"/>
      <c r="I575" s="16"/>
      <c r="J575" s="16"/>
    </row>
    <row r="576" spans="3:10">
      <c r="C576" s="591"/>
      <c r="D576" s="651"/>
      <c r="I576" s="16"/>
      <c r="J576" s="16"/>
    </row>
    <row r="577" spans="3:10">
      <c r="C577" s="591"/>
      <c r="D577" s="651"/>
      <c r="I577" s="16"/>
      <c r="J577" s="16"/>
    </row>
    <row r="578" spans="3:10">
      <c r="C578" s="591"/>
      <c r="D578" s="651"/>
      <c r="I578" s="16"/>
      <c r="J578" s="16"/>
    </row>
    <row r="579" spans="3:10">
      <c r="C579" s="591"/>
      <c r="D579" s="651"/>
      <c r="I579" s="16"/>
      <c r="J579" s="16"/>
    </row>
    <row r="580" spans="3:10">
      <c r="C580" s="591"/>
      <c r="D580" s="651"/>
      <c r="I580" s="16"/>
      <c r="J580" s="16"/>
    </row>
    <row r="581" spans="3:10">
      <c r="C581" s="591"/>
      <c r="D581" s="651"/>
      <c r="I581" s="16"/>
      <c r="J581" s="16"/>
    </row>
    <row r="582" spans="3:10">
      <c r="C582" s="591"/>
      <c r="D582" s="651"/>
      <c r="I582" s="16"/>
      <c r="J582" s="16"/>
    </row>
    <row r="583" spans="3:10">
      <c r="C583" s="591"/>
      <c r="D583" s="651"/>
      <c r="I583" s="16"/>
      <c r="J583" s="16"/>
    </row>
    <row r="584" spans="3:10">
      <c r="C584" s="591"/>
      <c r="D584" s="651"/>
      <c r="I584" s="16"/>
      <c r="J584" s="16"/>
    </row>
    <row r="585" spans="3:10">
      <c r="C585" s="591"/>
      <c r="D585" s="651"/>
      <c r="I585" s="16"/>
      <c r="J585" s="16"/>
    </row>
    <row r="586" spans="3:10">
      <c r="C586" s="591"/>
      <c r="D586" s="651"/>
      <c r="I586" s="16"/>
      <c r="J586" s="16"/>
    </row>
    <row r="587" spans="3:10">
      <c r="C587" s="591"/>
      <c r="D587" s="651"/>
      <c r="I587" s="16"/>
      <c r="J587" s="16"/>
    </row>
    <row r="588" spans="3:10">
      <c r="C588" s="591"/>
      <c r="D588" s="651"/>
      <c r="I588" s="16"/>
      <c r="J588" s="16"/>
    </row>
    <row r="589" spans="3:10">
      <c r="C589" s="591"/>
      <c r="D589" s="651"/>
      <c r="I589" s="16"/>
      <c r="J589" s="16"/>
    </row>
    <row r="590" spans="3:10">
      <c r="C590" s="591"/>
      <c r="D590" s="651"/>
      <c r="I590" s="16"/>
      <c r="J590" s="16"/>
    </row>
    <row r="591" spans="3:10">
      <c r="C591" s="591"/>
      <c r="D591" s="651"/>
      <c r="I591" s="16"/>
      <c r="J591" s="16"/>
    </row>
    <row r="592" spans="3:10">
      <c r="C592" s="591"/>
      <c r="D592" s="651"/>
      <c r="I592" s="16"/>
      <c r="J592" s="16"/>
    </row>
    <row r="593" spans="3:10">
      <c r="C593" s="591"/>
      <c r="D593" s="651"/>
      <c r="I593" s="16"/>
      <c r="J593" s="16"/>
    </row>
    <row r="594" spans="3:10">
      <c r="C594" s="591"/>
      <c r="D594" s="651"/>
      <c r="I594" s="16"/>
      <c r="J594" s="16"/>
    </row>
    <row r="595" spans="3:10">
      <c r="C595" s="591"/>
      <c r="D595" s="651"/>
      <c r="I595" s="16"/>
      <c r="J595" s="16"/>
    </row>
    <row r="596" spans="3:10">
      <c r="C596" s="591"/>
      <c r="D596" s="651"/>
      <c r="I596" s="16"/>
      <c r="J596" s="16"/>
    </row>
    <row r="597" spans="3:10">
      <c r="C597" s="591"/>
      <c r="D597" s="651"/>
      <c r="I597" s="16"/>
      <c r="J597" s="16"/>
    </row>
    <row r="598" spans="3:10">
      <c r="C598" s="591"/>
      <c r="D598" s="651"/>
      <c r="I598" s="16"/>
      <c r="J598" s="16"/>
    </row>
    <row r="599" spans="3:10">
      <c r="C599" s="591"/>
      <c r="D599" s="651"/>
      <c r="I599" s="16"/>
      <c r="J599" s="16"/>
    </row>
    <row r="600" spans="3:10">
      <c r="C600" s="591"/>
      <c r="D600" s="651"/>
      <c r="I600" s="16"/>
      <c r="J600" s="16"/>
    </row>
    <row r="601" spans="3:10">
      <c r="C601" s="591"/>
      <c r="D601" s="651"/>
      <c r="I601" s="16"/>
      <c r="J601" s="16"/>
    </row>
    <row r="602" spans="3:10">
      <c r="C602" s="591"/>
      <c r="D602" s="651"/>
      <c r="I602" s="16"/>
      <c r="J602" s="16"/>
    </row>
    <row r="603" spans="3:10">
      <c r="C603" s="591"/>
      <c r="D603" s="651"/>
      <c r="I603" s="16"/>
      <c r="J603" s="16"/>
    </row>
    <row r="604" spans="3:10">
      <c r="C604" s="591"/>
      <c r="D604" s="651"/>
      <c r="I604" s="16"/>
      <c r="J604" s="16"/>
    </row>
    <row r="605" spans="3:10">
      <c r="C605" s="591"/>
      <c r="D605" s="651"/>
      <c r="I605" s="16"/>
      <c r="J605" s="16"/>
    </row>
    <row r="606" spans="3:10">
      <c r="C606" s="591"/>
      <c r="D606" s="651"/>
      <c r="I606" s="16"/>
      <c r="J606" s="16"/>
    </row>
    <row r="607" spans="3:10">
      <c r="C607" s="591"/>
      <c r="D607" s="651"/>
      <c r="I607" s="16"/>
      <c r="J607" s="16"/>
    </row>
    <row r="608" spans="3:10">
      <c r="C608" s="591"/>
      <c r="D608" s="651"/>
      <c r="I608" s="16"/>
      <c r="J608" s="16"/>
    </row>
    <row r="609" spans="3:10">
      <c r="C609" s="591"/>
      <c r="D609" s="651"/>
      <c r="I609" s="16"/>
      <c r="J609" s="16"/>
    </row>
    <row r="610" spans="3:10">
      <c r="C610" s="591"/>
      <c r="D610" s="651"/>
      <c r="I610" s="16"/>
      <c r="J610" s="16"/>
    </row>
    <row r="611" spans="3:10">
      <c r="C611" s="591"/>
      <c r="D611" s="651"/>
      <c r="I611" s="16"/>
      <c r="J611" s="16"/>
    </row>
    <row r="612" spans="3:10">
      <c r="C612" s="591"/>
      <c r="D612" s="651"/>
      <c r="I612" s="16"/>
      <c r="J612" s="16"/>
    </row>
    <row r="613" spans="3:10">
      <c r="C613" s="591"/>
      <c r="D613" s="651"/>
      <c r="I613" s="16"/>
      <c r="J613" s="16"/>
    </row>
    <row r="614" spans="3:10">
      <c r="C614" s="591"/>
      <c r="D614" s="651"/>
      <c r="I614" s="16"/>
      <c r="J614" s="16"/>
    </row>
    <row r="615" spans="3:10">
      <c r="C615" s="591"/>
      <c r="D615" s="651"/>
      <c r="I615" s="16"/>
      <c r="J615" s="16"/>
    </row>
    <row r="616" spans="3:10">
      <c r="C616" s="591"/>
      <c r="D616" s="651"/>
      <c r="I616" s="16"/>
      <c r="J616" s="16"/>
    </row>
    <row r="617" spans="3:10">
      <c r="C617" s="591"/>
      <c r="D617" s="651"/>
      <c r="I617" s="16"/>
      <c r="J617" s="16"/>
    </row>
    <row r="618" spans="3:10">
      <c r="C618" s="591"/>
      <c r="D618" s="651"/>
      <c r="I618" s="16"/>
      <c r="J618" s="16"/>
    </row>
    <row r="619" spans="3:10">
      <c r="C619" s="591"/>
      <c r="D619" s="651"/>
      <c r="I619" s="16"/>
      <c r="J619" s="16"/>
    </row>
    <row r="620" spans="3:10">
      <c r="C620" s="591"/>
      <c r="D620" s="651"/>
      <c r="I620" s="16"/>
      <c r="J620" s="16"/>
    </row>
    <row r="621" spans="3:10">
      <c r="C621" s="591"/>
      <c r="D621" s="651"/>
      <c r="I621" s="16"/>
      <c r="J621" s="16"/>
    </row>
    <row r="622" spans="3:10">
      <c r="C622" s="591"/>
      <c r="D622" s="651"/>
      <c r="I622" s="16"/>
      <c r="J622" s="16"/>
    </row>
    <row r="623" spans="3:10">
      <c r="C623" s="591"/>
      <c r="D623" s="651"/>
      <c r="I623" s="16"/>
      <c r="J623" s="16"/>
    </row>
    <row r="624" spans="3:10">
      <c r="C624" s="591"/>
      <c r="D624" s="651"/>
      <c r="I624" s="16"/>
      <c r="J624" s="16"/>
    </row>
    <row r="625" spans="3:10">
      <c r="C625" s="591"/>
      <c r="D625" s="651"/>
      <c r="I625" s="16"/>
      <c r="J625" s="16"/>
    </row>
    <row r="626" spans="3:10">
      <c r="C626" s="591"/>
      <c r="D626" s="651"/>
      <c r="I626" s="16"/>
      <c r="J626" s="16"/>
    </row>
    <row r="627" spans="3:10">
      <c r="C627" s="591"/>
      <c r="D627" s="651"/>
      <c r="I627" s="16"/>
      <c r="J627" s="16"/>
    </row>
    <row r="628" spans="3:10">
      <c r="C628" s="591"/>
      <c r="D628" s="651"/>
      <c r="I628" s="16"/>
      <c r="J628" s="16"/>
    </row>
    <row r="629" spans="3:10">
      <c r="C629" s="591"/>
      <c r="D629" s="651"/>
      <c r="I629" s="16"/>
      <c r="J629" s="16"/>
    </row>
    <row r="630" spans="3:10">
      <c r="C630" s="591"/>
      <c r="D630" s="651"/>
      <c r="I630" s="16"/>
      <c r="J630" s="16"/>
    </row>
    <row r="631" spans="3:10">
      <c r="C631" s="591"/>
      <c r="D631" s="651"/>
      <c r="I631" s="16"/>
      <c r="J631" s="16"/>
    </row>
    <row r="632" spans="3:10">
      <c r="C632" s="591"/>
      <c r="D632" s="651"/>
      <c r="I632" s="16"/>
      <c r="J632" s="16"/>
    </row>
    <row r="633" spans="3:10">
      <c r="C633" s="591"/>
      <c r="D633" s="651"/>
      <c r="I633" s="16"/>
      <c r="J633" s="16"/>
    </row>
    <row r="634" spans="3:10">
      <c r="C634" s="591"/>
      <c r="D634" s="651"/>
      <c r="I634" s="16"/>
      <c r="J634" s="16"/>
    </row>
    <row r="635" spans="3:10">
      <c r="C635" s="591"/>
      <c r="D635" s="651"/>
      <c r="I635" s="16"/>
      <c r="J635" s="16"/>
    </row>
    <row r="636" spans="3:10">
      <c r="C636" s="591"/>
      <c r="D636" s="651"/>
      <c r="I636" s="16"/>
      <c r="J636" s="16"/>
    </row>
    <row r="637" spans="3:10">
      <c r="C637" s="591"/>
      <c r="D637" s="651"/>
      <c r="I637" s="16"/>
      <c r="J637" s="16"/>
    </row>
    <row r="638" spans="3:10">
      <c r="C638" s="591"/>
      <c r="D638" s="651"/>
      <c r="I638" s="16"/>
      <c r="J638" s="16"/>
    </row>
    <row r="639" spans="3:10">
      <c r="C639" s="591"/>
      <c r="D639" s="651"/>
      <c r="I639" s="16"/>
      <c r="J639" s="16"/>
    </row>
    <row r="640" spans="3:10">
      <c r="C640" s="591"/>
      <c r="D640" s="651"/>
      <c r="I640" s="16"/>
      <c r="J640" s="16"/>
    </row>
    <row r="641" spans="3:10">
      <c r="C641" s="591"/>
      <c r="D641" s="651"/>
      <c r="I641" s="16"/>
      <c r="J641" s="16"/>
    </row>
    <row r="642" spans="3:10">
      <c r="C642" s="591"/>
      <c r="D642" s="651"/>
      <c r="I642" s="16"/>
      <c r="J642" s="16"/>
    </row>
    <row r="643" spans="3:10">
      <c r="C643" s="591"/>
      <c r="D643" s="651"/>
      <c r="I643" s="16"/>
      <c r="J643" s="16"/>
    </row>
    <row r="644" spans="3:10">
      <c r="C644" s="591"/>
      <c r="D644" s="651"/>
      <c r="I644" s="16"/>
      <c r="J644" s="16"/>
    </row>
    <row r="645" spans="3:10">
      <c r="C645" s="591"/>
      <c r="D645" s="651"/>
      <c r="I645" s="16"/>
      <c r="J645" s="16"/>
    </row>
    <row r="646" spans="3:10">
      <c r="C646" s="591"/>
      <c r="D646" s="651"/>
      <c r="I646" s="16"/>
      <c r="J646" s="16"/>
    </row>
    <row r="647" spans="3:10">
      <c r="C647" s="591"/>
      <c r="D647" s="651"/>
      <c r="I647" s="16"/>
      <c r="J647" s="16"/>
    </row>
    <row r="648" spans="3:10">
      <c r="C648" s="591"/>
      <c r="D648" s="651"/>
      <c r="I648" s="16"/>
      <c r="J648" s="16"/>
    </row>
    <row r="649" spans="3:10">
      <c r="C649" s="591"/>
      <c r="D649" s="651"/>
      <c r="I649" s="16"/>
      <c r="J649" s="16"/>
    </row>
    <row r="650" spans="3:10">
      <c r="C650" s="591"/>
      <c r="D650" s="651"/>
      <c r="I650" s="16"/>
      <c r="J650" s="16"/>
    </row>
    <row r="651" spans="3:10">
      <c r="C651" s="591"/>
      <c r="D651" s="651"/>
      <c r="I651" s="16"/>
      <c r="J651" s="16"/>
    </row>
    <row r="652" spans="3:10">
      <c r="C652" s="591"/>
      <c r="D652" s="651"/>
      <c r="I652" s="16"/>
      <c r="J652" s="16"/>
    </row>
    <row r="653" spans="3:10">
      <c r="C653" s="591"/>
      <c r="D653" s="651"/>
      <c r="I653" s="16"/>
      <c r="J653" s="16"/>
    </row>
    <row r="654" spans="3:10">
      <c r="C654" s="591"/>
      <c r="D654" s="651"/>
      <c r="I654" s="16"/>
      <c r="J654" s="16"/>
    </row>
    <row r="655" spans="3:10">
      <c r="C655" s="591"/>
      <c r="D655" s="651"/>
      <c r="I655" s="16"/>
      <c r="J655" s="16"/>
    </row>
    <row r="656" spans="3:10">
      <c r="C656" s="591"/>
      <c r="D656" s="651"/>
      <c r="I656" s="16"/>
      <c r="J656" s="16"/>
    </row>
    <row r="657" spans="3:10">
      <c r="C657" s="591"/>
      <c r="D657" s="651"/>
      <c r="I657" s="16"/>
      <c r="J657" s="16"/>
    </row>
    <row r="658" spans="3:10">
      <c r="C658" s="591"/>
      <c r="D658" s="651"/>
      <c r="I658" s="16"/>
      <c r="J658" s="16"/>
    </row>
    <row r="659" spans="3:10">
      <c r="C659" s="591"/>
      <c r="D659" s="651"/>
      <c r="I659" s="16"/>
      <c r="J659" s="16"/>
    </row>
    <row r="660" spans="3:10">
      <c r="C660" s="591"/>
      <c r="D660" s="651"/>
      <c r="I660" s="16"/>
      <c r="J660" s="16"/>
    </row>
    <row r="661" spans="3:10">
      <c r="C661" s="591"/>
      <c r="D661" s="651"/>
      <c r="I661" s="16"/>
      <c r="J661" s="16"/>
    </row>
    <row r="662" spans="3:10">
      <c r="C662" s="591"/>
      <c r="D662" s="651"/>
      <c r="I662" s="16"/>
      <c r="J662" s="16"/>
    </row>
    <row r="663" spans="3:10">
      <c r="C663" s="591"/>
      <c r="D663" s="651"/>
      <c r="I663" s="16"/>
      <c r="J663" s="16"/>
    </row>
    <row r="664" spans="3:10">
      <c r="C664" s="591"/>
      <c r="D664" s="651"/>
      <c r="I664" s="16"/>
      <c r="J664" s="16"/>
    </row>
    <row r="665" spans="3:10">
      <c r="C665" s="591"/>
      <c r="D665" s="651"/>
      <c r="I665" s="16"/>
      <c r="J665" s="16"/>
    </row>
    <row r="666" spans="3:10">
      <c r="C666" s="591"/>
      <c r="D666" s="651"/>
      <c r="I666" s="16"/>
      <c r="J666" s="16"/>
    </row>
    <row r="667" spans="3:10">
      <c r="C667" s="591"/>
      <c r="D667" s="651"/>
      <c r="I667" s="16"/>
      <c r="J667" s="16"/>
    </row>
    <row r="668" spans="3:10">
      <c r="C668" s="591"/>
      <c r="D668" s="651"/>
      <c r="I668" s="16"/>
      <c r="J668" s="16"/>
    </row>
    <row r="669" spans="3:10">
      <c r="C669" s="591"/>
      <c r="D669" s="651"/>
      <c r="I669" s="16"/>
      <c r="J669" s="16"/>
    </row>
    <row r="670" spans="3:10">
      <c r="C670" s="591"/>
      <c r="D670" s="651"/>
      <c r="I670" s="16"/>
      <c r="J670" s="16"/>
    </row>
    <row r="671" spans="3:10">
      <c r="C671" s="591"/>
      <c r="D671" s="651"/>
      <c r="I671" s="16"/>
      <c r="J671" s="16"/>
    </row>
    <row r="672" spans="3:10">
      <c r="C672" s="591"/>
      <c r="D672" s="651"/>
      <c r="I672" s="16"/>
      <c r="J672" s="16"/>
    </row>
    <row r="673" spans="3:11">
      <c r="C673" s="591"/>
      <c r="D673" s="651"/>
      <c r="I673" s="16"/>
      <c r="J673" s="16"/>
    </row>
    <row r="674" spans="3:11">
      <c r="C674" s="591"/>
      <c r="D674" s="651"/>
      <c r="I674" s="16"/>
      <c r="J674" s="16"/>
    </row>
    <row r="675" spans="3:11">
      <c r="C675" s="591"/>
      <c r="D675" s="651"/>
      <c r="I675" s="16"/>
      <c r="J675" s="16"/>
    </row>
    <row r="676" spans="3:11">
      <c r="C676" s="591"/>
      <c r="D676" s="651"/>
      <c r="I676" s="16"/>
      <c r="J676" s="16"/>
    </row>
    <row r="677" spans="3:11">
      <c r="C677" s="591"/>
      <c r="D677" s="651"/>
      <c r="I677" s="16"/>
      <c r="J677" s="16"/>
    </row>
    <row r="678" spans="3:11">
      <c r="C678" s="591"/>
      <c r="D678" s="651"/>
      <c r="I678" s="16"/>
      <c r="J678" s="16"/>
    </row>
    <row r="679" spans="3:11" s="6" customFormat="1">
      <c r="C679" s="592"/>
      <c r="D679" s="652"/>
      <c r="E679" s="654"/>
      <c r="I679" s="17"/>
      <c r="J679" s="17"/>
      <c r="K679" s="38"/>
    </row>
  </sheetData>
  <autoFilter ref="B2:O101"/>
  <mergeCells count="2">
    <mergeCell ref="B1:O1"/>
    <mergeCell ref="C101:H1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dep added 20-21</vt:lpstr>
      <vt:lpstr>dep additional for expansion</vt:lpstr>
      <vt:lpstr>P&amp;M</vt:lpstr>
      <vt:lpstr>FURNITURE FIXTURES</vt:lpstr>
      <vt:lpstr>MOTOR VEHICLES</vt:lpstr>
      <vt:lpstr>OFFICE EQUIPMENTS</vt:lpstr>
      <vt:lpstr>Electrical Installattions</vt:lpstr>
      <vt:lpstr>COMPUTER</vt:lpstr>
      <vt:lpstr>SOFTWARE</vt:lpstr>
      <vt:lpstr>summary</vt:lpstr>
      <vt:lpstr>internal summary</vt:lpstr>
      <vt:lpstr>Sheet9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abhishek solanki</cp:lastModifiedBy>
  <dcterms:created xsi:type="dcterms:W3CDTF">2021-07-12T07:23:48Z</dcterms:created>
  <dcterms:modified xsi:type="dcterms:W3CDTF">2021-10-08T10:00:18Z</dcterms:modified>
</cp:coreProperties>
</file>